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ustomProperty1.bin" ContentType="application/vnd.openxmlformats-officedocument.spreadsheetml.customProperty"/>
  <Override PartName="/xl/drawings/drawing4.xml" ContentType="application/vnd.openxmlformats-officedocument.drawing+xml"/>
  <Override PartName="/xl/customProperty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45" windowWidth="18195" windowHeight="7155" activeTab="5"/>
  </bookViews>
  <sheets>
    <sheet name="Home" sheetId="8" r:id="rId1"/>
    <sheet name="Computer Products" sheetId="6" r:id="rId2"/>
    <sheet name="Car Sound and Accessories" sheetId="7" r:id="rId3"/>
    <sheet name="Plugs, Leads and Adaptors" sheetId="2" r:id="rId4"/>
    <sheet name="DV-IDENTITY-0" sheetId="5" state="veryHidden" r:id="rId5"/>
    <sheet name="Electronics" sheetId="9" r:id="rId6"/>
  </sheets>
  <calcPr calcId="144525"/>
</workbook>
</file>

<file path=xl/calcChain.xml><?xml version="1.0" encoding="utf-8"?>
<calcChain xmlns="http://schemas.openxmlformats.org/spreadsheetml/2006/main">
  <c r="A122" i="5" l="1"/>
  <c r="B122" i="5"/>
  <c r="C122" i="5"/>
  <c r="D122" i="5"/>
  <c r="E122" i="5"/>
  <c r="F122" i="5"/>
  <c r="G122" i="5"/>
  <c r="H122" i="5"/>
  <c r="I122" i="5"/>
  <c r="J122" i="5"/>
  <c r="K122" i="5"/>
  <c r="L122"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G120" i="5"/>
  <c r="HH120" i="5"/>
  <c r="HI120" i="5"/>
  <c r="HJ120" i="5"/>
  <c r="HK120" i="5"/>
  <c r="HL120" i="5"/>
  <c r="HM120" i="5"/>
  <c r="HN120" i="5"/>
  <c r="HO120" i="5"/>
  <c r="HP120" i="5"/>
  <c r="HQ120" i="5"/>
  <c r="HR120" i="5"/>
  <c r="HS120" i="5"/>
  <c r="HT120" i="5"/>
  <c r="HU120" i="5"/>
  <c r="HV120" i="5"/>
  <c r="HW120" i="5"/>
  <c r="HX120" i="5"/>
  <c r="HY120" i="5"/>
  <c r="HZ120" i="5"/>
  <c r="IA120" i="5"/>
  <c r="IB120" i="5"/>
  <c r="IC120" i="5"/>
  <c r="ID120" i="5"/>
  <c r="IE120" i="5"/>
  <c r="IF120" i="5"/>
  <c r="IG120" i="5"/>
  <c r="IH120" i="5"/>
  <c r="II120" i="5"/>
  <c r="IJ120" i="5"/>
  <c r="IK120" i="5"/>
  <c r="IL120" i="5"/>
  <c r="IM120" i="5"/>
  <c r="IN120" i="5"/>
  <c r="IO120" i="5"/>
  <c r="IP120" i="5"/>
  <c r="IQ120" i="5"/>
  <c r="IR120" i="5"/>
  <c r="IS120" i="5"/>
  <c r="IT120" i="5"/>
  <c r="IU120" i="5"/>
  <c r="IV120"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H119" i="5"/>
  <c r="HI119" i="5"/>
  <c r="HJ119" i="5"/>
  <c r="HK119" i="5"/>
  <c r="HL119" i="5"/>
  <c r="HM119" i="5"/>
  <c r="HN119" i="5"/>
  <c r="HO119" i="5"/>
  <c r="HP119" i="5"/>
  <c r="HQ119" i="5"/>
  <c r="HR119" i="5"/>
  <c r="HS119" i="5"/>
  <c r="HT119" i="5"/>
  <c r="HU119" i="5"/>
  <c r="HV119" i="5"/>
  <c r="HW119" i="5"/>
  <c r="HX119" i="5"/>
  <c r="HY119" i="5"/>
  <c r="HZ119" i="5"/>
  <c r="IA119" i="5"/>
  <c r="IB119" i="5"/>
  <c r="IC119" i="5"/>
  <c r="ID119" i="5"/>
  <c r="IE119" i="5"/>
  <c r="IF119" i="5"/>
  <c r="IG119" i="5"/>
  <c r="IH119" i="5"/>
  <c r="II119" i="5"/>
  <c r="IJ119" i="5"/>
  <c r="IK119" i="5"/>
  <c r="IL119" i="5"/>
  <c r="IM119" i="5"/>
  <c r="IN119" i="5"/>
  <c r="IO119" i="5"/>
  <c r="IP119" i="5"/>
  <c r="IQ119" i="5"/>
  <c r="IR119" i="5"/>
  <c r="IS119" i="5"/>
  <c r="IT119" i="5"/>
  <c r="IU119" i="5"/>
  <c r="IV119"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G118" i="5"/>
  <c r="HH118" i="5"/>
  <c r="HI118" i="5"/>
  <c r="HJ118" i="5"/>
  <c r="HK118" i="5"/>
  <c r="HL118" i="5"/>
  <c r="HM118" i="5"/>
  <c r="HN118" i="5"/>
  <c r="HO118" i="5"/>
  <c r="HP118" i="5"/>
  <c r="HQ118" i="5"/>
  <c r="HR118" i="5"/>
  <c r="HS118" i="5"/>
  <c r="HT118" i="5"/>
  <c r="HU118" i="5"/>
  <c r="HV118" i="5"/>
  <c r="HW118" i="5"/>
  <c r="HX118" i="5"/>
  <c r="HY118" i="5"/>
  <c r="HZ118" i="5"/>
  <c r="IA118" i="5"/>
  <c r="IB118" i="5"/>
  <c r="IC118" i="5"/>
  <c r="ID118" i="5"/>
  <c r="IE118" i="5"/>
  <c r="IF118" i="5"/>
  <c r="IG118" i="5"/>
  <c r="IH118" i="5"/>
  <c r="II118" i="5"/>
  <c r="IJ118" i="5"/>
  <c r="IK118" i="5"/>
  <c r="IL118" i="5"/>
  <c r="IM118" i="5"/>
  <c r="IN118" i="5"/>
  <c r="IO118" i="5"/>
  <c r="IP118" i="5"/>
  <c r="IQ118" i="5"/>
  <c r="IR118" i="5"/>
  <c r="IS118" i="5"/>
  <c r="IT118" i="5"/>
  <c r="IU118" i="5"/>
  <c r="IV118"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GW117" i="5"/>
  <c r="GX117" i="5"/>
  <c r="GY117" i="5"/>
  <c r="GZ117" i="5"/>
  <c r="HA117" i="5"/>
  <c r="HB117" i="5"/>
  <c r="HC117" i="5"/>
  <c r="HD117" i="5"/>
  <c r="HE117" i="5"/>
  <c r="HF117" i="5"/>
  <c r="HG117" i="5"/>
  <c r="HH117" i="5"/>
  <c r="HI117" i="5"/>
  <c r="HJ117" i="5"/>
  <c r="HK117" i="5"/>
  <c r="HL117" i="5"/>
  <c r="HM117" i="5"/>
  <c r="HN117" i="5"/>
  <c r="HO117" i="5"/>
  <c r="HP117" i="5"/>
  <c r="HQ117" i="5"/>
  <c r="HR117" i="5"/>
  <c r="HS117" i="5"/>
  <c r="HT117" i="5"/>
  <c r="HU117" i="5"/>
  <c r="HV117" i="5"/>
  <c r="HW117" i="5"/>
  <c r="HX117" i="5"/>
  <c r="HY117" i="5"/>
  <c r="HZ117" i="5"/>
  <c r="IA117" i="5"/>
  <c r="IB117" i="5"/>
  <c r="IC117" i="5"/>
  <c r="ID117" i="5"/>
  <c r="IE117" i="5"/>
  <c r="IF117" i="5"/>
  <c r="IG117" i="5"/>
  <c r="IH117" i="5"/>
  <c r="II117" i="5"/>
  <c r="IJ117" i="5"/>
  <c r="IK117" i="5"/>
  <c r="IL117" i="5"/>
  <c r="IM117" i="5"/>
  <c r="IN117" i="5"/>
  <c r="IO117" i="5"/>
  <c r="IP117" i="5"/>
  <c r="IQ117" i="5"/>
  <c r="IR117" i="5"/>
  <c r="IS117" i="5"/>
  <c r="IT117" i="5"/>
  <c r="IU117" i="5"/>
  <c r="IV117"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G116" i="5"/>
  <c r="HH116" i="5"/>
  <c r="HI116" i="5"/>
  <c r="HJ116" i="5"/>
  <c r="HK116" i="5"/>
  <c r="HL116" i="5"/>
  <c r="HM116" i="5"/>
  <c r="HN116" i="5"/>
  <c r="HO116" i="5"/>
  <c r="HP116" i="5"/>
  <c r="HQ116" i="5"/>
  <c r="HR116" i="5"/>
  <c r="HS116" i="5"/>
  <c r="HT116" i="5"/>
  <c r="HU116" i="5"/>
  <c r="HV116" i="5"/>
  <c r="HW116" i="5"/>
  <c r="HX116" i="5"/>
  <c r="HY116" i="5"/>
  <c r="HZ116" i="5"/>
  <c r="IA116" i="5"/>
  <c r="IB116" i="5"/>
  <c r="IC116" i="5"/>
  <c r="ID116" i="5"/>
  <c r="IE116" i="5"/>
  <c r="IF116" i="5"/>
  <c r="IG116" i="5"/>
  <c r="IH116" i="5"/>
  <c r="II116" i="5"/>
  <c r="IJ116" i="5"/>
  <c r="IK116" i="5"/>
  <c r="IL116" i="5"/>
  <c r="IM116" i="5"/>
  <c r="IN116" i="5"/>
  <c r="IO116" i="5"/>
  <c r="IP116" i="5"/>
  <c r="IQ116" i="5"/>
  <c r="IR116" i="5"/>
  <c r="IS116" i="5"/>
  <c r="IT116" i="5"/>
  <c r="IU116" i="5"/>
  <c r="IV116"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B115" i="5"/>
  <c r="HC115" i="5"/>
  <c r="HD115" i="5"/>
  <c r="HE115" i="5"/>
  <c r="HF115" i="5"/>
  <c r="HG115" i="5"/>
  <c r="HH115" i="5"/>
  <c r="HI115" i="5"/>
  <c r="HJ115" i="5"/>
  <c r="HK115" i="5"/>
  <c r="HL115" i="5"/>
  <c r="HM115" i="5"/>
  <c r="HN115" i="5"/>
  <c r="HO115" i="5"/>
  <c r="HP115" i="5"/>
  <c r="HQ115" i="5"/>
  <c r="HR115" i="5"/>
  <c r="HS115" i="5"/>
  <c r="HT115" i="5"/>
  <c r="HU115" i="5"/>
  <c r="HV115" i="5"/>
  <c r="HW115" i="5"/>
  <c r="HX115" i="5"/>
  <c r="HY115" i="5"/>
  <c r="HZ115" i="5"/>
  <c r="IA115" i="5"/>
  <c r="IB115" i="5"/>
  <c r="IC115" i="5"/>
  <c r="ID115" i="5"/>
  <c r="IE115" i="5"/>
  <c r="IF115" i="5"/>
  <c r="IG115" i="5"/>
  <c r="IH115" i="5"/>
  <c r="II115" i="5"/>
  <c r="IJ115" i="5"/>
  <c r="IK115" i="5"/>
  <c r="IL115" i="5"/>
  <c r="IM115" i="5"/>
  <c r="IN115" i="5"/>
  <c r="IO115" i="5"/>
  <c r="IP115" i="5"/>
  <c r="IQ115" i="5"/>
  <c r="IR115" i="5"/>
  <c r="IS115" i="5"/>
  <c r="IT115" i="5"/>
  <c r="IU115" i="5"/>
  <c r="IV115"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H114" i="5"/>
  <c r="HI114" i="5"/>
  <c r="HJ114" i="5"/>
  <c r="HK114" i="5"/>
  <c r="HL114" i="5"/>
  <c r="HM114" i="5"/>
  <c r="HN114" i="5"/>
  <c r="HO114" i="5"/>
  <c r="HP114" i="5"/>
  <c r="HQ114" i="5"/>
  <c r="HR114" i="5"/>
  <c r="HS114" i="5"/>
  <c r="HT114" i="5"/>
  <c r="HU114" i="5"/>
  <c r="HV114" i="5"/>
  <c r="HW114" i="5"/>
  <c r="HX114" i="5"/>
  <c r="HY114" i="5"/>
  <c r="HZ114" i="5"/>
  <c r="IA114" i="5"/>
  <c r="IB114" i="5"/>
  <c r="IC114" i="5"/>
  <c r="ID114" i="5"/>
  <c r="IE114" i="5"/>
  <c r="IF114" i="5"/>
  <c r="IG114" i="5"/>
  <c r="IH114" i="5"/>
  <c r="II114" i="5"/>
  <c r="IJ114" i="5"/>
  <c r="IK114" i="5"/>
  <c r="IL114" i="5"/>
  <c r="IM114" i="5"/>
  <c r="IN114" i="5"/>
  <c r="IO114" i="5"/>
  <c r="IP114" i="5"/>
  <c r="IQ114" i="5"/>
  <c r="IR114" i="5"/>
  <c r="IS114" i="5"/>
  <c r="IT114" i="5"/>
  <c r="IU114" i="5"/>
  <c r="IV114"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G113" i="5"/>
  <c r="HH113" i="5"/>
  <c r="HI113" i="5"/>
  <c r="HJ113" i="5"/>
  <c r="HK113" i="5"/>
  <c r="HL113" i="5"/>
  <c r="HM113" i="5"/>
  <c r="HN113" i="5"/>
  <c r="HO113" i="5"/>
  <c r="HP113" i="5"/>
  <c r="HQ113" i="5"/>
  <c r="HR113" i="5"/>
  <c r="HS113" i="5"/>
  <c r="HT113" i="5"/>
  <c r="HU113" i="5"/>
  <c r="HV113" i="5"/>
  <c r="HW113" i="5"/>
  <c r="HX113" i="5"/>
  <c r="HY113" i="5"/>
  <c r="HZ113" i="5"/>
  <c r="IA113" i="5"/>
  <c r="IB113" i="5"/>
  <c r="IC113" i="5"/>
  <c r="ID113" i="5"/>
  <c r="IE113" i="5"/>
  <c r="IF113" i="5"/>
  <c r="IG113" i="5"/>
  <c r="IH113" i="5"/>
  <c r="II113" i="5"/>
  <c r="IJ113" i="5"/>
  <c r="IK113" i="5"/>
  <c r="IL113" i="5"/>
  <c r="IM113" i="5"/>
  <c r="IN113" i="5"/>
  <c r="IO113" i="5"/>
  <c r="IP113" i="5"/>
  <c r="IQ113" i="5"/>
  <c r="IR113" i="5"/>
  <c r="IS113" i="5"/>
  <c r="IT113" i="5"/>
  <c r="IU113" i="5"/>
  <c r="IV113"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H112" i="5"/>
  <c r="HI112" i="5"/>
  <c r="HJ112" i="5"/>
  <c r="HK112" i="5"/>
  <c r="HL112" i="5"/>
  <c r="HM112" i="5"/>
  <c r="HN112" i="5"/>
  <c r="HO112" i="5"/>
  <c r="HP112" i="5"/>
  <c r="HQ112" i="5"/>
  <c r="HR112" i="5"/>
  <c r="HS112" i="5"/>
  <c r="HT112" i="5"/>
  <c r="HU112" i="5"/>
  <c r="HV112" i="5"/>
  <c r="HW112" i="5"/>
  <c r="HX112" i="5"/>
  <c r="HY112" i="5"/>
  <c r="HZ112" i="5"/>
  <c r="IA112" i="5"/>
  <c r="IB112" i="5"/>
  <c r="IC112" i="5"/>
  <c r="ID112" i="5"/>
  <c r="IE112" i="5"/>
  <c r="IF112" i="5"/>
  <c r="IG112" i="5"/>
  <c r="IH112" i="5"/>
  <c r="II112" i="5"/>
  <c r="IJ112" i="5"/>
  <c r="IK112" i="5"/>
  <c r="IL112" i="5"/>
  <c r="IM112" i="5"/>
  <c r="IN112" i="5"/>
  <c r="IO112" i="5"/>
  <c r="IP112" i="5"/>
  <c r="IQ112" i="5"/>
  <c r="IR112" i="5"/>
  <c r="IS112" i="5"/>
  <c r="IT112" i="5"/>
  <c r="IU112" i="5"/>
  <c r="IV112"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G111" i="5"/>
  <c r="HH111" i="5"/>
  <c r="HI111" i="5"/>
  <c r="HJ111" i="5"/>
  <c r="HK111" i="5"/>
  <c r="HL111" i="5"/>
  <c r="HM111" i="5"/>
  <c r="HN111" i="5"/>
  <c r="HO111" i="5"/>
  <c r="HP111" i="5"/>
  <c r="HQ111" i="5"/>
  <c r="HR111" i="5"/>
  <c r="HS111" i="5"/>
  <c r="HT111" i="5"/>
  <c r="HU111" i="5"/>
  <c r="HV111" i="5"/>
  <c r="HW111" i="5"/>
  <c r="HX111" i="5"/>
  <c r="HY111" i="5"/>
  <c r="HZ111" i="5"/>
  <c r="IA111" i="5"/>
  <c r="IB111" i="5"/>
  <c r="IC111" i="5"/>
  <c r="ID111" i="5"/>
  <c r="IE111" i="5"/>
  <c r="IF111" i="5"/>
  <c r="IG111" i="5"/>
  <c r="IH111" i="5"/>
  <c r="II111" i="5"/>
  <c r="IJ111" i="5"/>
  <c r="IK111" i="5"/>
  <c r="IL111" i="5"/>
  <c r="IM111" i="5"/>
  <c r="IN111" i="5"/>
  <c r="IO111" i="5"/>
  <c r="IP111" i="5"/>
  <c r="IQ111" i="5"/>
  <c r="IR111" i="5"/>
  <c r="IS111" i="5"/>
  <c r="IT111" i="5"/>
  <c r="IU111" i="5"/>
  <c r="IV111"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GN110" i="5"/>
  <c r="GO110" i="5"/>
  <c r="GP110" i="5"/>
  <c r="GQ110" i="5"/>
  <c r="GR110" i="5"/>
  <c r="GS110" i="5"/>
  <c r="GT110" i="5"/>
  <c r="GU110" i="5"/>
  <c r="GV110" i="5"/>
  <c r="GW110" i="5"/>
  <c r="GX110" i="5"/>
  <c r="GY110" i="5"/>
  <c r="GZ110" i="5"/>
  <c r="HA110" i="5"/>
  <c r="HB110" i="5"/>
  <c r="HC110" i="5"/>
  <c r="HD110" i="5"/>
  <c r="HE110" i="5"/>
  <c r="HF110" i="5"/>
  <c r="HG110" i="5"/>
  <c r="HH110" i="5"/>
  <c r="HI110" i="5"/>
  <c r="HJ110" i="5"/>
  <c r="HK110" i="5"/>
  <c r="HL110" i="5"/>
  <c r="HM110" i="5"/>
  <c r="HN110" i="5"/>
  <c r="HO110" i="5"/>
  <c r="HP110" i="5"/>
  <c r="HQ110" i="5"/>
  <c r="HR110" i="5"/>
  <c r="HS110" i="5"/>
  <c r="HT110" i="5"/>
  <c r="HU110" i="5"/>
  <c r="HV110" i="5"/>
  <c r="HW110" i="5"/>
  <c r="HX110" i="5"/>
  <c r="HY110" i="5"/>
  <c r="HZ110" i="5"/>
  <c r="IA110" i="5"/>
  <c r="IB110" i="5"/>
  <c r="IC110" i="5"/>
  <c r="ID110" i="5"/>
  <c r="IE110" i="5"/>
  <c r="IF110" i="5"/>
  <c r="IG110" i="5"/>
  <c r="IH110" i="5"/>
  <c r="II110" i="5"/>
  <c r="IJ110" i="5"/>
  <c r="IK110" i="5"/>
  <c r="IL110" i="5"/>
  <c r="IM110" i="5"/>
  <c r="IN110" i="5"/>
  <c r="IO110" i="5"/>
  <c r="IP110" i="5"/>
  <c r="IQ110" i="5"/>
  <c r="IR110" i="5"/>
  <c r="IS110" i="5"/>
  <c r="IT110" i="5"/>
  <c r="IU110" i="5"/>
  <c r="IV110"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G109" i="5"/>
  <c r="HH109" i="5"/>
  <c r="HI109" i="5"/>
  <c r="HJ109" i="5"/>
  <c r="HK109" i="5"/>
  <c r="HL109" i="5"/>
  <c r="HM109" i="5"/>
  <c r="HN109" i="5"/>
  <c r="HO109" i="5"/>
  <c r="HP109" i="5"/>
  <c r="HQ109" i="5"/>
  <c r="HR109" i="5"/>
  <c r="HS109" i="5"/>
  <c r="HT109" i="5"/>
  <c r="HU109" i="5"/>
  <c r="HV109" i="5"/>
  <c r="HW109" i="5"/>
  <c r="HX109" i="5"/>
  <c r="HY109" i="5"/>
  <c r="HZ109" i="5"/>
  <c r="IA109" i="5"/>
  <c r="IB109" i="5"/>
  <c r="IC109" i="5"/>
  <c r="ID109" i="5"/>
  <c r="IE109" i="5"/>
  <c r="IF109" i="5"/>
  <c r="IG109" i="5"/>
  <c r="IH109" i="5"/>
  <c r="II109" i="5"/>
  <c r="IJ109" i="5"/>
  <c r="IK109" i="5"/>
  <c r="IL109" i="5"/>
  <c r="IM109" i="5"/>
  <c r="IN109" i="5"/>
  <c r="IO109" i="5"/>
  <c r="IP109" i="5"/>
  <c r="IQ109" i="5"/>
  <c r="IR109" i="5"/>
  <c r="IS109" i="5"/>
  <c r="IT109" i="5"/>
  <c r="IU109" i="5"/>
  <c r="IV109"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H108" i="5"/>
  <c r="HI108" i="5"/>
  <c r="HJ108" i="5"/>
  <c r="HK108" i="5"/>
  <c r="HL108" i="5"/>
  <c r="HM108" i="5"/>
  <c r="HN108" i="5"/>
  <c r="HO108" i="5"/>
  <c r="HP108" i="5"/>
  <c r="HQ108" i="5"/>
  <c r="HR108" i="5"/>
  <c r="HS108" i="5"/>
  <c r="HT108" i="5"/>
  <c r="HU108" i="5"/>
  <c r="HV108" i="5"/>
  <c r="HW108" i="5"/>
  <c r="HX108" i="5"/>
  <c r="HY108" i="5"/>
  <c r="HZ108" i="5"/>
  <c r="IA108" i="5"/>
  <c r="IB108" i="5"/>
  <c r="IC108" i="5"/>
  <c r="ID108" i="5"/>
  <c r="IE108" i="5"/>
  <c r="IF108" i="5"/>
  <c r="IG108" i="5"/>
  <c r="IH108" i="5"/>
  <c r="II108" i="5"/>
  <c r="IJ108" i="5"/>
  <c r="IK108" i="5"/>
  <c r="IL108" i="5"/>
  <c r="IM108" i="5"/>
  <c r="IN108" i="5"/>
  <c r="IO108" i="5"/>
  <c r="IP108" i="5"/>
  <c r="IQ108" i="5"/>
  <c r="IR108" i="5"/>
  <c r="IS108" i="5"/>
  <c r="IT108" i="5"/>
  <c r="IU108" i="5"/>
  <c r="IV108"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G107" i="5"/>
  <c r="HH107" i="5"/>
  <c r="HI107" i="5"/>
  <c r="HJ107" i="5"/>
  <c r="HK107" i="5"/>
  <c r="HL107" i="5"/>
  <c r="HM107" i="5"/>
  <c r="HN107" i="5"/>
  <c r="HO107" i="5"/>
  <c r="HP107" i="5"/>
  <c r="HQ107" i="5"/>
  <c r="HR107" i="5"/>
  <c r="HS107" i="5"/>
  <c r="HT107" i="5"/>
  <c r="HU107" i="5"/>
  <c r="HV107" i="5"/>
  <c r="HW107" i="5"/>
  <c r="HX107" i="5"/>
  <c r="HY107" i="5"/>
  <c r="HZ107" i="5"/>
  <c r="IA107" i="5"/>
  <c r="IB107" i="5"/>
  <c r="IC107" i="5"/>
  <c r="ID107" i="5"/>
  <c r="IE107" i="5"/>
  <c r="IF107" i="5"/>
  <c r="IG107" i="5"/>
  <c r="IH107" i="5"/>
  <c r="II107" i="5"/>
  <c r="IJ107" i="5"/>
  <c r="IK107" i="5"/>
  <c r="IL107" i="5"/>
  <c r="IM107" i="5"/>
  <c r="IN107" i="5"/>
  <c r="IO107" i="5"/>
  <c r="IP107" i="5"/>
  <c r="IQ107" i="5"/>
  <c r="IR107" i="5"/>
  <c r="IS107" i="5"/>
  <c r="IT107" i="5"/>
  <c r="IU107" i="5"/>
  <c r="IV107"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H106" i="5"/>
  <c r="HI106" i="5"/>
  <c r="HJ106" i="5"/>
  <c r="HK106" i="5"/>
  <c r="HL106" i="5"/>
  <c r="HM106" i="5"/>
  <c r="HN106" i="5"/>
  <c r="HO106" i="5"/>
  <c r="HP106" i="5"/>
  <c r="HQ106" i="5"/>
  <c r="HR106" i="5"/>
  <c r="HS106" i="5"/>
  <c r="HT106" i="5"/>
  <c r="HU106" i="5"/>
  <c r="HV106" i="5"/>
  <c r="HW106" i="5"/>
  <c r="HX106" i="5"/>
  <c r="HY106" i="5"/>
  <c r="HZ106" i="5"/>
  <c r="IA106" i="5"/>
  <c r="IB106" i="5"/>
  <c r="IC106" i="5"/>
  <c r="ID106" i="5"/>
  <c r="IE106" i="5"/>
  <c r="IF106" i="5"/>
  <c r="IG106" i="5"/>
  <c r="IH106" i="5"/>
  <c r="II106" i="5"/>
  <c r="IJ106" i="5"/>
  <c r="IK106" i="5"/>
  <c r="IL106" i="5"/>
  <c r="IM106" i="5"/>
  <c r="IN106" i="5"/>
  <c r="IO106" i="5"/>
  <c r="IP106" i="5"/>
  <c r="IQ106" i="5"/>
  <c r="IR106" i="5"/>
  <c r="IS106" i="5"/>
  <c r="IT106" i="5"/>
  <c r="IU106" i="5"/>
  <c r="IV106"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G105" i="5"/>
  <c r="HH105" i="5"/>
  <c r="HI105" i="5"/>
  <c r="HJ105" i="5"/>
  <c r="HK105" i="5"/>
  <c r="HL105" i="5"/>
  <c r="HM105" i="5"/>
  <c r="HN105" i="5"/>
  <c r="HO105" i="5"/>
  <c r="HP105" i="5"/>
  <c r="HQ105" i="5"/>
  <c r="HR105" i="5"/>
  <c r="HS105" i="5"/>
  <c r="HT105" i="5"/>
  <c r="HU105" i="5"/>
  <c r="HV105" i="5"/>
  <c r="HW105" i="5"/>
  <c r="HX105" i="5"/>
  <c r="HY105" i="5"/>
  <c r="HZ105" i="5"/>
  <c r="IA105" i="5"/>
  <c r="IB105" i="5"/>
  <c r="IC105" i="5"/>
  <c r="ID105" i="5"/>
  <c r="IE105" i="5"/>
  <c r="IF105" i="5"/>
  <c r="IG105" i="5"/>
  <c r="IH105" i="5"/>
  <c r="II105" i="5"/>
  <c r="IJ105" i="5"/>
  <c r="IK105" i="5"/>
  <c r="IL105" i="5"/>
  <c r="IM105" i="5"/>
  <c r="IN105" i="5"/>
  <c r="IO105" i="5"/>
  <c r="IP105" i="5"/>
  <c r="IQ105" i="5"/>
  <c r="IR105" i="5"/>
  <c r="IS105" i="5"/>
  <c r="IT105" i="5"/>
  <c r="IU105" i="5"/>
  <c r="IV105"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H104" i="5"/>
  <c r="HI104" i="5"/>
  <c r="HJ104" i="5"/>
  <c r="HK104" i="5"/>
  <c r="HL104" i="5"/>
  <c r="HM104" i="5"/>
  <c r="HN104" i="5"/>
  <c r="HO104" i="5"/>
  <c r="HP104" i="5"/>
  <c r="HQ104" i="5"/>
  <c r="HR104" i="5"/>
  <c r="HS104" i="5"/>
  <c r="HT104" i="5"/>
  <c r="HU104" i="5"/>
  <c r="HV104" i="5"/>
  <c r="HW104" i="5"/>
  <c r="HX104" i="5"/>
  <c r="HY104" i="5"/>
  <c r="HZ104" i="5"/>
  <c r="IA104" i="5"/>
  <c r="IB104" i="5"/>
  <c r="IC104" i="5"/>
  <c r="ID104" i="5"/>
  <c r="IE104" i="5"/>
  <c r="IF104" i="5"/>
  <c r="IG104" i="5"/>
  <c r="IH104" i="5"/>
  <c r="II104" i="5"/>
  <c r="IJ104" i="5"/>
  <c r="IK104" i="5"/>
  <c r="IL104" i="5"/>
  <c r="IM104" i="5"/>
  <c r="IN104" i="5"/>
  <c r="IO104" i="5"/>
  <c r="IP104" i="5"/>
  <c r="IQ104" i="5"/>
  <c r="IR104" i="5"/>
  <c r="IS104" i="5"/>
  <c r="IT104" i="5"/>
  <c r="IU104" i="5"/>
  <c r="IV104"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G103" i="5"/>
  <c r="HH103" i="5"/>
  <c r="HI103" i="5"/>
  <c r="HJ103" i="5"/>
  <c r="HK103" i="5"/>
  <c r="HL103" i="5"/>
  <c r="HM103" i="5"/>
  <c r="HN103" i="5"/>
  <c r="HO103" i="5"/>
  <c r="HP103" i="5"/>
  <c r="HQ103" i="5"/>
  <c r="HR103" i="5"/>
  <c r="HS103" i="5"/>
  <c r="HT103" i="5"/>
  <c r="HU103" i="5"/>
  <c r="HV103" i="5"/>
  <c r="HW103" i="5"/>
  <c r="HX103" i="5"/>
  <c r="HY103" i="5"/>
  <c r="HZ103" i="5"/>
  <c r="IA103" i="5"/>
  <c r="IB103" i="5"/>
  <c r="IC103" i="5"/>
  <c r="ID103" i="5"/>
  <c r="IE103" i="5"/>
  <c r="IF103" i="5"/>
  <c r="IG103" i="5"/>
  <c r="IH103" i="5"/>
  <c r="II103" i="5"/>
  <c r="IJ103" i="5"/>
  <c r="IK103" i="5"/>
  <c r="IL103" i="5"/>
  <c r="IM103" i="5"/>
  <c r="IN103" i="5"/>
  <c r="IO103" i="5"/>
  <c r="IP103" i="5"/>
  <c r="IQ103" i="5"/>
  <c r="IR103" i="5"/>
  <c r="IS103" i="5"/>
  <c r="IT103" i="5"/>
  <c r="IU103" i="5"/>
  <c r="IV103"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H102" i="5"/>
  <c r="HI102" i="5"/>
  <c r="HJ102" i="5"/>
  <c r="HK102" i="5"/>
  <c r="HL102" i="5"/>
  <c r="HM102" i="5"/>
  <c r="HN102" i="5"/>
  <c r="HO102" i="5"/>
  <c r="HP102" i="5"/>
  <c r="HQ102" i="5"/>
  <c r="HR102" i="5"/>
  <c r="HS102" i="5"/>
  <c r="HT102" i="5"/>
  <c r="HU102" i="5"/>
  <c r="HV102" i="5"/>
  <c r="HW102" i="5"/>
  <c r="HX102" i="5"/>
  <c r="HY102" i="5"/>
  <c r="HZ102" i="5"/>
  <c r="IA102" i="5"/>
  <c r="IB102" i="5"/>
  <c r="IC102" i="5"/>
  <c r="ID102" i="5"/>
  <c r="IE102" i="5"/>
  <c r="IF102" i="5"/>
  <c r="IG102" i="5"/>
  <c r="IH102" i="5"/>
  <c r="II102" i="5"/>
  <c r="IJ102" i="5"/>
  <c r="IK102" i="5"/>
  <c r="IL102" i="5"/>
  <c r="IM102" i="5"/>
  <c r="IN102" i="5"/>
  <c r="IO102" i="5"/>
  <c r="IP102" i="5"/>
  <c r="IQ102" i="5"/>
  <c r="IR102" i="5"/>
  <c r="IS102" i="5"/>
  <c r="IT102" i="5"/>
  <c r="IU102" i="5"/>
  <c r="IV102"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G101" i="5"/>
  <c r="HH101" i="5"/>
  <c r="HI101" i="5"/>
  <c r="HJ101" i="5"/>
  <c r="HK101" i="5"/>
  <c r="HL101" i="5"/>
  <c r="HM101" i="5"/>
  <c r="HN101" i="5"/>
  <c r="HO101" i="5"/>
  <c r="HP101" i="5"/>
  <c r="HQ101" i="5"/>
  <c r="HR101" i="5"/>
  <c r="HS101" i="5"/>
  <c r="HT101" i="5"/>
  <c r="HU101" i="5"/>
  <c r="HV101" i="5"/>
  <c r="HW101" i="5"/>
  <c r="HX101" i="5"/>
  <c r="HY101" i="5"/>
  <c r="HZ101" i="5"/>
  <c r="IA101" i="5"/>
  <c r="IB101" i="5"/>
  <c r="IC101" i="5"/>
  <c r="ID101" i="5"/>
  <c r="IE101" i="5"/>
  <c r="IF101" i="5"/>
  <c r="IG101" i="5"/>
  <c r="IH101" i="5"/>
  <c r="II101" i="5"/>
  <c r="IJ101" i="5"/>
  <c r="IK101" i="5"/>
  <c r="IL101" i="5"/>
  <c r="IM101" i="5"/>
  <c r="IN101" i="5"/>
  <c r="IO101" i="5"/>
  <c r="IP101" i="5"/>
  <c r="IQ101" i="5"/>
  <c r="IR101" i="5"/>
  <c r="IS101" i="5"/>
  <c r="IT101" i="5"/>
  <c r="IU101" i="5"/>
  <c r="IV101"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H100" i="5"/>
  <c r="HI100" i="5"/>
  <c r="HJ100" i="5"/>
  <c r="HK100" i="5"/>
  <c r="HL100" i="5"/>
  <c r="HM100" i="5"/>
  <c r="HN100" i="5"/>
  <c r="HO100" i="5"/>
  <c r="HP100" i="5"/>
  <c r="HQ100" i="5"/>
  <c r="HR100" i="5"/>
  <c r="HS100" i="5"/>
  <c r="HT100" i="5"/>
  <c r="HU100" i="5"/>
  <c r="HV100" i="5"/>
  <c r="HW100" i="5"/>
  <c r="HX100" i="5"/>
  <c r="HY100" i="5"/>
  <c r="HZ100" i="5"/>
  <c r="IA100" i="5"/>
  <c r="IB100" i="5"/>
  <c r="IC100" i="5"/>
  <c r="ID100" i="5"/>
  <c r="IE100" i="5"/>
  <c r="IF100" i="5"/>
  <c r="IG100" i="5"/>
  <c r="IH100" i="5"/>
  <c r="II100" i="5"/>
  <c r="IJ100" i="5"/>
  <c r="IK100" i="5"/>
  <c r="IL100" i="5"/>
  <c r="IM100" i="5"/>
  <c r="IN100" i="5"/>
  <c r="IO100" i="5"/>
  <c r="IP100" i="5"/>
  <c r="IQ100" i="5"/>
  <c r="IR100" i="5"/>
  <c r="IS100" i="5"/>
  <c r="IT100" i="5"/>
  <c r="IU100" i="5"/>
  <c r="IV100"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G99" i="5"/>
  <c r="HH99" i="5"/>
  <c r="HI99" i="5"/>
  <c r="HJ99" i="5"/>
  <c r="HK99" i="5"/>
  <c r="HL99" i="5"/>
  <c r="HM99" i="5"/>
  <c r="HN99" i="5"/>
  <c r="HO99" i="5"/>
  <c r="HP99" i="5"/>
  <c r="HQ99" i="5"/>
  <c r="HR99" i="5"/>
  <c r="HS99" i="5"/>
  <c r="HT99" i="5"/>
  <c r="HU99" i="5"/>
  <c r="HV99" i="5"/>
  <c r="HW99" i="5"/>
  <c r="HX99" i="5"/>
  <c r="HY99" i="5"/>
  <c r="HZ99" i="5"/>
  <c r="IA99" i="5"/>
  <c r="IB99" i="5"/>
  <c r="IC99" i="5"/>
  <c r="ID99" i="5"/>
  <c r="IE99" i="5"/>
  <c r="IF99" i="5"/>
  <c r="IG99" i="5"/>
  <c r="IH99" i="5"/>
  <c r="II99" i="5"/>
  <c r="IJ99" i="5"/>
  <c r="IK99" i="5"/>
  <c r="IL99" i="5"/>
  <c r="IM99" i="5"/>
  <c r="IN99" i="5"/>
  <c r="IO99" i="5"/>
  <c r="IP99" i="5"/>
  <c r="IQ99" i="5"/>
  <c r="IR99" i="5"/>
  <c r="IS99" i="5"/>
  <c r="IT99" i="5"/>
  <c r="IU99" i="5"/>
  <c r="IV99"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H98" i="5"/>
  <c r="HI98" i="5"/>
  <c r="HJ98" i="5"/>
  <c r="HK98" i="5"/>
  <c r="HL98" i="5"/>
  <c r="HM98" i="5"/>
  <c r="HN98" i="5"/>
  <c r="HO98" i="5"/>
  <c r="HP98" i="5"/>
  <c r="HQ98" i="5"/>
  <c r="HR98" i="5"/>
  <c r="HS98" i="5"/>
  <c r="HT98" i="5"/>
  <c r="HU98" i="5"/>
  <c r="HV98" i="5"/>
  <c r="HW98" i="5"/>
  <c r="HX98" i="5"/>
  <c r="HY98" i="5"/>
  <c r="HZ98" i="5"/>
  <c r="IA98" i="5"/>
  <c r="IB98" i="5"/>
  <c r="IC98" i="5"/>
  <c r="ID98" i="5"/>
  <c r="IE98" i="5"/>
  <c r="IF98" i="5"/>
  <c r="IG98" i="5"/>
  <c r="IH98" i="5"/>
  <c r="II98" i="5"/>
  <c r="IJ98" i="5"/>
  <c r="IK98" i="5"/>
  <c r="IL98" i="5"/>
  <c r="IM98" i="5"/>
  <c r="IN98" i="5"/>
  <c r="IO98" i="5"/>
  <c r="IP98" i="5"/>
  <c r="IQ98" i="5"/>
  <c r="IR98" i="5"/>
  <c r="IS98" i="5"/>
  <c r="IT98" i="5"/>
  <c r="IU98" i="5"/>
  <c r="IV98"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G97" i="5"/>
  <c r="HH97" i="5"/>
  <c r="HI97" i="5"/>
  <c r="HJ97" i="5"/>
  <c r="HK97" i="5"/>
  <c r="HL97" i="5"/>
  <c r="HM97" i="5"/>
  <c r="HN97" i="5"/>
  <c r="HO97" i="5"/>
  <c r="HP97" i="5"/>
  <c r="HQ97" i="5"/>
  <c r="HR97" i="5"/>
  <c r="HS97" i="5"/>
  <c r="HT97" i="5"/>
  <c r="HU97" i="5"/>
  <c r="HV97" i="5"/>
  <c r="HW97" i="5"/>
  <c r="HX97" i="5"/>
  <c r="HY97" i="5"/>
  <c r="HZ97" i="5"/>
  <c r="IA97" i="5"/>
  <c r="IB97" i="5"/>
  <c r="IC97" i="5"/>
  <c r="ID97" i="5"/>
  <c r="IE97" i="5"/>
  <c r="IF97" i="5"/>
  <c r="IG97" i="5"/>
  <c r="IH97" i="5"/>
  <c r="II97" i="5"/>
  <c r="IJ97" i="5"/>
  <c r="IK97" i="5"/>
  <c r="IL97" i="5"/>
  <c r="IM97" i="5"/>
  <c r="IN97" i="5"/>
  <c r="IO97" i="5"/>
  <c r="IP97" i="5"/>
  <c r="IQ97" i="5"/>
  <c r="IR97" i="5"/>
  <c r="IS97" i="5"/>
  <c r="IT97" i="5"/>
  <c r="IU97" i="5"/>
  <c r="IV97"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H96" i="5"/>
  <c r="HI96" i="5"/>
  <c r="HJ96" i="5"/>
  <c r="HK96" i="5"/>
  <c r="HL96" i="5"/>
  <c r="HM96" i="5"/>
  <c r="HN96" i="5"/>
  <c r="HO96" i="5"/>
  <c r="HP96" i="5"/>
  <c r="HQ96" i="5"/>
  <c r="HR96" i="5"/>
  <c r="HS96" i="5"/>
  <c r="HT96" i="5"/>
  <c r="HU96" i="5"/>
  <c r="HV96" i="5"/>
  <c r="HW96" i="5"/>
  <c r="HX96" i="5"/>
  <c r="HY96" i="5"/>
  <c r="HZ96" i="5"/>
  <c r="IA96" i="5"/>
  <c r="IB96" i="5"/>
  <c r="IC96" i="5"/>
  <c r="ID96" i="5"/>
  <c r="IE96" i="5"/>
  <c r="IF96" i="5"/>
  <c r="IG96" i="5"/>
  <c r="IH96" i="5"/>
  <c r="II96" i="5"/>
  <c r="IJ96" i="5"/>
  <c r="IK96" i="5"/>
  <c r="IL96" i="5"/>
  <c r="IM96" i="5"/>
  <c r="IN96" i="5"/>
  <c r="IO96" i="5"/>
  <c r="IP96" i="5"/>
  <c r="IQ96" i="5"/>
  <c r="IR96" i="5"/>
  <c r="IS96" i="5"/>
  <c r="IT96" i="5"/>
  <c r="IU96" i="5"/>
  <c r="IV96"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G95" i="5"/>
  <c r="HH95" i="5"/>
  <c r="HI95" i="5"/>
  <c r="HJ95" i="5"/>
  <c r="HK95" i="5"/>
  <c r="HL95" i="5"/>
  <c r="HM95" i="5"/>
  <c r="HN95" i="5"/>
  <c r="HO95" i="5"/>
  <c r="HP95" i="5"/>
  <c r="HQ95" i="5"/>
  <c r="HR95" i="5"/>
  <c r="HS95" i="5"/>
  <c r="HT95" i="5"/>
  <c r="HU95" i="5"/>
  <c r="HV95" i="5"/>
  <c r="HW95" i="5"/>
  <c r="HX95" i="5"/>
  <c r="HY95" i="5"/>
  <c r="HZ95" i="5"/>
  <c r="IA95" i="5"/>
  <c r="IB95" i="5"/>
  <c r="IC95" i="5"/>
  <c r="ID95" i="5"/>
  <c r="IE95" i="5"/>
  <c r="IF95" i="5"/>
  <c r="IG95" i="5"/>
  <c r="IH95" i="5"/>
  <c r="II95" i="5"/>
  <c r="IJ95" i="5"/>
  <c r="IK95" i="5"/>
  <c r="IL95" i="5"/>
  <c r="IM95" i="5"/>
  <c r="IN95" i="5"/>
  <c r="IO95" i="5"/>
  <c r="IP95" i="5"/>
  <c r="IQ95" i="5"/>
  <c r="IR95" i="5"/>
  <c r="IS95" i="5"/>
  <c r="IT95" i="5"/>
  <c r="IU95" i="5"/>
  <c r="IV95"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H94" i="5"/>
  <c r="HI94" i="5"/>
  <c r="HJ94" i="5"/>
  <c r="HK94" i="5"/>
  <c r="HL94" i="5"/>
  <c r="HM94" i="5"/>
  <c r="HN94" i="5"/>
  <c r="HO94" i="5"/>
  <c r="HP94" i="5"/>
  <c r="HQ94" i="5"/>
  <c r="HR94" i="5"/>
  <c r="HS94" i="5"/>
  <c r="HT94" i="5"/>
  <c r="HU94" i="5"/>
  <c r="HV94" i="5"/>
  <c r="HW94" i="5"/>
  <c r="HX94" i="5"/>
  <c r="HY94" i="5"/>
  <c r="HZ94" i="5"/>
  <c r="IA94" i="5"/>
  <c r="IB94" i="5"/>
  <c r="IC94" i="5"/>
  <c r="ID94" i="5"/>
  <c r="IE94" i="5"/>
  <c r="IF94" i="5"/>
  <c r="IG94" i="5"/>
  <c r="IH94" i="5"/>
  <c r="II94" i="5"/>
  <c r="IJ94" i="5"/>
  <c r="IK94" i="5"/>
  <c r="IL94" i="5"/>
  <c r="IM94" i="5"/>
  <c r="IN94" i="5"/>
  <c r="IO94" i="5"/>
  <c r="IP94" i="5"/>
  <c r="IQ94" i="5"/>
  <c r="IR94" i="5"/>
  <c r="IS94" i="5"/>
  <c r="IT94" i="5"/>
  <c r="IU94" i="5"/>
  <c r="IV94"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H93" i="5"/>
  <c r="HI93" i="5"/>
  <c r="HJ93" i="5"/>
  <c r="HK93" i="5"/>
  <c r="HL93" i="5"/>
  <c r="HM93" i="5"/>
  <c r="HN93" i="5"/>
  <c r="HO93" i="5"/>
  <c r="HP93" i="5"/>
  <c r="HQ93" i="5"/>
  <c r="HR93" i="5"/>
  <c r="HS93" i="5"/>
  <c r="HT93" i="5"/>
  <c r="HU93" i="5"/>
  <c r="HV93" i="5"/>
  <c r="HW93" i="5"/>
  <c r="HX93" i="5"/>
  <c r="HY93" i="5"/>
  <c r="HZ93" i="5"/>
  <c r="IA93" i="5"/>
  <c r="IB93" i="5"/>
  <c r="IC93" i="5"/>
  <c r="ID93" i="5"/>
  <c r="IE93" i="5"/>
  <c r="IF93" i="5"/>
  <c r="IG93" i="5"/>
  <c r="IH93" i="5"/>
  <c r="II93" i="5"/>
  <c r="IJ93" i="5"/>
  <c r="IK93" i="5"/>
  <c r="IL93" i="5"/>
  <c r="IM93" i="5"/>
  <c r="IN93" i="5"/>
  <c r="IO93" i="5"/>
  <c r="IP93" i="5"/>
  <c r="IQ93" i="5"/>
  <c r="IR93" i="5"/>
  <c r="IS93" i="5"/>
  <c r="IT93" i="5"/>
  <c r="IU93" i="5"/>
  <c r="IV93"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H92" i="5"/>
  <c r="HI92" i="5"/>
  <c r="HJ92" i="5"/>
  <c r="HK92" i="5"/>
  <c r="HL92" i="5"/>
  <c r="HM92" i="5"/>
  <c r="HN92" i="5"/>
  <c r="HO92" i="5"/>
  <c r="HP92" i="5"/>
  <c r="HQ92" i="5"/>
  <c r="HR92" i="5"/>
  <c r="HS92" i="5"/>
  <c r="HT92" i="5"/>
  <c r="HU92" i="5"/>
  <c r="HV92" i="5"/>
  <c r="HW92" i="5"/>
  <c r="HX92" i="5"/>
  <c r="HY92" i="5"/>
  <c r="HZ92" i="5"/>
  <c r="IA92" i="5"/>
  <c r="IB92" i="5"/>
  <c r="IC92" i="5"/>
  <c r="ID92" i="5"/>
  <c r="IE92" i="5"/>
  <c r="IF92" i="5"/>
  <c r="IG92" i="5"/>
  <c r="IH92" i="5"/>
  <c r="II92" i="5"/>
  <c r="IJ92" i="5"/>
  <c r="IK92" i="5"/>
  <c r="IL92" i="5"/>
  <c r="IM92" i="5"/>
  <c r="IN92" i="5"/>
  <c r="IO92" i="5"/>
  <c r="IP92" i="5"/>
  <c r="IQ92" i="5"/>
  <c r="IR92" i="5"/>
  <c r="IS92" i="5"/>
  <c r="IT92" i="5"/>
  <c r="IU92" i="5"/>
  <c r="IV92"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G91" i="5"/>
  <c r="HH91" i="5"/>
  <c r="HI91" i="5"/>
  <c r="HJ91" i="5"/>
  <c r="HK91" i="5"/>
  <c r="HL91" i="5"/>
  <c r="HM91" i="5"/>
  <c r="HN91" i="5"/>
  <c r="HO91" i="5"/>
  <c r="HP91" i="5"/>
  <c r="HQ91" i="5"/>
  <c r="HR91" i="5"/>
  <c r="HS91" i="5"/>
  <c r="HT91" i="5"/>
  <c r="HU91" i="5"/>
  <c r="HV91" i="5"/>
  <c r="HW91" i="5"/>
  <c r="HX91" i="5"/>
  <c r="HY91" i="5"/>
  <c r="HZ91" i="5"/>
  <c r="IA91" i="5"/>
  <c r="IB91" i="5"/>
  <c r="IC91" i="5"/>
  <c r="ID91" i="5"/>
  <c r="IE91" i="5"/>
  <c r="IF91" i="5"/>
  <c r="IG91" i="5"/>
  <c r="IH91" i="5"/>
  <c r="II91" i="5"/>
  <c r="IJ91" i="5"/>
  <c r="IK91" i="5"/>
  <c r="IL91" i="5"/>
  <c r="IM91" i="5"/>
  <c r="IN91" i="5"/>
  <c r="IO91" i="5"/>
  <c r="IP91" i="5"/>
  <c r="IQ91" i="5"/>
  <c r="IR91" i="5"/>
  <c r="IS91" i="5"/>
  <c r="IT91" i="5"/>
  <c r="IU91" i="5"/>
  <c r="IV91"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H90" i="5"/>
  <c r="HI90" i="5"/>
  <c r="HJ90" i="5"/>
  <c r="HK90" i="5"/>
  <c r="HL90" i="5"/>
  <c r="HM90" i="5"/>
  <c r="HN90" i="5"/>
  <c r="HO90" i="5"/>
  <c r="HP90" i="5"/>
  <c r="HQ90" i="5"/>
  <c r="HR90" i="5"/>
  <c r="HS90" i="5"/>
  <c r="HT90" i="5"/>
  <c r="HU90" i="5"/>
  <c r="HV90" i="5"/>
  <c r="HW90" i="5"/>
  <c r="HX90" i="5"/>
  <c r="HY90" i="5"/>
  <c r="HZ90" i="5"/>
  <c r="IA90" i="5"/>
  <c r="IB90" i="5"/>
  <c r="IC90" i="5"/>
  <c r="ID90" i="5"/>
  <c r="IE90" i="5"/>
  <c r="IF90" i="5"/>
  <c r="IG90" i="5"/>
  <c r="IH90" i="5"/>
  <c r="II90" i="5"/>
  <c r="IJ90" i="5"/>
  <c r="IK90" i="5"/>
  <c r="IL90" i="5"/>
  <c r="IM90" i="5"/>
  <c r="IN90" i="5"/>
  <c r="IO90" i="5"/>
  <c r="IP90" i="5"/>
  <c r="IQ90" i="5"/>
  <c r="IR90" i="5"/>
  <c r="IS90" i="5"/>
  <c r="IT90" i="5"/>
  <c r="IU90" i="5"/>
  <c r="IV90"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G89" i="5"/>
  <c r="HH89" i="5"/>
  <c r="HI89" i="5"/>
  <c r="HJ89" i="5"/>
  <c r="HK89" i="5"/>
  <c r="HL89" i="5"/>
  <c r="HM89" i="5"/>
  <c r="HN89" i="5"/>
  <c r="HO89" i="5"/>
  <c r="HP89" i="5"/>
  <c r="HQ89" i="5"/>
  <c r="HR89" i="5"/>
  <c r="HS89" i="5"/>
  <c r="HT89" i="5"/>
  <c r="HU89" i="5"/>
  <c r="HV89" i="5"/>
  <c r="HW89" i="5"/>
  <c r="HX89" i="5"/>
  <c r="HY89" i="5"/>
  <c r="HZ89" i="5"/>
  <c r="IA89" i="5"/>
  <c r="IB89" i="5"/>
  <c r="IC89" i="5"/>
  <c r="ID89" i="5"/>
  <c r="IE89" i="5"/>
  <c r="IF89" i="5"/>
  <c r="IG89" i="5"/>
  <c r="IH89" i="5"/>
  <c r="II89" i="5"/>
  <c r="IJ89" i="5"/>
  <c r="IK89" i="5"/>
  <c r="IL89" i="5"/>
  <c r="IM89" i="5"/>
  <c r="IN89" i="5"/>
  <c r="IO89" i="5"/>
  <c r="IP89" i="5"/>
  <c r="IQ89" i="5"/>
  <c r="IR89" i="5"/>
  <c r="IS89" i="5"/>
  <c r="IT89" i="5"/>
  <c r="IU89" i="5"/>
  <c r="IV89"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H88" i="5"/>
  <c r="HI88" i="5"/>
  <c r="HJ88" i="5"/>
  <c r="HK88" i="5"/>
  <c r="HL88" i="5"/>
  <c r="HM88" i="5"/>
  <c r="HN88" i="5"/>
  <c r="HO88" i="5"/>
  <c r="HP88" i="5"/>
  <c r="HQ88" i="5"/>
  <c r="HR88" i="5"/>
  <c r="HS88" i="5"/>
  <c r="HT88" i="5"/>
  <c r="HU88" i="5"/>
  <c r="HV88" i="5"/>
  <c r="HW88" i="5"/>
  <c r="HX88" i="5"/>
  <c r="HY88" i="5"/>
  <c r="HZ88" i="5"/>
  <c r="IA88" i="5"/>
  <c r="IB88" i="5"/>
  <c r="IC88" i="5"/>
  <c r="ID88" i="5"/>
  <c r="IE88" i="5"/>
  <c r="IF88" i="5"/>
  <c r="IG88" i="5"/>
  <c r="IH88" i="5"/>
  <c r="II88" i="5"/>
  <c r="IJ88" i="5"/>
  <c r="IK88" i="5"/>
  <c r="IL88" i="5"/>
  <c r="IM88" i="5"/>
  <c r="IN88" i="5"/>
  <c r="IO88" i="5"/>
  <c r="IP88" i="5"/>
  <c r="IQ88" i="5"/>
  <c r="IR88" i="5"/>
  <c r="IS88" i="5"/>
  <c r="IT88" i="5"/>
  <c r="IU88" i="5"/>
  <c r="IV88"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G87" i="5"/>
  <c r="HH87" i="5"/>
  <c r="HI87" i="5"/>
  <c r="HJ87" i="5"/>
  <c r="HK87" i="5"/>
  <c r="HL87" i="5"/>
  <c r="HM87" i="5"/>
  <c r="HN87" i="5"/>
  <c r="HO87" i="5"/>
  <c r="HP87" i="5"/>
  <c r="HQ87" i="5"/>
  <c r="HR87" i="5"/>
  <c r="HS87" i="5"/>
  <c r="HT87" i="5"/>
  <c r="HU87" i="5"/>
  <c r="HV87" i="5"/>
  <c r="HW87" i="5"/>
  <c r="HX87" i="5"/>
  <c r="HY87" i="5"/>
  <c r="HZ87" i="5"/>
  <c r="IA87" i="5"/>
  <c r="IB87" i="5"/>
  <c r="IC87" i="5"/>
  <c r="ID87" i="5"/>
  <c r="IE87" i="5"/>
  <c r="IF87" i="5"/>
  <c r="IG87" i="5"/>
  <c r="IH87" i="5"/>
  <c r="II87" i="5"/>
  <c r="IJ87" i="5"/>
  <c r="IK87" i="5"/>
  <c r="IL87" i="5"/>
  <c r="IM87" i="5"/>
  <c r="IN87" i="5"/>
  <c r="IO87" i="5"/>
  <c r="IP87" i="5"/>
  <c r="IQ87" i="5"/>
  <c r="IR87" i="5"/>
  <c r="IS87" i="5"/>
  <c r="IT87" i="5"/>
  <c r="IU87" i="5"/>
  <c r="IV87"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H86" i="5"/>
  <c r="HI86" i="5"/>
  <c r="HJ86" i="5"/>
  <c r="HK86" i="5"/>
  <c r="HL86" i="5"/>
  <c r="HM86" i="5"/>
  <c r="HN86" i="5"/>
  <c r="HO86" i="5"/>
  <c r="HP86" i="5"/>
  <c r="HQ86" i="5"/>
  <c r="HR86" i="5"/>
  <c r="HS86" i="5"/>
  <c r="HT86" i="5"/>
  <c r="HU86" i="5"/>
  <c r="HV86" i="5"/>
  <c r="HW86" i="5"/>
  <c r="HX86" i="5"/>
  <c r="HY86" i="5"/>
  <c r="HZ86" i="5"/>
  <c r="IA86" i="5"/>
  <c r="IB86" i="5"/>
  <c r="IC86" i="5"/>
  <c r="ID86" i="5"/>
  <c r="IE86" i="5"/>
  <c r="IF86" i="5"/>
  <c r="IG86" i="5"/>
  <c r="IH86" i="5"/>
  <c r="II86" i="5"/>
  <c r="IJ86" i="5"/>
  <c r="IK86" i="5"/>
  <c r="IL86" i="5"/>
  <c r="IM86" i="5"/>
  <c r="IN86" i="5"/>
  <c r="IO86" i="5"/>
  <c r="IP86" i="5"/>
  <c r="IQ86" i="5"/>
  <c r="IR86" i="5"/>
  <c r="IS86" i="5"/>
  <c r="IT86" i="5"/>
  <c r="IU86" i="5"/>
  <c r="IV86"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G85" i="5"/>
  <c r="HH85" i="5"/>
  <c r="HI85" i="5"/>
  <c r="HJ85" i="5"/>
  <c r="HK85" i="5"/>
  <c r="HL85" i="5"/>
  <c r="HM85" i="5"/>
  <c r="HN85" i="5"/>
  <c r="HO85" i="5"/>
  <c r="HP85" i="5"/>
  <c r="HQ85" i="5"/>
  <c r="HR85" i="5"/>
  <c r="HS85" i="5"/>
  <c r="HT85" i="5"/>
  <c r="HU85" i="5"/>
  <c r="HV85" i="5"/>
  <c r="HW85" i="5"/>
  <c r="HX85" i="5"/>
  <c r="HY85" i="5"/>
  <c r="HZ85" i="5"/>
  <c r="IA85" i="5"/>
  <c r="IB85" i="5"/>
  <c r="IC85" i="5"/>
  <c r="ID85" i="5"/>
  <c r="IE85" i="5"/>
  <c r="IF85" i="5"/>
  <c r="IG85" i="5"/>
  <c r="IH85" i="5"/>
  <c r="II85" i="5"/>
  <c r="IJ85" i="5"/>
  <c r="IK85" i="5"/>
  <c r="IL85" i="5"/>
  <c r="IM85" i="5"/>
  <c r="IN85" i="5"/>
  <c r="IO85" i="5"/>
  <c r="IP85" i="5"/>
  <c r="IQ85" i="5"/>
  <c r="IR85" i="5"/>
  <c r="IS85" i="5"/>
  <c r="IT85" i="5"/>
  <c r="IU85" i="5"/>
  <c r="IV85"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H84" i="5"/>
  <c r="HI84" i="5"/>
  <c r="HJ84" i="5"/>
  <c r="HK84" i="5"/>
  <c r="HL84" i="5"/>
  <c r="HM84" i="5"/>
  <c r="HN84" i="5"/>
  <c r="HO84" i="5"/>
  <c r="HP84" i="5"/>
  <c r="HQ84" i="5"/>
  <c r="HR84" i="5"/>
  <c r="HS84" i="5"/>
  <c r="HT84" i="5"/>
  <c r="HU84" i="5"/>
  <c r="HV84" i="5"/>
  <c r="HW84" i="5"/>
  <c r="HX84" i="5"/>
  <c r="HY84" i="5"/>
  <c r="HZ84" i="5"/>
  <c r="IA84" i="5"/>
  <c r="IB84" i="5"/>
  <c r="IC84" i="5"/>
  <c r="ID84" i="5"/>
  <c r="IE84" i="5"/>
  <c r="IF84" i="5"/>
  <c r="IG84" i="5"/>
  <c r="IH84" i="5"/>
  <c r="II84" i="5"/>
  <c r="IJ84" i="5"/>
  <c r="IK84" i="5"/>
  <c r="IL84" i="5"/>
  <c r="IM84" i="5"/>
  <c r="IN84" i="5"/>
  <c r="IO84" i="5"/>
  <c r="IP84" i="5"/>
  <c r="IQ84" i="5"/>
  <c r="IR84" i="5"/>
  <c r="IS84" i="5"/>
  <c r="IT84" i="5"/>
  <c r="IU84" i="5"/>
  <c r="IV84"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G83" i="5"/>
  <c r="HH83" i="5"/>
  <c r="HI83" i="5"/>
  <c r="HJ83" i="5"/>
  <c r="HK83" i="5"/>
  <c r="HL83" i="5"/>
  <c r="HM83" i="5"/>
  <c r="HN83" i="5"/>
  <c r="HO83" i="5"/>
  <c r="HP83" i="5"/>
  <c r="HQ83" i="5"/>
  <c r="HR83" i="5"/>
  <c r="HS83" i="5"/>
  <c r="HT83" i="5"/>
  <c r="HU83" i="5"/>
  <c r="HV83" i="5"/>
  <c r="HW83" i="5"/>
  <c r="HX83" i="5"/>
  <c r="HY83" i="5"/>
  <c r="HZ83" i="5"/>
  <c r="IA83" i="5"/>
  <c r="IB83" i="5"/>
  <c r="IC83" i="5"/>
  <c r="ID83" i="5"/>
  <c r="IE83" i="5"/>
  <c r="IF83" i="5"/>
  <c r="IG83" i="5"/>
  <c r="IH83" i="5"/>
  <c r="II83" i="5"/>
  <c r="IJ83" i="5"/>
  <c r="IK83" i="5"/>
  <c r="IL83" i="5"/>
  <c r="IM83" i="5"/>
  <c r="IN83" i="5"/>
  <c r="IO83" i="5"/>
  <c r="IP83" i="5"/>
  <c r="IQ83" i="5"/>
  <c r="IR83" i="5"/>
  <c r="IS83" i="5"/>
  <c r="IT83" i="5"/>
  <c r="IU83" i="5"/>
  <c r="IV83"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H82" i="5"/>
  <c r="HI82" i="5"/>
  <c r="HJ82" i="5"/>
  <c r="HK82" i="5"/>
  <c r="HL82" i="5"/>
  <c r="HM82" i="5"/>
  <c r="HN82" i="5"/>
  <c r="HO82" i="5"/>
  <c r="HP82" i="5"/>
  <c r="HQ82" i="5"/>
  <c r="HR82" i="5"/>
  <c r="HS82" i="5"/>
  <c r="HT82" i="5"/>
  <c r="HU82" i="5"/>
  <c r="HV82" i="5"/>
  <c r="HW82" i="5"/>
  <c r="HX82" i="5"/>
  <c r="HY82" i="5"/>
  <c r="HZ82" i="5"/>
  <c r="IA82" i="5"/>
  <c r="IB82" i="5"/>
  <c r="IC82" i="5"/>
  <c r="ID82" i="5"/>
  <c r="IE82" i="5"/>
  <c r="IF82" i="5"/>
  <c r="IG82" i="5"/>
  <c r="IH82" i="5"/>
  <c r="II82" i="5"/>
  <c r="IJ82" i="5"/>
  <c r="IK82" i="5"/>
  <c r="IL82" i="5"/>
  <c r="IM82" i="5"/>
  <c r="IN82" i="5"/>
  <c r="IO82" i="5"/>
  <c r="IP82" i="5"/>
  <c r="IQ82" i="5"/>
  <c r="IR82" i="5"/>
  <c r="IS82" i="5"/>
  <c r="IT82" i="5"/>
  <c r="IU82" i="5"/>
  <c r="IV82"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G81" i="5"/>
  <c r="HH81" i="5"/>
  <c r="HI81" i="5"/>
  <c r="HJ81" i="5"/>
  <c r="HK81" i="5"/>
  <c r="HL81" i="5"/>
  <c r="HM81" i="5"/>
  <c r="HN81" i="5"/>
  <c r="HO81" i="5"/>
  <c r="HP81" i="5"/>
  <c r="HQ81" i="5"/>
  <c r="HR81" i="5"/>
  <c r="HS81" i="5"/>
  <c r="HT81" i="5"/>
  <c r="HU81" i="5"/>
  <c r="HV81" i="5"/>
  <c r="HW81" i="5"/>
  <c r="HX81" i="5"/>
  <c r="HY81" i="5"/>
  <c r="HZ81" i="5"/>
  <c r="IA81" i="5"/>
  <c r="IB81" i="5"/>
  <c r="IC81" i="5"/>
  <c r="ID81" i="5"/>
  <c r="IE81" i="5"/>
  <c r="IF81" i="5"/>
  <c r="IG81" i="5"/>
  <c r="IH81" i="5"/>
  <c r="II81" i="5"/>
  <c r="IJ81" i="5"/>
  <c r="IK81" i="5"/>
  <c r="IL81" i="5"/>
  <c r="IM81" i="5"/>
  <c r="IN81" i="5"/>
  <c r="IO81" i="5"/>
  <c r="IP81" i="5"/>
  <c r="IQ81" i="5"/>
  <c r="IR81" i="5"/>
  <c r="IS81" i="5"/>
  <c r="IT81" i="5"/>
  <c r="IU81" i="5"/>
  <c r="IV81"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H80" i="5"/>
  <c r="HI80" i="5"/>
  <c r="HJ80" i="5"/>
  <c r="HK80" i="5"/>
  <c r="HL80" i="5"/>
  <c r="HM80" i="5"/>
  <c r="HN80" i="5"/>
  <c r="HO80" i="5"/>
  <c r="HP80" i="5"/>
  <c r="HQ80" i="5"/>
  <c r="HR80" i="5"/>
  <c r="HS80" i="5"/>
  <c r="HT80" i="5"/>
  <c r="HU80" i="5"/>
  <c r="HV80" i="5"/>
  <c r="HW80" i="5"/>
  <c r="HX80" i="5"/>
  <c r="HY80" i="5"/>
  <c r="HZ80" i="5"/>
  <c r="IA80" i="5"/>
  <c r="IB80" i="5"/>
  <c r="IC80" i="5"/>
  <c r="ID80" i="5"/>
  <c r="IE80" i="5"/>
  <c r="IF80" i="5"/>
  <c r="IG80" i="5"/>
  <c r="IH80" i="5"/>
  <c r="II80" i="5"/>
  <c r="IJ80" i="5"/>
  <c r="IK80" i="5"/>
  <c r="IL80" i="5"/>
  <c r="IM80" i="5"/>
  <c r="IN80" i="5"/>
  <c r="IO80" i="5"/>
  <c r="IP80" i="5"/>
  <c r="IQ80" i="5"/>
  <c r="IR80" i="5"/>
  <c r="IS80" i="5"/>
  <c r="IT80" i="5"/>
  <c r="IU80" i="5"/>
  <c r="IV80"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G79" i="5"/>
  <c r="HH79" i="5"/>
  <c r="HI79" i="5"/>
  <c r="HJ79" i="5"/>
  <c r="HK79" i="5"/>
  <c r="HL79" i="5"/>
  <c r="HM79" i="5"/>
  <c r="HN79" i="5"/>
  <c r="HO79" i="5"/>
  <c r="HP79" i="5"/>
  <c r="HQ79" i="5"/>
  <c r="HR79" i="5"/>
  <c r="HS79" i="5"/>
  <c r="HT79" i="5"/>
  <c r="HU79" i="5"/>
  <c r="HV79" i="5"/>
  <c r="HW79" i="5"/>
  <c r="HX79" i="5"/>
  <c r="HY79" i="5"/>
  <c r="HZ79" i="5"/>
  <c r="IA79" i="5"/>
  <c r="IB79" i="5"/>
  <c r="IC79" i="5"/>
  <c r="ID79" i="5"/>
  <c r="IE79" i="5"/>
  <c r="IF79" i="5"/>
  <c r="IG79" i="5"/>
  <c r="IH79" i="5"/>
  <c r="II79" i="5"/>
  <c r="IJ79" i="5"/>
  <c r="IK79" i="5"/>
  <c r="IL79" i="5"/>
  <c r="IM79" i="5"/>
  <c r="IN79" i="5"/>
  <c r="IO79" i="5"/>
  <c r="IP79" i="5"/>
  <c r="IQ79" i="5"/>
  <c r="IR79" i="5"/>
  <c r="IS79" i="5"/>
  <c r="IT79" i="5"/>
  <c r="IU79" i="5"/>
  <c r="IV79"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H78" i="5"/>
  <c r="HI78" i="5"/>
  <c r="HJ78" i="5"/>
  <c r="HK78" i="5"/>
  <c r="HL78" i="5"/>
  <c r="HM78" i="5"/>
  <c r="HN78" i="5"/>
  <c r="HO78" i="5"/>
  <c r="HP78" i="5"/>
  <c r="HQ78" i="5"/>
  <c r="HR78" i="5"/>
  <c r="HS78" i="5"/>
  <c r="HT78" i="5"/>
  <c r="HU78" i="5"/>
  <c r="HV78" i="5"/>
  <c r="HW78" i="5"/>
  <c r="HX78" i="5"/>
  <c r="HY78" i="5"/>
  <c r="HZ78" i="5"/>
  <c r="IA78" i="5"/>
  <c r="IB78" i="5"/>
  <c r="IC78" i="5"/>
  <c r="ID78" i="5"/>
  <c r="IE78" i="5"/>
  <c r="IF78" i="5"/>
  <c r="IG78" i="5"/>
  <c r="IH78" i="5"/>
  <c r="II78" i="5"/>
  <c r="IJ78" i="5"/>
  <c r="IK78" i="5"/>
  <c r="IL78" i="5"/>
  <c r="IM78" i="5"/>
  <c r="IN78" i="5"/>
  <c r="IO78" i="5"/>
  <c r="IP78" i="5"/>
  <c r="IQ78" i="5"/>
  <c r="IR78" i="5"/>
  <c r="IS78" i="5"/>
  <c r="IT78" i="5"/>
  <c r="IU78" i="5"/>
  <c r="IV78"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G77" i="5"/>
  <c r="HH77" i="5"/>
  <c r="HI77" i="5"/>
  <c r="HJ77" i="5"/>
  <c r="HK77" i="5"/>
  <c r="HL77" i="5"/>
  <c r="HM77" i="5"/>
  <c r="HN77" i="5"/>
  <c r="HO77" i="5"/>
  <c r="HP77" i="5"/>
  <c r="HQ77" i="5"/>
  <c r="HR77" i="5"/>
  <c r="HS77" i="5"/>
  <c r="HT77" i="5"/>
  <c r="HU77" i="5"/>
  <c r="HV77" i="5"/>
  <c r="HW77" i="5"/>
  <c r="HX77" i="5"/>
  <c r="HY77" i="5"/>
  <c r="HZ77" i="5"/>
  <c r="IA77" i="5"/>
  <c r="IB77" i="5"/>
  <c r="IC77" i="5"/>
  <c r="ID77" i="5"/>
  <c r="IE77" i="5"/>
  <c r="IF77" i="5"/>
  <c r="IG77" i="5"/>
  <c r="IH77" i="5"/>
  <c r="II77" i="5"/>
  <c r="IJ77" i="5"/>
  <c r="IK77" i="5"/>
  <c r="IL77" i="5"/>
  <c r="IM77" i="5"/>
  <c r="IN77" i="5"/>
  <c r="IO77" i="5"/>
  <c r="IP77" i="5"/>
  <c r="IQ77" i="5"/>
  <c r="IR77" i="5"/>
  <c r="IS77" i="5"/>
  <c r="IT77" i="5"/>
  <c r="IU77" i="5"/>
  <c r="IV77"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H76" i="5"/>
  <c r="HI76" i="5"/>
  <c r="HJ76" i="5"/>
  <c r="HK76" i="5"/>
  <c r="HL76" i="5"/>
  <c r="HM76" i="5"/>
  <c r="HN76" i="5"/>
  <c r="HO76" i="5"/>
  <c r="HP76" i="5"/>
  <c r="HQ76" i="5"/>
  <c r="HR76" i="5"/>
  <c r="HS76" i="5"/>
  <c r="HT76" i="5"/>
  <c r="HU76" i="5"/>
  <c r="HV76" i="5"/>
  <c r="HW76" i="5"/>
  <c r="HX76" i="5"/>
  <c r="HY76" i="5"/>
  <c r="HZ76" i="5"/>
  <c r="IA76" i="5"/>
  <c r="IB76" i="5"/>
  <c r="IC76" i="5"/>
  <c r="ID76" i="5"/>
  <c r="IE76" i="5"/>
  <c r="IF76" i="5"/>
  <c r="IG76" i="5"/>
  <c r="IH76" i="5"/>
  <c r="II76" i="5"/>
  <c r="IJ76" i="5"/>
  <c r="IK76" i="5"/>
  <c r="IL76" i="5"/>
  <c r="IM76" i="5"/>
  <c r="IN76" i="5"/>
  <c r="IO76" i="5"/>
  <c r="IP76" i="5"/>
  <c r="IQ76" i="5"/>
  <c r="IR76" i="5"/>
  <c r="IS76" i="5"/>
  <c r="IT76" i="5"/>
  <c r="IU76" i="5"/>
  <c r="IV76" i="5"/>
  <c r="A75" i="5" l="1"/>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BA74" i="5"/>
  <c r="BB74" i="5"/>
  <c r="BC74" i="5"/>
  <c r="BD74" i="5"/>
  <c r="BE74" i="5"/>
  <c r="BF74" i="5"/>
  <c r="BG74" i="5"/>
  <c r="BH74" i="5"/>
  <c r="BI74" i="5"/>
  <c r="BJ74" i="5"/>
  <c r="BK74" i="5"/>
  <c r="BL74" i="5"/>
  <c r="BM74" i="5"/>
  <c r="BN74" i="5"/>
  <c r="BO74" i="5"/>
  <c r="BP74" i="5"/>
  <c r="BQ74" i="5"/>
  <c r="BR74" i="5"/>
  <c r="BS74" i="5"/>
  <c r="BT74" i="5"/>
  <c r="BU74" i="5"/>
  <c r="BV74" i="5"/>
  <c r="BW74" i="5"/>
  <c r="BX74" i="5"/>
  <c r="BY74" i="5"/>
  <c r="BZ74" i="5"/>
  <c r="CA74" i="5"/>
  <c r="CB74" i="5"/>
  <c r="CC74" i="5"/>
  <c r="CD74" i="5"/>
  <c r="CE74" i="5"/>
  <c r="CF74" i="5"/>
  <c r="CG74" i="5"/>
  <c r="CH74" i="5"/>
  <c r="CI74" i="5"/>
  <c r="CJ74" i="5"/>
  <c r="CK74" i="5"/>
  <c r="CL74" i="5"/>
  <c r="CM74" i="5"/>
  <c r="CN74" i="5"/>
  <c r="CO74" i="5"/>
  <c r="CP74" i="5"/>
  <c r="CQ74" i="5"/>
  <c r="CR74" i="5"/>
  <c r="CS74" i="5"/>
  <c r="CT74" i="5"/>
  <c r="CU74" i="5"/>
  <c r="CV74" i="5"/>
  <c r="CW74" i="5"/>
  <c r="CX74" i="5"/>
  <c r="CY74" i="5"/>
  <c r="CZ74" i="5"/>
  <c r="DA74" i="5"/>
  <c r="DB74" i="5"/>
  <c r="DC74" i="5"/>
  <c r="DD74" i="5"/>
  <c r="DE74" i="5"/>
  <c r="DF74" i="5"/>
  <c r="DG74" i="5"/>
  <c r="DH74" i="5"/>
  <c r="DI74" i="5"/>
  <c r="DJ74" i="5"/>
  <c r="DK74" i="5"/>
  <c r="DL74" i="5"/>
  <c r="DM74" i="5"/>
  <c r="DN74" i="5"/>
  <c r="DO74" i="5"/>
  <c r="DP74" i="5"/>
  <c r="DQ74" i="5"/>
  <c r="DR74" i="5"/>
  <c r="DS74" i="5"/>
  <c r="DT74" i="5"/>
  <c r="DU74" i="5"/>
  <c r="DV74" i="5"/>
  <c r="DW74" i="5"/>
  <c r="DX74" i="5"/>
  <c r="DY74" i="5"/>
  <c r="DZ74" i="5"/>
  <c r="EA74" i="5"/>
  <c r="EB74" i="5"/>
  <c r="EC74" i="5"/>
  <c r="ED74" i="5"/>
  <c r="EE74" i="5"/>
  <c r="EF74" i="5"/>
  <c r="EG74" i="5"/>
  <c r="EH74" i="5"/>
  <c r="EI74" i="5"/>
  <c r="EJ74" i="5"/>
  <c r="EK74" i="5"/>
  <c r="EL74" i="5"/>
  <c r="EM74" i="5"/>
  <c r="EN74" i="5"/>
  <c r="EO74" i="5"/>
  <c r="EP74" i="5"/>
  <c r="EQ74" i="5"/>
  <c r="ER74" i="5"/>
  <c r="ES74" i="5"/>
  <c r="ET74" i="5"/>
  <c r="EU74" i="5"/>
  <c r="EV74" i="5"/>
  <c r="EW74" i="5"/>
  <c r="EX74" i="5"/>
  <c r="EY74" i="5"/>
  <c r="EZ74" i="5"/>
  <c r="FA74" i="5"/>
  <c r="FB74" i="5"/>
  <c r="FC74" i="5"/>
  <c r="FD74" i="5"/>
  <c r="FE74" i="5"/>
  <c r="FF74" i="5"/>
  <c r="FG74" i="5"/>
  <c r="FH74" i="5"/>
  <c r="FI74" i="5"/>
  <c r="FJ74" i="5"/>
  <c r="FK74" i="5"/>
  <c r="FL74" i="5"/>
  <c r="FM74" i="5"/>
  <c r="FN74" i="5"/>
  <c r="FO74" i="5"/>
  <c r="FP74" i="5"/>
  <c r="FQ74" i="5"/>
  <c r="FR74" i="5"/>
  <c r="FS74" i="5"/>
  <c r="FT74" i="5"/>
  <c r="FU74" i="5"/>
  <c r="FV74" i="5"/>
  <c r="FW74" i="5"/>
  <c r="FX74" i="5"/>
  <c r="FY74" i="5"/>
  <c r="FZ74" i="5"/>
  <c r="GA74" i="5"/>
  <c r="GB74" i="5"/>
  <c r="GC74" i="5"/>
  <c r="GD74" i="5"/>
  <c r="GE74" i="5"/>
  <c r="GF74" i="5"/>
  <c r="GG74" i="5"/>
  <c r="GH74" i="5"/>
  <c r="GI74" i="5"/>
  <c r="GJ74" i="5"/>
  <c r="GK74" i="5"/>
  <c r="GL74" i="5"/>
  <c r="GM74" i="5"/>
  <c r="GN74" i="5"/>
  <c r="GO74" i="5"/>
  <c r="GP74" i="5"/>
  <c r="GQ74" i="5"/>
  <c r="GR74" i="5"/>
  <c r="GS74" i="5"/>
  <c r="GT74" i="5"/>
  <c r="GU74" i="5"/>
  <c r="GV74" i="5"/>
  <c r="GW74" i="5"/>
  <c r="GX74" i="5"/>
  <c r="GY74" i="5"/>
  <c r="GZ74" i="5"/>
  <c r="HA74" i="5"/>
  <c r="HB74" i="5"/>
  <c r="HC74" i="5"/>
  <c r="HD74" i="5"/>
  <c r="HE74" i="5"/>
  <c r="HF74" i="5"/>
  <c r="HG74" i="5"/>
  <c r="HH74" i="5"/>
  <c r="HI74" i="5"/>
  <c r="HJ74" i="5"/>
  <c r="HK74" i="5"/>
  <c r="HL74" i="5"/>
  <c r="HM74" i="5"/>
  <c r="HN74" i="5"/>
  <c r="HO74" i="5"/>
  <c r="HP74" i="5"/>
  <c r="HQ74" i="5"/>
  <c r="HR74" i="5"/>
  <c r="HS74" i="5"/>
  <c r="HT74" i="5"/>
  <c r="HU74" i="5"/>
  <c r="HV74" i="5"/>
  <c r="HW74" i="5"/>
  <c r="HX74" i="5"/>
  <c r="HY74" i="5"/>
  <c r="HZ74" i="5"/>
  <c r="IA74" i="5"/>
  <c r="IB74" i="5"/>
  <c r="IC74" i="5"/>
  <c r="ID74" i="5"/>
  <c r="IE74" i="5"/>
  <c r="IF74" i="5"/>
  <c r="IG74" i="5"/>
  <c r="IH74" i="5"/>
  <c r="II74" i="5"/>
  <c r="IJ74" i="5"/>
  <c r="IK74" i="5"/>
  <c r="IL74" i="5"/>
  <c r="IM74" i="5"/>
  <c r="IN74" i="5"/>
  <c r="IO74" i="5"/>
  <c r="IP74" i="5"/>
  <c r="IQ74" i="5"/>
  <c r="IR74" i="5"/>
  <c r="IS74" i="5"/>
  <c r="IT74" i="5"/>
  <c r="IU74" i="5"/>
  <c r="IV74"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BA73" i="5"/>
  <c r="BB73" i="5"/>
  <c r="BC73" i="5"/>
  <c r="BD73" i="5"/>
  <c r="BE73" i="5"/>
  <c r="BF73" i="5"/>
  <c r="BG73" i="5"/>
  <c r="BH73" i="5"/>
  <c r="BI73" i="5"/>
  <c r="BJ73" i="5"/>
  <c r="BK73" i="5"/>
  <c r="BL73" i="5"/>
  <c r="BM73" i="5"/>
  <c r="BN73" i="5"/>
  <c r="BO73" i="5"/>
  <c r="BP73" i="5"/>
  <c r="BQ73" i="5"/>
  <c r="BR73" i="5"/>
  <c r="BS73" i="5"/>
  <c r="BT73" i="5"/>
  <c r="BU73" i="5"/>
  <c r="BV73" i="5"/>
  <c r="BW73" i="5"/>
  <c r="BX73" i="5"/>
  <c r="BY73" i="5"/>
  <c r="BZ73" i="5"/>
  <c r="CA73" i="5"/>
  <c r="CB73" i="5"/>
  <c r="CC73" i="5"/>
  <c r="CD73" i="5"/>
  <c r="CE73" i="5"/>
  <c r="CF73" i="5"/>
  <c r="CG73" i="5"/>
  <c r="CH73" i="5"/>
  <c r="CI73" i="5"/>
  <c r="CJ73" i="5"/>
  <c r="CK73" i="5"/>
  <c r="CL73" i="5"/>
  <c r="CM73" i="5"/>
  <c r="CN73" i="5"/>
  <c r="CO73" i="5"/>
  <c r="CP73" i="5"/>
  <c r="CQ73" i="5"/>
  <c r="CR73" i="5"/>
  <c r="CS73" i="5"/>
  <c r="CT73" i="5"/>
  <c r="CU73" i="5"/>
  <c r="CV73" i="5"/>
  <c r="CW73" i="5"/>
  <c r="CX73" i="5"/>
  <c r="CY73" i="5"/>
  <c r="CZ73" i="5"/>
  <c r="DA73" i="5"/>
  <c r="DB73" i="5"/>
  <c r="DC73" i="5"/>
  <c r="DD73" i="5"/>
  <c r="DE73" i="5"/>
  <c r="DF73" i="5"/>
  <c r="DG73" i="5"/>
  <c r="DH73" i="5"/>
  <c r="DI73" i="5"/>
  <c r="DJ73" i="5"/>
  <c r="DK73" i="5"/>
  <c r="DL73" i="5"/>
  <c r="DM73" i="5"/>
  <c r="DN73" i="5"/>
  <c r="DO73" i="5"/>
  <c r="DP73" i="5"/>
  <c r="DQ73" i="5"/>
  <c r="DR73" i="5"/>
  <c r="DS73" i="5"/>
  <c r="DT73" i="5"/>
  <c r="DU73" i="5"/>
  <c r="DV73" i="5"/>
  <c r="DW73" i="5"/>
  <c r="DX73" i="5"/>
  <c r="DY73" i="5"/>
  <c r="DZ73" i="5"/>
  <c r="EA73" i="5"/>
  <c r="EB73" i="5"/>
  <c r="EC73" i="5"/>
  <c r="ED73" i="5"/>
  <c r="EE73" i="5"/>
  <c r="EF73" i="5"/>
  <c r="EG73" i="5"/>
  <c r="EH73" i="5"/>
  <c r="EI73" i="5"/>
  <c r="EJ73" i="5"/>
  <c r="EK73" i="5"/>
  <c r="EL73" i="5"/>
  <c r="EM73" i="5"/>
  <c r="EN73" i="5"/>
  <c r="EO73" i="5"/>
  <c r="EP73" i="5"/>
  <c r="EQ73" i="5"/>
  <c r="ER73" i="5"/>
  <c r="ES73" i="5"/>
  <c r="ET73" i="5"/>
  <c r="EU73" i="5"/>
  <c r="EV73" i="5"/>
  <c r="EW73" i="5"/>
  <c r="EX73" i="5"/>
  <c r="EY73" i="5"/>
  <c r="EZ73" i="5"/>
  <c r="FA73" i="5"/>
  <c r="FB73" i="5"/>
  <c r="FC73" i="5"/>
  <c r="FD73" i="5"/>
  <c r="FE73" i="5"/>
  <c r="FF73" i="5"/>
  <c r="FG73" i="5"/>
  <c r="FH73" i="5"/>
  <c r="FI73" i="5"/>
  <c r="FJ73" i="5"/>
  <c r="FK73" i="5"/>
  <c r="FL73" i="5"/>
  <c r="FM73" i="5"/>
  <c r="FN73" i="5"/>
  <c r="FO73" i="5"/>
  <c r="FP73" i="5"/>
  <c r="FQ73" i="5"/>
  <c r="FR73" i="5"/>
  <c r="FS73" i="5"/>
  <c r="FT73" i="5"/>
  <c r="FU73" i="5"/>
  <c r="FV73" i="5"/>
  <c r="FW73" i="5"/>
  <c r="FX73" i="5"/>
  <c r="FY73" i="5"/>
  <c r="FZ73" i="5"/>
  <c r="GA73" i="5"/>
  <c r="GB73" i="5"/>
  <c r="GC73" i="5"/>
  <c r="GD73" i="5"/>
  <c r="GE73" i="5"/>
  <c r="GF73" i="5"/>
  <c r="GG73" i="5"/>
  <c r="GH73" i="5"/>
  <c r="GI73" i="5"/>
  <c r="GJ73" i="5"/>
  <c r="GK73" i="5"/>
  <c r="GL73" i="5"/>
  <c r="GM73" i="5"/>
  <c r="GN73" i="5"/>
  <c r="GO73" i="5"/>
  <c r="GP73" i="5"/>
  <c r="GQ73" i="5"/>
  <c r="GR73" i="5"/>
  <c r="GS73" i="5"/>
  <c r="GT73" i="5"/>
  <c r="GU73" i="5"/>
  <c r="GV73" i="5"/>
  <c r="GW73" i="5"/>
  <c r="GX73" i="5"/>
  <c r="GY73" i="5"/>
  <c r="GZ73" i="5"/>
  <c r="HA73" i="5"/>
  <c r="HB73" i="5"/>
  <c r="HC73" i="5"/>
  <c r="HD73" i="5"/>
  <c r="HE73" i="5"/>
  <c r="HF73" i="5"/>
  <c r="HG73" i="5"/>
  <c r="HH73" i="5"/>
  <c r="HI73" i="5"/>
  <c r="HJ73" i="5"/>
  <c r="HK73" i="5"/>
  <c r="HL73" i="5"/>
  <c r="HM73" i="5"/>
  <c r="HN73" i="5"/>
  <c r="HO73" i="5"/>
  <c r="HP73" i="5"/>
  <c r="HQ73" i="5"/>
  <c r="HR73" i="5"/>
  <c r="HS73" i="5"/>
  <c r="HT73" i="5"/>
  <c r="HU73" i="5"/>
  <c r="HV73" i="5"/>
  <c r="HW73" i="5"/>
  <c r="HX73" i="5"/>
  <c r="HY73" i="5"/>
  <c r="HZ73" i="5"/>
  <c r="IA73" i="5"/>
  <c r="IB73" i="5"/>
  <c r="IC73" i="5"/>
  <c r="ID73" i="5"/>
  <c r="IE73" i="5"/>
  <c r="IF73" i="5"/>
  <c r="IG73" i="5"/>
  <c r="IH73" i="5"/>
  <c r="II73" i="5"/>
  <c r="IJ73" i="5"/>
  <c r="IK73" i="5"/>
  <c r="IL73" i="5"/>
  <c r="IM73" i="5"/>
  <c r="IN73" i="5"/>
  <c r="IO73" i="5"/>
  <c r="IP73" i="5"/>
  <c r="IQ73" i="5"/>
  <c r="IR73" i="5"/>
  <c r="IS73" i="5"/>
  <c r="IT73" i="5"/>
  <c r="IU73" i="5"/>
  <c r="IV73"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BA72" i="5"/>
  <c r="BB72" i="5"/>
  <c r="BC72" i="5"/>
  <c r="BD72" i="5"/>
  <c r="BE72" i="5"/>
  <c r="BF72" i="5"/>
  <c r="BG72" i="5"/>
  <c r="BH72" i="5"/>
  <c r="BI72" i="5"/>
  <c r="BJ72" i="5"/>
  <c r="BK72" i="5"/>
  <c r="BL72" i="5"/>
  <c r="BM72" i="5"/>
  <c r="BN72" i="5"/>
  <c r="BO72" i="5"/>
  <c r="BP72" i="5"/>
  <c r="BQ72" i="5"/>
  <c r="BR72" i="5"/>
  <c r="BS72" i="5"/>
  <c r="BT72" i="5"/>
  <c r="BU72" i="5"/>
  <c r="BV72" i="5"/>
  <c r="BW72" i="5"/>
  <c r="BX72" i="5"/>
  <c r="BY72" i="5"/>
  <c r="BZ72" i="5"/>
  <c r="CA72" i="5"/>
  <c r="CB72" i="5"/>
  <c r="CC72" i="5"/>
  <c r="CD72" i="5"/>
  <c r="CE72" i="5"/>
  <c r="CF72" i="5"/>
  <c r="CG72" i="5"/>
  <c r="CH72" i="5"/>
  <c r="CI72" i="5"/>
  <c r="CJ72" i="5"/>
  <c r="CK72" i="5"/>
  <c r="CL72" i="5"/>
  <c r="CM72" i="5"/>
  <c r="CN72" i="5"/>
  <c r="CO72" i="5"/>
  <c r="CP72" i="5"/>
  <c r="CQ72" i="5"/>
  <c r="CR72" i="5"/>
  <c r="CS72" i="5"/>
  <c r="CT72" i="5"/>
  <c r="CU72" i="5"/>
  <c r="CV72" i="5"/>
  <c r="CW72" i="5"/>
  <c r="CX72" i="5"/>
  <c r="CY72" i="5"/>
  <c r="CZ72" i="5"/>
  <c r="DA72" i="5"/>
  <c r="DB72" i="5"/>
  <c r="DC72" i="5"/>
  <c r="DD72" i="5"/>
  <c r="DE72" i="5"/>
  <c r="DF72" i="5"/>
  <c r="DG72" i="5"/>
  <c r="DH72" i="5"/>
  <c r="DI72" i="5"/>
  <c r="DJ72" i="5"/>
  <c r="DK72" i="5"/>
  <c r="DL72" i="5"/>
  <c r="DM72" i="5"/>
  <c r="DN72" i="5"/>
  <c r="DO72" i="5"/>
  <c r="DP72" i="5"/>
  <c r="DQ72" i="5"/>
  <c r="DR72" i="5"/>
  <c r="DS72" i="5"/>
  <c r="DT72" i="5"/>
  <c r="DU72" i="5"/>
  <c r="DV72" i="5"/>
  <c r="DW72" i="5"/>
  <c r="DX72" i="5"/>
  <c r="DY72" i="5"/>
  <c r="DZ72" i="5"/>
  <c r="EA72" i="5"/>
  <c r="EB72" i="5"/>
  <c r="EC72" i="5"/>
  <c r="ED72" i="5"/>
  <c r="EE72" i="5"/>
  <c r="EF72" i="5"/>
  <c r="EG72" i="5"/>
  <c r="EH72" i="5"/>
  <c r="EI72" i="5"/>
  <c r="EJ72" i="5"/>
  <c r="EK72" i="5"/>
  <c r="EL72" i="5"/>
  <c r="EM72" i="5"/>
  <c r="EN72" i="5"/>
  <c r="EO72" i="5"/>
  <c r="EP72" i="5"/>
  <c r="EQ72" i="5"/>
  <c r="ER72" i="5"/>
  <c r="ES72" i="5"/>
  <c r="ET72" i="5"/>
  <c r="EU72" i="5"/>
  <c r="EV72" i="5"/>
  <c r="EW72" i="5"/>
  <c r="EX72" i="5"/>
  <c r="EY72" i="5"/>
  <c r="EZ72" i="5"/>
  <c r="FA72" i="5"/>
  <c r="FB72" i="5"/>
  <c r="FC72" i="5"/>
  <c r="FD72" i="5"/>
  <c r="FE72" i="5"/>
  <c r="FF72" i="5"/>
  <c r="FG72" i="5"/>
  <c r="FH72" i="5"/>
  <c r="FI72" i="5"/>
  <c r="FJ72" i="5"/>
  <c r="FK72" i="5"/>
  <c r="FL72" i="5"/>
  <c r="FM72" i="5"/>
  <c r="FN72" i="5"/>
  <c r="FO72" i="5"/>
  <c r="FP72" i="5"/>
  <c r="FQ72" i="5"/>
  <c r="FR72" i="5"/>
  <c r="FS72" i="5"/>
  <c r="FT72" i="5"/>
  <c r="FU72" i="5"/>
  <c r="FV72" i="5"/>
  <c r="FW72" i="5"/>
  <c r="FX72" i="5"/>
  <c r="FY72" i="5"/>
  <c r="FZ72" i="5"/>
  <c r="GA72" i="5"/>
  <c r="GB72" i="5"/>
  <c r="GC72" i="5"/>
  <c r="GD72" i="5"/>
  <c r="GE72" i="5"/>
  <c r="GF72" i="5"/>
  <c r="GG72" i="5"/>
  <c r="GH72" i="5"/>
  <c r="GI72" i="5"/>
  <c r="GJ72" i="5"/>
  <c r="GK72" i="5"/>
  <c r="GL72" i="5"/>
  <c r="GM72" i="5"/>
  <c r="GN72" i="5"/>
  <c r="GO72" i="5"/>
  <c r="GP72" i="5"/>
  <c r="GQ72" i="5"/>
  <c r="GR72" i="5"/>
  <c r="GS72" i="5"/>
  <c r="GT72" i="5"/>
  <c r="GU72" i="5"/>
  <c r="GV72" i="5"/>
  <c r="GW72" i="5"/>
  <c r="GX72" i="5"/>
  <c r="GY72" i="5"/>
  <c r="GZ72" i="5"/>
  <c r="HA72" i="5"/>
  <c r="HB72" i="5"/>
  <c r="HC72" i="5"/>
  <c r="HD72" i="5"/>
  <c r="HE72" i="5"/>
  <c r="HF72" i="5"/>
  <c r="HG72" i="5"/>
  <c r="HH72" i="5"/>
  <c r="HI72" i="5"/>
  <c r="HJ72" i="5"/>
  <c r="HK72" i="5"/>
  <c r="HL72" i="5"/>
  <c r="HM72" i="5"/>
  <c r="HN72" i="5"/>
  <c r="HO72" i="5"/>
  <c r="HP72" i="5"/>
  <c r="HQ72" i="5"/>
  <c r="HR72" i="5"/>
  <c r="HS72" i="5"/>
  <c r="HT72" i="5"/>
  <c r="HU72" i="5"/>
  <c r="HV72" i="5"/>
  <c r="HW72" i="5"/>
  <c r="HX72" i="5"/>
  <c r="HY72" i="5"/>
  <c r="HZ72" i="5"/>
  <c r="IA72" i="5"/>
  <c r="IB72" i="5"/>
  <c r="IC72" i="5"/>
  <c r="ID72" i="5"/>
  <c r="IE72" i="5"/>
  <c r="IF72" i="5"/>
  <c r="IG72" i="5"/>
  <c r="IH72" i="5"/>
  <c r="II72" i="5"/>
  <c r="IJ72" i="5"/>
  <c r="IK72" i="5"/>
  <c r="IL72" i="5"/>
  <c r="IM72" i="5"/>
  <c r="IN72" i="5"/>
  <c r="IO72" i="5"/>
  <c r="IP72" i="5"/>
  <c r="IQ72" i="5"/>
  <c r="IR72" i="5"/>
  <c r="IS72" i="5"/>
  <c r="IT72" i="5"/>
  <c r="IU72" i="5"/>
  <c r="IV72"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BY71" i="5"/>
  <c r="BZ71" i="5"/>
  <c r="CA71" i="5"/>
  <c r="CB71" i="5"/>
  <c r="CC71" i="5"/>
  <c r="CD71" i="5"/>
  <c r="CE71" i="5"/>
  <c r="CF71" i="5"/>
  <c r="CG71" i="5"/>
  <c r="CH71" i="5"/>
  <c r="CI71" i="5"/>
  <c r="CJ71" i="5"/>
  <c r="CK71" i="5"/>
  <c r="CL71" i="5"/>
  <c r="CM71" i="5"/>
  <c r="CN71" i="5"/>
  <c r="CO71" i="5"/>
  <c r="CP71" i="5"/>
  <c r="CQ71" i="5"/>
  <c r="CR71" i="5"/>
  <c r="CS71" i="5"/>
  <c r="CT71" i="5"/>
  <c r="CU71" i="5"/>
  <c r="CV71" i="5"/>
  <c r="CW71" i="5"/>
  <c r="CX71" i="5"/>
  <c r="CY71"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EC71" i="5"/>
  <c r="ED71" i="5"/>
  <c r="EE71" i="5"/>
  <c r="EF71" i="5"/>
  <c r="EG71" i="5"/>
  <c r="EH71" i="5"/>
  <c r="EI71" i="5"/>
  <c r="EJ71" i="5"/>
  <c r="EK71" i="5"/>
  <c r="EL71" i="5"/>
  <c r="EM71" i="5"/>
  <c r="EN71" i="5"/>
  <c r="EO71" i="5"/>
  <c r="EP71" i="5"/>
  <c r="EQ71" i="5"/>
  <c r="ER71" i="5"/>
  <c r="ES71" i="5"/>
  <c r="ET71" i="5"/>
  <c r="EU71" i="5"/>
  <c r="EV71" i="5"/>
  <c r="EW71" i="5"/>
  <c r="EX71" i="5"/>
  <c r="EY71" i="5"/>
  <c r="EZ71" i="5"/>
  <c r="FA71" i="5"/>
  <c r="FB71" i="5"/>
  <c r="FC71" i="5"/>
  <c r="FD71" i="5"/>
  <c r="FE71" i="5"/>
  <c r="FF71" i="5"/>
  <c r="FG71" i="5"/>
  <c r="FH71" i="5"/>
  <c r="FI71" i="5"/>
  <c r="FJ71" i="5"/>
  <c r="FK71" i="5"/>
  <c r="FL71" i="5"/>
  <c r="FM71" i="5"/>
  <c r="FN71" i="5"/>
  <c r="FO71" i="5"/>
  <c r="FP71" i="5"/>
  <c r="FQ71" i="5"/>
  <c r="FR71" i="5"/>
  <c r="FS71" i="5"/>
  <c r="FT71" i="5"/>
  <c r="FU71" i="5"/>
  <c r="FV71" i="5"/>
  <c r="FW71" i="5"/>
  <c r="FX71" i="5"/>
  <c r="FY71" i="5"/>
  <c r="FZ71" i="5"/>
  <c r="GA71" i="5"/>
  <c r="GB71" i="5"/>
  <c r="GC71" i="5"/>
  <c r="GD71" i="5"/>
  <c r="GE71" i="5"/>
  <c r="GF71" i="5"/>
  <c r="GG71" i="5"/>
  <c r="GH71" i="5"/>
  <c r="GI71" i="5"/>
  <c r="GJ71" i="5"/>
  <c r="GK71" i="5"/>
  <c r="GL71" i="5"/>
  <c r="GM71" i="5"/>
  <c r="GN71" i="5"/>
  <c r="GO71" i="5"/>
  <c r="GP71" i="5"/>
  <c r="GQ71" i="5"/>
  <c r="GR71" i="5"/>
  <c r="GS71" i="5"/>
  <c r="GT71" i="5"/>
  <c r="GU71" i="5"/>
  <c r="GV71" i="5"/>
  <c r="GW71" i="5"/>
  <c r="GX71" i="5"/>
  <c r="GY71" i="5"/>
  <c r="GZ71" i="5"/>
  <c r="HA71" i="5"/>
  <c r="HB71" i="5"/>
  <c r="HC71" i="5"/>
  <c r="HD71" i="5"/>
  <c r="HE71" i="5"/>
  <c r="HF71" i="5"/>
  <c r="HG71" i="5"/>
  <c r="HH71" i="5"/>
  <c r="HI71" i="5"/>
  <c r="HJ71" i="5"/>
  <c r="HK71" i="5"/>
  <c r="HL71" i="5"/>
  <c r="HM71" i="5"/>
  <c r="HN71" i="5"/>
  <c r="HO71" i="5"/>
  <c r="HP71" i="5"/>
  <c r="HQ71" i="5"/>
  <c r="HR71" i="5"/>
  <c r="HS71" i="5"/>
  <c r="HT71" i="5"/>
  <c r="HU71" i="5"/>
  <c r="HV71" i="5"/>
  <c r="HW71" i="5"/>
  <c r="HX71" i="5"/>
  <c r="HY71" i="5"/>
  <c r="HZ71" i="5"/>
  <c r="IA71" i="5"/>
  <c r="IB71" i="5"/>
  <c r="IC71" i="5"/>
  <c r="ID71" i="5"/>
  <c r="IE71" i="5"/>
  <c r="IF71" i="5"/>
  <c r="IG71" i="5"/>
  <c r="IH71" i="5"/>
  <c r="II71" i="5"/>
  <c r="IJ71" i="5"/>
  <c r="IK71" i="5"/>
  <c r="IL71" i="5"/>
  <c r="IM71" i="5"/>
  <c r="IN71" i="5"/>
  <c r="IO71" i="5"/>
  <c r="IP71" i="5"/>
  <c r="IQ71" i="5"/>
  <c r="IR71" i="5"/>
  <c r="IS71" i="5"/>
  <c r="IT71" i="5"/>
  <c r="IU71" i="5"/>
  <c r="IV71"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G70" i="5"/>
  <c r="HH70" i="5"/>
  <c r="HI70" i="5"/>
  <c r="HJ70" i="5"/>
  <c r="HK70" i="5"/>
  <c r="HL70" i="5"/>
  <c r="HM70" i="5"/>
  <c r="HN70" i="5"/>
  <c r="HO70" i="5"/>
  <c r="HP70" i="5"/>
  <c r="HQ70" i="5"/>
  <c r="HR70" i="5"/>
  <c r="HS70" i="5"/>
  <c r="HT70" i="5"/>
  <c r="HU70" i="5"/>
  <c r="HV70" i="5"/>
  <c r="HW70" i="5"/>
  <c r="HX70" i="5"/>
  <c r="HY70" i="5"/>
  <c r="HZ70" i="5"/>
  <c r="IA70" i="5"/>
  <c r="IB70" i="5"/>
  <c r="IC70" i="5"/>
  <c r="ID70" i="5"/>
  <c r="IE70" i="5"/>
  <c r="IF70" i="5"/>
  <c r="IG70" i="5"/>
  <c r="IH70" i="5"/>
  <c r="II70" i="5"/>
  <c r="IJ70" i="5"/>
  <c r="IK70" i="5"/>
  <c r="IL70" i="5"/>
  <c r="IM70" i="5"/>
  <c r="IN70" i="5"/>
  <c r="IO70" i="5"/>
  <c r="IP70" i="5"/>
  <c r="IQ70" i="5"/>
  <c r="IR70" i="5"/>
  <c r="IS70" i="5"/>
  <c r="IT70" i="5"/>
  <c r="IU70" i="5"/>
  <c r="IV70"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G69" i="5"/>
  <c r="HH69" i="5"/>
  <c r="HI69" i="5"/>
  <c r="HJ69" i="5"/>
  <c r="HK69" i="5"/>
  <c r="HL69" i="5"/>
  <c r="HM69" i="5"/>
  <c r="HN69" i="5"/>
  <c r="HO69" i="5"/>
  <c r="HP69" i="5"/>
  <c r="HQ69" i="5"/>
  <c r="HR69" i="5"/>
  <c r="HS69" i="5"/>
  <c r="HT69" i="5"/>
  <c r="HU69" i="5"/>
  <c r="HV69" i="5"/>
  <c r="HW69" i="5"/>
  <c r="HX69" i="5"/>
  <c r="HY69" i="5"/>
  <c r="HZ69" i="5"/>
  <c r="IA69" i="5"/>
  <c r="IB69" i="5"/>
  <c r="IC69" i="5"/>
  <c r="ID69" i="5"/>
  <c r="IE69" i="5"/>
  <c r="IF69" i="5"/>
  <c r="IG69" i="5"/>
  <c r="IH69" i="5"/>
  <c r="II69" i="5"/>
  <c r="IJ69" i="5"/>
  <c r="IK69" i="5"/>
  <c r="IL69" i="5"/>
  <c r="IM69" i="5"/>
  <c r="IN69" i="5"/>
  <c r="IO69" i="5"/>
  <c r="IP69" i="5"/>
  <c r="IQ69" i="5"/>
  <c r="IR69" i="5"/>
  <c r="IS69" i="5"/>
  <c r="IT69" i="5"/>
  <c r="IU69" i="5"/>
  <c r="IV69"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G68" i="5"/>
  <c r="HH68" i="5"/>
  <c r="HI68" i="5"/>
  <c r="HJ68" i="5"/>
  <c r="HK68" i="5"/>
  <c r="HL68" i="5"/>
  <c r="HM68" i="5"/>
  <c r="HN68" i="5"/>
  <c r="HO68" i="5"/>
  <c r="HP68" i="5"/>
  <c r="HQ68" i="5"/>
  <c r="HR68" i="5"/>
  <c r="HS68" i="5"/>
  <c r="HT68" i="5"/>
  <c r="HU68" i="5"/>
  <c r="HV68" i="5"/>
  <c r="HW68" i="5"/>
  <c r="HX68" i="5"/>
  <c r="HY68" i="5"/>
  <c r="HZ68" i="5"/>
  <c r="IA68" i="5"/>
  <c r="IB68" i="5"/>
  <c r="IC68" i="5"/>
  <c r="ID68" i="5"/>
  <c r="IE68" i="5"/>
  <c r="IF68" i="5"/>
  <c r="IG68" i="5"/>
  <c r="IH68" i="5"/>
  <c r="II68" i="5"/>
  <c r="IJ68" i="5"/>
  <c r="IK68" i="5"/>
  <c r="IL68" i="5"/>
  <c r="IM68" i="5"/>
  <c r="IN68" i="5"/>
  <c r="IO68" i="5"/>
  <c r="IP68" i="5"/>
  <c r="IQ68" i="5"/>
  <c r="IR68" i="5"/>
  <c r="IS68" i="5"/>
  <c r="IT68" i="5"/>
  <c r="IU68" i="5"/>
  <c r="IV68"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G67" i="5"/>
  <c r="HH67" i="5"/>
  <c r="HI67" i="5"/>
  <c r="HJ67" i="5"/>
  <c r="HK67" i="5"/>
  <c r="HL67" i="5"/>
  <c r="HM67" i="5"/>
  <c r="HN67" i="5"/>
  <c r="HO67" i="5"/>
  <c r="HP67" i="5"/>
  <c r="HQ67" i="5"/>
  <c r="HR67" i="5"/>
  <c r="HS67" i="5"/>
  <c r="HT67" i="5"/>
  <c r="HU67" i="5"/>
  <c r="HV67" i="5"/>
  <c r="HW67" i="5"/>
  <c r="HX67" i="5"/>
  <c r="HY67" i="5"/>
  <c r="HZ67" i="5"/>
  <c r="IA67" i="5"/>
  <c r="IB67" i="5"/>
  <c r="IC67" i="5"/>
  <c r="ID67" i="5"/>
  <c r="IE67" i="5"/>
  <c r="IF67" i="5"/>
  <c r="IG67" i="5"/>
  <c r="IH67" i="5"/>
  <c r="II67" i="5"/>
  <c r="IJ67" i="5"/>
  <c r="IK67" i="5"/>
  <c r="IL67" i="5"/>
  <c r="IM67" i="5"/>
  <c r="IN67" i="5"/>
  <c r="IO67" i="5"/>
  <c r="IP67" i="5"/>
  <c r="IQ67" i="5"/>
  <c r="IR67" i="5"/>
  <c r="IS67" i="5"/>
  <c r="IT67" i="5"/>
  <c r="IU67" i="5"/>
  <c r="IV67"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H66" i="5"/>
  <c r="HI66" i="5"/>
  <c r="HJ66" i="5"/>
  <c r="HK66" i="5"/>
  <c r="HL66" i="5"/>
  <c r="HM66" i="5"/>
  <c r="HN66" i="5"/>
  <c r="HO66" i="5"/>
  <c r="HP66" i="5"/>
  <c r="HQ66" i="5"/>
  <c r="HR66" i="5"/>
  <c r="HS66" i="5"/>
  <c r="HT66" i="5"/>
  <c r="HU66" i="5"/>
  <c r="HV66" i="5"/>
  <c r="HW66" i="5"/>
  <c r="HX66" i="5"/>
  <c r="HY66" i="5"/>
  <c r="HZ66" i="5"/>
  <c r="IA66" i="5"/>
  <c r="IB66" i="5"/>
  <c r="IC66" i="5"/>
  <c r="ID66" i="5"/>
  <c r="IE66" i="5"/>
  <c r="IF66" i="5"/>
  <c r="IG66" i="5"/>
  <c r="IH66" i="5"/>
  <c r="II66" i="5"/>
  <c r="IJ66" i="5"/>
  <c r="IK66" i="5"/>
  <c r="IL66" i="5"/>
  <c r="IM66" i="5"/>
  <c r="IN66" i="5"/>
  <c r="IO66" i="5"/>
  <c r="IP66" i="5"/>
  <c r="IQ66" i="5"/>
  <c r="IR66" i="5"/>
  <c r="IS66" i="5"/>
  <c r="IT66" i="5"/>
  <c r="IU66" i="5"/>
  <c r="IV66" i="5"/>
  <c r="A65" i="5"/>
  <c r="B65"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HJ65" i="5"/>
  <c r="HK65" i="5"/>
  <c r="HL65" i="5"/>
  <c r="HM65" i="5"/>
  <c r="HN65" i="5"/>
  <c r="HO65" i="5"/>
  <c r="HP65" i="5"/>
  <c r="HQ65" i="5"/>
  <c r="HR65" i="5"/>
  <c r="HS65" i="5"/>
  <c r="HT65" i="5"/>
  <c r="HU65" i="5"/>
  <c r="HV65" i="5"/>
  <c r="HW65" i="5"/>
  <c r="HX65" i="5"/>
  <c r="HY65" i="5"/>
  <c r="HZ65" i="5"/>
  <c r="IA65" i="5"/>
  <c r="IB65" i="5"/>
  <c r="IC65" i="5"/>
  <c r="ID65" i="5"/>
  <c r="IE65" i="5"/>
  <c r="IF65" i="5"/>
  <c r="IG65" i="5"/>
  <c r="IH65" i="5"/>
  <c r="II65" i="5"/>
  <c r="IJ65" i="5"/>
  <c r="IK65" i="5"/>
  <c r="IL65" i="5"/>
  <c r="IM65" i="5"/>
  <c r="IN65" i="5"/>
  <c r="IO65" i="5"/>
  <c r="IP65" i="5"/>
  <c r="IQ65" i="5"/>
  <c r="IR65" i="5"/>
  <c r="IS65" i="5"/>
  <c r="IT65" i="5"/>
  <c r="IU65" i="5"/>
  <c r="IV65" i="5"/>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HJ64" i="5"/>
  <c r="HK64" i="5"/>
  <c r="HL64" i="5"/>
  <c r="HM64" i="5"/>
  <c r="HN64" i="5"/>
  <c r="HO64" i="5"/>
  <c r="HP64" i="5"/>
  <c r="HQ64" i="5"/>
  <c r="HR64" i="5"/>
  <c r="HS64" i="5"/>
  <c r="HT64" i="5"/>
  <c r="HU64" i="5"/>
  <c r="HV64" i="5"/>
  <c r="HW64" i="5"/>
  <c r="HX64" i="5"/>
  <c r="HY64" i="5"/>
  <c r="HZ64" i="5"/>
  <c r="IA64" i="5"/>
  <c r="IB64" i="5"/>
  <c r="IC64" i="5"/>
  <c r="ID64" i="5"/>
  <c r="IE64" i="5"/>
  <c r="IF64" i="5"/>
  <c r="IG64" i="5"/>
  <c r="IH64" i="5"/>
  <c r="II64" i="5"/>
  <c r="IJ64" i="5"/>
  <c r="IK64" i="5"/>
  <c r="IL64" i="5"/>
  <c r="IM64" i="5"/>
  <c r="IN64" i="5"/>
  <c r="IO64" i="5"/>
  <c r="IP64" i="5"/>
  <c r="IQ64" i="5"/>
  <c r="IR64" i="5"/>
  <c r="IS64" i="5"/>
  <c r="IT64" i="5"/>
  <c r="IU64" i="5"/>
  <c r="IV64" i="5"/>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HJ63" i="5"/>
  <c r="HK63" i="5"/>
  <c r="HL63" i="5"/>
  <c r="HM63" i="5"/>
  <c r="HN63" i="5"/>
  <c r="HO63" i="5"/>
  <c r="HP63" i="5"/>
  <c r="HQ63" i="5"/>
  <c r="HR63" i="5"/>
  <c r="HS63" i="5"/>
  <c r="HT63" i="5"/>
  <c r="HU63" i="5"/>
  <c r="HV63" i="5"/>
  <c r="HW63" i="5"/>
  <c r="HX63" i="5"/>
  <c r="HY63" i="5"/>
  <c r="HZ63" i="5"/>
  <c r="IA63" i="5"/>
  <c r="IB63" i="5"/>
  <c r="IC63" i="5"/>
  <c r="ID63" i="5"/>
  <c r="IE63" i="5"/>
  <c r="IF63" i="5"/>
  <c r="IG63" i="5"/>
  <c r="IH63" i="5"/>
  <c r="II63" i="5"/>
  <c r="IJ63" i="5"/>
  <c r="IK63" i="5"/>
  <c r="IL63" i="5"/>
  <c r="IM63" i="5"/>
  <c r="IN63" i="5"/>
  <c r="IO63" i="5"/>
  <c r="IP63" i="5"/>
  <c r="IQ63" i="5"/>
  <c r="IR63" i="5"/>
  <c r="IS63" i="5"/>
  <c r="IT63" i="5"/>
  <c r="IU63" i="5"/>
  <c r="IV63" i="5"/>
  <c r="A62" i="5"/>
  <c r="B62" i="5"/>
  <c r="C62" i="5"/>
  <c r="D62" i="5"/>
  <c r="E62" i="5"/>
  <c r="F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H62" i="5"/>
  <c r="HI62" i="5"/>
  <c r="HJ62" i="5"/>
  <c r="HK62" i="5"/>
  <c r="HL62" i="5"/>
  <c r="HM62" i="5"/>
  <c r="HN62" i="5"/>
  <c r="HO62" i="5"/>
  <c r="HP62" i="5"/>
  <c r="HQ62" i="5"/>
  <c r="HR62" i="5"/>
  <c r="HS62" i="5"/>
  <c r="HT62" i="5"/>
  <c r="HU62" i="5"/>
  <c r="HV62" i="5"/>
  <c r="HW62" i="5"/>
  <c r="HX62" i="5"/>
  <c r="HY62" i="5"/>
  <c r="HZ62" i="5"/>
  <c r="IA62" i="5"/>
  <c r="IB62" i="5"/>
  <c r="IC62" i="5"/>
  <c r="ID62" i="5"/>
  <c r="IE62" i="5"/>
  <c r="IF62" i="5"/>
  <c r="IG62" i="5"/>
  <c r="IH62" i="5"/>
  <c r="II62" i="5"/>
  <c r="IJ62" i="5"/>
  <c r="IK62" i="5"/>
  <c r="IL62" i="5"/>
  <c r="IM62" i="5"/>
  <c r="IN62" i="5"/>
  <c r="IO62" i="5"/>
  <c r="IP62" i="5"/>
  <c r="IQ62" i="5"/>
  <c r="IR62" i="5"/>
  <c r="IS62" i="5"/>
  <c r="IT62" i="5"/>
  <c r="IU62" i="5"/>
  <c r="IV62" i="5"/>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HJ61" i="5"/>
  <c r="HK61" i="5"/>
  <c r="HL61" i="5"/>
  <c r="HM61" i="5"/>
  <c r="HN61" i="5"/>
  <c r="HO61" i="5"/>
  <c r="HP61" i="5"/>
  <c r="HQ61" i="5"/>
  <c r="HR61" i="5"/>
  <c r="HS61" i="5"/>
  <c r="HT61" i="5"/>
  <c r="HU61" i="5"/>
  <c r="HV61" i="5"/>
  <c r="HW61" i="5"/>
  <c r="HX61" i="5"/>
  <c r="HY61" i="5"/>
  <c r="HZ61" i="5"/>
  <c r="IA61" i="5"/>
  <c r="IB61" i="5"/>
  <c r="IC61" i="5"/>
  <c r="ID61" i="5"/>
  <c r="IE61" i="5"/>
  <c r="IF61" i="5"/>
  <c r="IG61" i="5"/>
  <c r="IH61" i="5"/>
  <c r="II61" i="5"/>
  <c r="IJ61" i="5"/>
  <c r="IK61" i="5"/>
  <c r="IL61" i="5"/>
  <c r="IM61" i="5"/>
  <c r="IN61" i="5"/>
  <c r="IO61" i="5"/>
  <c r="IP61" i="5"/>
  <c r="IQ61" i="5"/>
  <c r="IR61" i="5"/>
  <c r="IS61" i="5"/>
  <c r="IT61" i="5"/>
  <c r="IU61" i="5"/>
  <c r="IV61"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HJ60" i="5"/>
  <c r="HK60" i="5"/>
  <c r="HL60" i="5"/>
  <c r="HM60" i="5"/>
  <c r="HN60" i="5"/>
  <c r="HO60" i="5"/>
  <c r="HP60" i="5"/>
  <c r="HQ60" i="5"/>
  <c r="HR60" i="5"/>
  <c r="HS60" i="5"/>
  <c r="HT60" i="5"/>
  <c r="HU60" i="5"/>
  <c r="HV60" i="5"/>
  <c r="HW60" i="5"/>
  <c r="HX60" i="5"/>
  <c r="HY60" i="5"/>
  <c r="HZ60" i="5"/>
  <c r="IA60" i="5"/>
  <c r="IB60" i="5"/>
  <c r="IC60" i="5"/>
  <c r="ID60" i="5"/>
  <c r="IE60" i="5"/>
  <c r="IF60" i="5"/>
  <c r="IG60" i="5"/>
  <c r="IH60" i="5"/>
  <c r="II60" i="5"/>
  <c r="IJ60" i="5"/>
  <c r="IK60" i="5"/>
  <c r="IL60" i="5"/>
  <c r="IM60" i="5"/>
  <c r="IN60" i="5"/>
  <c r="IO60" i="5"/>
  <c r="IP60" i="5"/>
  <c r="IQ60" i="5"/>
  <c r="IR60" i="5"/>
  <c r="IS60" i="5"/>
  <c r="IT60" i="5"/>
  <c r="IU60" i="5"/>
  <c r="IV60" i="5"/>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G59" i="5"/>
  <c r="HH59" i="5"/>
  <c r="HI59" i="5"/>
  <c r="HJ59" i="5"/>
  <c r="HK59" i="5"/>
  <c r="HL59" i="5"/>
  <c r="HM59" i="5"/>
  <c r="HN59" i="5"/>
  <c r="HO59" i="5"/>
  <c r="HP59" i="5"/>
  <c r="HQ59" i="5"/>
  <c r="HR59" i="5"/>
  <c r="HS59" i="5"/>
  <c r="HT59" i="5"/>
  <c r="HU59" i="5"/>
  <c r="HV59" i="5"/>
  <c r="HW59" i="5"/>
  <c r="HX59" i="5"/>
  <c r="HY59" i="5"/>
  <c r="HZ59" i="5"/>
  <c r="IA59" i="5"/>
  <c r="IB59" i="5"/>
  <c r="IC59" i="5"/>
  <c r="ID59" i="5"/>
  <c r="IE59" i="5"/>
  <c r="IF59" i="5"/>
  <c r="IG59" i="5"/>
  <c r="IH59" i="5"/>
  <c r="II59" i="5"/>
  <c r="IJ59" i="5"/>
  <c r="IK59" i="5"/>
  <c r="IL59" i="5"/>
  <c r="IM59" i="5"/>
  <c r="IN59" i="5"/>
  <c r="IO59" i="5"/>
  <c r="IP59" i="5"/>
  <c r="IQ59" i="5"/>
  <c r="IR59" i="5"/>
  <c r="IS59" i="5"/>
  <c r="IT59" i="5"/>
  <c r="IU59" i="5"/>
  <c r="IV59" i="5"/>
  <c r="A58" i="5"/>
  <c r="B58"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H58" i="5"/>
  <c r="HI58" i="5"/>
  <c r="HJ58" i="5"/>
  <c r="HK58" i="5"/>
  <c r="HL58" i="5"/>
  <c r="HM58" i="5"/>
  <c r="HN58" i="5"/>
  <c r="HO58" i="5"/>
  <c r="HP58" i="5"/>
  <c r="HQ58" i="5"/>
  <c r="HR58" i="5"/>
  <c r="HS58" i="5"/>
  <c r="HT58" i="5"/>
  <c r="HU58" i="5"/>
  <c r="HV58" i="5"/>
  <c r="HW58" i="5"/>
  <c r="HX58" i="5"/>
  <c r="HY58" i="5"/>
  <c r="HZ58" i="5"/>
  <c r="IA58" i="5"/>
  <c r="IB58" i="5"/>
  <c r="IC58" i="5"/>
  <c r="ID58" i="5"/>
  <c r="IE58" i="5"/>
  <c r="IF58" i="5"/>
  <c r="IG58" i="5"/>
  <c r="IH58" i="5"/>
  <c r="II58" i="5"/>
  <c r="IJ58" i="5"/>
  <c r="IK58" i="5"/>
  <c r="IL58" i="5"/>
  <c r="IM58" i="5"/>
  <c r="IN58" i="5"/>
  <c r="IO58" i="5"/>
  <c r="IP58" i="5"/>
  <c r="IQ58" i="5"/>
  <c r="IR58" i="5"/>
  <c r="IS58" i="5"/>
  <c r="IT58" i="5"/>
  <c r="IU58" i="5"/>
  <c r="IV58"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G57" i="5"/>
  <c r="HH57" i="5"/>
  <c r="HI57" i="5"/>
  <c r="HJ57" i="5"/>
  <c r="HK57" i="5"/>
  <c r="HL57" i="5"/>
  <c r="HM57" i="5"/>
  <c r="HN57" i="5"/>
  <c r="HO57" i="5"/>
  <c r="HP57" i="5"/>
  <c r="HQ57" i="5"/>
  <c r="HR57" i="5"/>
  <c r="HS57" i="5"/>
  <c r="HT57" i="5"/>
  <c r="HU57" i="5"/>
  <c r="HV57" i="5"/>
  <c r="HW57" i="5"/>
  <c r="HX57" i="5"/>
  <c r="HY57" i="5"/>
  <c r="HZ57" i="5"/>
  <c r="IA57" i="5"/>
  <c r="IB57" i="5"/>
  <c r="IC57" i="5"/>
  <c r="ID57" i="5"/>
  <c r="IE57" i="5"/>
  <c r="IF57" i="5"/>
  <c r="IG57" i="5"/>
  <c r="IH57" i="5"/>
  <c r="II57" i="5"/>
  <c r="IJ57" i="5"/>
  <c r="IK57" i="5"/>
  <c r="IL57" i="5"/>
  <c r="IM57" i="5"/>
  <c r="IN57" i="5"/>
  <c r="IO57" i="5"/>
  <c r="IP57" i="5"/>
  <c r="IQ57" i="5"/>
  <c r="IR57" i="5"/>
  <c r="IS57" i="5"/>
  <c r="IT57" i="5"/>
  <c r="IU57" i="5"/>
  <c r="IV57" i="5"/>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H56" i="5"/>
  <c r="HI56" i="5"/>
  <c r="HJ56" i="5"/>
  <c r="HK56" i="5"/>
  <c r="HL56" i="5"/>
  <c r="HM56" i="5"/>
  <c r="HN56" i="5"/>
  <c r="HO56" i="5"/>
  <c r="HP56" i="5"/>
  <c r="HQ56" i="5"/>
  <c r="HR56" i="5"/>
  <c r="HS56" i="5"/>
  <c r="HT56" i="5"/>
  <c r="HU56" i="5"/>
  <c r="HV56" i="5"/>
  <c r="HW56" i="5"/>
  <c r="HX56" i="5"/>
  <c r="HY56" i="5"/>
  <c r="HZ56" i="5"/>
  <c r="IA56" i="5"/>
  <c r="IB56" i="5"/>
  <c r="IC56" i="5"/>
  <c r="ID56" i="5"/>
  <c r="IE56" i="5"/>
  <c r="IF56" i="5"/>
  <c r="IG56" i="5"/>
  <c r="IH56" i="5"/>
  <c r="II56" i="5"/>
  <c r="IJ56" i="5"/>
  <c r="IK56" i="5"/>
  <c r="IL56" i="5"/>
  <c r="IM56" i="5"/>
  <c r="IN56" i="5"/>
  <c r="IO56" i="5"/>
  <c r="IP56" i="5"/>
  <c r="IQ56" i="5"/>
  <c r="IR56" i="5"/>
  <c r="IS56" i="5"/>
  <c r="IT56" i="5"/>
  <c r="IU56" i="5"/>
  <c r="IV56" i="5"/>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G55" i="5"/>
  <c r="HH55" i="5"/>
  <c r="HI55" i="5"/>
  <c r="HJ55" i="5"/>
  <c r="HK55" i="5"/>
  <c r="HL55" i="5"/>
  <c r="HM55" i="5"/>
  <c r="HN55" i="5"/>
  <c r="HO55" i="5"/>
  <c r="HP55" i="5"/>
  <c r="HQ55" i="5"/>
  <c r="HR55" i="5"/>
  <c r="HS55" i="5"/>
  <c r="HT55" i="5"/>
  <c r="HU55" i="5"/>
  <c r="HV55" i="5"/>
  <c r="HW55" i="5"/>
  <c r="HX55" i="5"/>
  <c r="HY55" i="5"/>
  <c r="HZ55" i="5"/>
  <c r="IA55" i="5"/>
  <c r="IB55" i="5"/>
  <c r="IC55" i="5"/>
  <c r="ID55" i="5"/>
  <c r="IE55" i="5"/>
  <c r="IF55" i="5"/>
  <c r="IG55" i="5"/>
  <c r="IH55" i="5"/>
  <c r="II55" i="5"/>
  <c r="IJ55" i="5"/>
  <c r="IK55" i="5"/>
  <c r="IL55" i="5"/>
  <c r="IM55" i="5"/>
  <c r="IN55" i="5"/>
  <c r="IO55" i="5"/>
  <c r="IP55" i="5"/>
  <c r="IQ55" i="5"/>
  <c r="IR55" i="5"/>
  <c r="IS55" i="5"/>
  <c r="IT55" i="5"/>
  <c r="IU55" i="5"/>
  <c r="IV55" i="5"/>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H54" i="5"/>
  <c r="HI54" i="5"/>
  <c r="HJ54" i="5"/>
  <c r="HK54" i="5"/>
  <c r="HL54" i="5"/>
  <c r="HM54" i="5"/>
  <c r="HN54" i="5"/>
  <c r="HO54" i="5"/>
  <c r="HP54" i="5"/>
  <c r="HQ54" i="5"/>
  <c r="HR54" i="5"/>
  <c r="HS54" i="5"/>
  <c r="HT54" i="5"/>
  <c r="HU54" i="5"/>
  <c r="HV54" i="5"/>
  <c r="HW54" i="5"/>
  <c r="HX54" i="5"/>
  <c r="HY54" i="5"/>
  <c r="HZ54" i="5"/>
  <c r="IA54" i="5"/>
  <c r="IB54" i="5"/>
  <c r="IC54" i="5"/>
  <c r="ID54" i="5"/>
  <c r="IE54" i="5"/>
  <c r="IF54" i="5"/>
  <c r="IG54" i="5"/>
  <c r="IH54" i="5"/>
  <c r="II54" i="5"/>
  <c r="IJ54" i="5"/>
  <c r="IK54" i="5"/>
  <c r="IL54" i="5"/>
  <c r="IM54" i="5"/>
  <c r="IN54" i="5"/>
  <c r="IO54" i="5"/>
  <c r="IP54" i="5"/>
  <c r="IQ54" i="5"/>
  <c r="IR54" i="5"/>
  <c r="IS54" i="5"/>
  <c r="IT54" i="5"/>
  <c r="IU54" i="5"/>
  <c r="IV54" i="5"/>
  <c r="A53" i="5"/>
  <c r="B53"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G53" i="5"/>
  <c r="HH53" i="5"/>
  <c r="HI53" i="5"/>
  <c r="HJ53" i="5"/>
  <c r="HK53" i="5"/>
  <c r="HL53" i="5"/>
  <c r="HM53" i="5"/>
  <c r="HN53" i="5"/>
  <c r="HO53" i="5"/>
  <c r="HP53" i="5"/>
  <c r="HQ53" i="5"/>
  <c r="HR53" i="5"/>
  <c r="HS53" i="5"/>
  <c r="HT53" i="5"/>
  <c r="HU53" i="5"/>
  <c r="HV53" i="5"/>
  <c r="HW53" i="5"/>
  <c r="HX53" i="5"/>
  <c r="HY53" i="5"/>
  <c r="HZ53" i="5"/>
  <c r="IA53" i="5"/>
  <c r="IB53" i="5"/>
  <c r="IC53" i="5"/>
  <c r="ID53" i="5"/>
  <c r="IE53" i="5"/>
  <c r="IF53" i="5"/>
  <c r="IG53" i="5"/>
  <c r="IH53" i="5"/>
  <c r="II53" i="5"/>
  <c r="IJ53" i="5"/>
  <c r="IK53" i="5"/>
  <c r="IL53" i="5"/>
  <c r="IM53" i="5"/>
  <c r="IN53" i="5"/>
  <c r="IO53" i="5"/>
  <c r="IP53" i="5"/>
  <c r="IQ53" i="5"/>
  <c r="IR53" i="5"/>
  <c r="IS53" i="5"/>
  <c r="IT53" i="5"/>
  <c r="IU53" i="5"/>
  <c r="IV53"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H52" i="5"/>
  <c r="HI52" i="5"/>
  <c r="HJ52" i="5"/>
  <c r="HK52" i="5"/>
  <c r="HL52" i="5"/>
  <c r="HM52" i="5"/>
  <c r="HN52" i="5"/>
  <c r="HO52" i="5"/>
  <c r="HP52" i="5"/>
  <c r="HQ52" i="5"/>
  <c r="HR52" i="5"/>
  <c r="HS52" i="5"/>
  <c r="HT52" i="5"/>
  <c r="HU52" i="5"/>
  <c r="HV52" i="5"/>
  <c r="HW52" i="5"/>
  <c r="HX52" i="5"/>
  <c r="HY52" i="5"/>
  <c r="HZ52" i="5"/>
  <c r="IA52" i="5"/>
  <c r="IB52" i="5"/>
  <c r="IC52" i="5"/>
  <c r="ID52" i="5"/>
  <c r="IE52" i="5"/>
  <c r="IF52" i="5"/>
  <c r="IG52" i="5"/>
  <c r="IH52" i="5"/>
  <c r="II52" i="5"/>
  <c r="IJ52" i="5"/>
  <c r="IK52" i="5"/>
  <c r="IL52" i="5"/>
  <c r="IM52" i="5"/>
  <c r="IN52" i="5"/>
  <c r="IO52" i="5"/>
  <c r="IP52" i="5"/>
  <c r="IQ52" i="5"/>
  <c r="IR52" i="5"/>
  <c r="IS52" i="5"/>
  <c r="IT52" i="5"/>
  <c r="IU52" i="5"/>
  <c r="IV52" i="5"/>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HJ51" i="5"/>
  <c r="HK51" i="5"/>
  <c r="HL51" i="5"/>
  <c r="HM51" i="5"/>
  <c r="HN51" i="5"/>
  <c r="HO51" i="5"/>
  <c r="HP51" i="5"/>
  <c r="HQ51" i="5"/>
  <c r="HR51" i="5"/>
  <c r="HS51" i="5"/>
  <c r="HT51" i="5"/>
  <c r="HU51" i="5"/>
  <c r="HV51" i="5"/>
  <c r="HW51" i="5"/>
  <c r="HX51" i="5"/>
  <c r="HY51" i="5"/>
  <c r="HZ51" i="5"/>
  <c r="IA51" i="5"/>
  <c r="IB51" i="5"/>
  <c r="IC51" i="5"/>
  <c r="ID51" i="5"/>
  <c r="IE51" i="5"/>
  <c r="IF51" i="5"/>
  <c r="IG51" i="5"/>
  <c r="IH51" i="5"/>
  <c r="II51" i="5"/>
  <c r="IJ51" i="5"/>
  <c r="IK51" i="5"/>
  <c r="IL51" i="5"/>
  <c r="IM51" i="5"/>
  <c r="IN51" i="5"/>
  <c r="IO51" i="5"/>
  <c r="IP51" i="5"/>
  <c r="IQ51" i="5"/>
  <c r="IR51" i="5"/>
  <c r="IS51" i="5"/>
  <c r="IT51" i="5"/>
  <c r="IU51" i="5"/>
  <c r="IV51"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H50" i="5"/>
  <c r="HI50" i="5"/>
  <c r="HJ50" i="5"/>
  <c r="HK50" i="5"/>
  <c r="HL50" i="5"/>
  <c r="HM50" i="5"/>
  <c r="HN50" i="5"/>
  <c r="HO50" i="5"/>
  <c r="HP50" i="5"/>
  <c r="HQ50" i="5"/>
  <c r="HR50" i="5"/>
  <c r="HS50" i="5"/>
  <c r="HT50" i="5"/>
  <c r="HU50" i="5"/>
  <c r="HV50" i="5"/>
  <c r="HW50" i="5"/>
  <c r="HX50" i="5"/>
  <c r="HY50" i="5"/>
  <c r="HZ50" i="5"/>
  <c r="IA50" i="5"/>
  <c r="IB50" i="5"/>
  <c r="IC50" i="5"/>
  <c r="ID50" i="5"/>
  <c r="IE50" i="5"/>
  <c r="IF50" i="5"/>
  <c r="IG50" i="5"/>
  <c r="IH50" i="5"/>
  <c r="II50" i="5"/>
  <c r="IJ50" i="5"/>
  <c r="IK50" i="5"/>
  <c r="IL50" i="5"/>
  <c r="IM50" i="5"/>
  <c r="IN50" i="5"/>
  <c r="IO50" i="5"/>
  <c r="IP50" i="5"/>
  <c r="IQ50" i="5"/>
  <c r="IR50" i="5"/>
  <c r="IS50" i="5"/>
  <c r="IT50" i="5"/>
  <c r="IU50" i="5"/>
  <c r="IV50"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G49" i="5"/>
  <c r="HH49" i="5"/>
  <c r="HI49" i="5"/>
  <c r="HJ49" i="5"/>
  <c r="HK49" i="5"/>
  <c r="HL49" i="5"/>
  <c r="HM49" i="5"/>
  <c r="HN49" i="5"/>
  <c r="HO49" i="5"/>
  <c r="HP49" i="5"/>
  <c r="HQ49" i="5"/>
  <c r="HR49" i="5"/>
  <c r="HS49" i="5"/>
  <c r="HT49" i="5"/>
  <c r="HU49" i="5"/>
  <c r="HV49" i="5"/>
  <c r="HW49" i="5"/>
  <c r="HX49" i="5"/>
  <c r="HY49" i="5"/>
  <c r="HZ49" i="5"/>
  <c r="IA49" i="5"/>
  <c r="IB49" i="5"/>
  <c r="IC49" i="5"/>
  <c r="ID49" i="5"/>
  <c r="IE49" i="5"/>
  <c r="IF49" i="5"/>
  <c r="IG49" i="5"/>
  <c r="IH49" i="5"/>
  <c r="II49" i="5"/>
  <c r="IJ49" i="5"/>
  <c r="IK49" i="5"/>
  <c r="IL49" i="5"/>
  <c r="IM49" i="5"/>
  <c r="IN49" i="5"/>
  <c r="IO49" i="5"/>
  <c r="IP49" i="5"/>
  <c r="IQ49" i="5"/>
  <c r="IR49" i="5"/>
  <c r="IS49" i="5"/>
  <c r="IT49" i="5"/>
  <c r="IU49" i="5"/>
  <c r="IV49" i="5"/>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H48" i="5"/>
  <c r="HI48" i="5"/>
  <c r="HJ48" i="5"/>
  <c r="HK48" i="5"/>
  <c r="HL48" i="5"/>
  <c r="HM48" i="5"/>
  <c r="HN48" i="5"/>
  <c r="HO48" i="5"/>
  <c r="HP48" i="5"/>
  <c r="HQ48" i="5"/>
  <c r="HR48" i="5"/>
  <c r="HS48" i="5"/>
  <c r="HT48" i="5"/>
  <c r="HU48" i="5"/>
  <c r="HV48" i="5"/>
  <c r="HW48" i="5"/>
  <c r="HX48" i="5"/>
  <c r="HY48" i="5"/>
  <c r="HZ48" i="5"/>
  <c r="IA48" i="5"/>
  <c r="IB48" i="5"/>
  <c r="IC48" i="5"/>
  <c r="ID48" i="5"/>
  <c r="IE48" i="5"/>
  <c r="IF48" i="5"/>
  <c r="IG48" i="5"/>
  <c r="IH48" i="5"/>
  <c r="II48" i="5"/>
  <c r="IJ48" i="5"/>
  <c r="IK48" i="5"/>
  <c r="IL48" i="5"/>
  <c r="IM48" i="5"/>
  <c r="IN48" i="5"/>
  <c r="IO48" i="5"/>
  <c r="IP48" i="5"/>
  <c r="IQ48" i="5"/>
  <c r="IR48" i="5"/>
  <c r="IS48" i="5"/>
  <c r="IT48" i="5"/>
  <c r="IU48" i="5"/>
  <c r="IV48" i="5"/>
  <c r="A47" i="5"/>
  <c r="B47"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G47" i="5"/>
  <c r="HH47" i="5"/>
  <c r="HI47" i="5"/>
  <c r="HJ47" i="5"/>
  <c r="HK47" i="5"/>
  <c r="HL47" i="5"/>
  <c r="HM47" i="5"/>
  <c r="HN47" i="5"/>
  <c r="HO47" i="5"/>
  <c r="HP47" i="5"/>
  <c r="HQ47" i="5"/>
  <c r="HR47" i="5"/>
  <c r="HS47" i="5"/>
  <c r="HT47" i="5"/>
  <c r="HU47" i="5"/>
  <c r="HV47" i="5"/>
  <c r="HW47" i="5"/>
  <c r="HX47" i="5"/>
  <c r="HY47" i="5"/>
  <c r="HZ47" i="5"/>
  <c r="IA47" i="5"/>
  <c r="IB47" i="5"/>
  <c r="IC47" i="5"/>
  <c r="ID47" i="5"/>
  <c r="IE47" i="5"/>
  <c r="IF47" i="5"/>
  <c r="IG47" i="5"/>
  <c r="IH47" i="5"/>
  <c r="II47" i="5"/>
  <c r="IJ47" i="5"/>
  <c r="IK47" i="5"/>
  <c r="IL47" i="5"/>
  <c r="IM47" i="5"/>
  <c r="IN47" i="5"/>
  <c r="IO47" i="5"/>
  <c r="IP47" i="5"/>
  <c r="IQ47" i="5"/>
  <c r="IR47" i="5"/>
  <c r="IS47" i="5"/>
  <c r="IT47" i="5"/>
  <c r="IU47" i="5"/>
  <c r="IV47" i="5"/>
  <c r="A46" i="5"/>
  <c r="B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H46" i="5"/>
  <c r="HI46" i="5"/>
  <c r="HJ46" i="5"/>
  <c r="HK46" i="5"/>
  <c r="HL46" i="5"/>
  <c r="HM46" i="5"/>
  <c r="HN46" i="5"/>
  <c r="HO46" i="5"/>
  <c r="HP46" i="5"/>
  <c r="HQ46" i="5"/>
  <c r="HR46" i="5"/>
  <c r="HS46" i="5"/>
  <c r="HT46" i="5"/>
  <c r="HU46" i="5"/>
  <c r="HV46" i="5"/>
  <c r="HW46" i="5"/>
  <c r="HX46" i="5"/>
  <c r="HY46" i="5"/>
  <c r="HZ46" i="5"/>
  <c r="IA46" i="5"/>
  <c r="IB46" i="5"/>
  <c r="IC46" i="5"/>
  <c r="ID46" i="5"/>
  <c r="IE46" i="5"/>
  <c r="IF46" i="5"/>
  <c r="IG46" i="5"/>
  <c r="IH46" i="5"/>
  <c r="II46" i="5"/>
  <c r="IJ46" i="5"/>
  <c r="IK46" i="5"/>
  <c r="IL46" i="5"/>
  <c r="IM46" i="5"/>
  <c r="IN46" i="5"/>
  <c r="IO46" i="5"/>
  <c r="IP46" i="5"/>
  <c r="IQ46" i="5"/>
  <c r="IR46" i="5"/>
  <c r="IS46" i="5"/>
  <c r="IT46" i="5"/>
  <c r="IU46" i="5"/>
  <c r="IV46" i="5"/>
  <c r="A45" i="5"/>
  <c r="B45"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G45" i="5"/>
  <c r="HH45" i="5"/>
  <c r="HI45" i="5"/>
  <c r="HJ45" i="5"/>
  <c r="HK45" i="5"/>
  <c r="HL45" i="5"/>
  <c r="HM45" i="5"/>
  <c r="HN45" i="5"/>
  <c r="HO45" i="5"/>
  <c r="HP45" i="5"/>
  <c r="HQ45" i="5"/>
  <c r="HR45" i="5"/>
  <c r="HS45" i="5"/>
  <c r="HT45" i="5"/>
  <c r="HU45" i="5"/>
  <c r="HV45" i="5"/>
  <c r="HW45" i="5"/>
  <c r="HX45" i="5"/>
  <c r="HY45" i="5"/>
  <c r="HZ45" i="5"/>
  <c r="IA45" i="5"/>
  <c r="IB45" i="5"/>
  <c r="IC45" i="5"/>
  <c r="ID45" i="5"/>
  <c r="IE45" i="5"/>
  <c r="IF45" i="5"/>
  <c r="IG45" i="5"/>
  <c r="IH45" i="5"/>
  <c r="II45" i="5"/>
  <c r="IJ45" i="5"/>
  <c r="IK45" i="5"/>
  <c r="IL45" i="5"/>
  <c r="IM45" i="5"/>
  <c r="IN45" i="5"/>
  <c r="IO45" i="5"/>
  <c r="IP45" i="5"/>
  <c r="IQ45" i="5"/>
  <c r="IR45" i="5"/>
  <c r="IS45" i="5"/>
  <c r="IT45" i="5"/>
  <c r="IU45" i="5"/>
  <c r="IV45"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H44" i="5"/>
  <c r="HI44" i="5"/>
  <c r="HJ44" i="5"/>
  <c r="HK44" i="5"/>
  <c r="HL44" i="5"/>
  <c r="HM44" i="5"/>
  <c r="HN44" i="5"/>
  <c r="HO44" i="5"/>
  <c r="HP44" i="5"/>
  <c r="HQ44" i="5"/>
  <c r="HR44" i="5"/>
  <c r="HS44" i="5"/>
  <c r="HT44" i="5"/>
  <c r="HU44" i="5"/>
  <c r="HV44" i="5"/>
  <c r="HW44" i="5"/>
  <c r="HX44" i="5"/>
  <c r="HY44" i="5"/>
  <c r="HZ44" i="5"/>
  <c r="IA44" i="5"/>
  <c r="IB44" i="5"/>
  <c r="IC44" i="5"/>
  <c r="ID44" i="5"/>
  <c r="IE44" i="5"/>
  <c r="IF44" i="5"/>
  <c r="IG44" i="5"/>
  <c r="IH44" i="5"/>
  <c r="II44" i="5"/>
  <c r="IJ44" i="5"/>
  <c r="IK44" i="5"/>
  <c r="IL44" i="5"/>
  <c r="IM44" i="5"/>
  <c r="IN44" i="5"/>
  <c r="IO44" i="5"/>
  <c r="IP44" i="5"/>
  <c r="IQ44" i="5"/>
  <c r="IR44" i="5"/>
  <c r="IS44" i="5"/>
  <c r="IT44" i="5"/>
  <c r="IU44" i="5"/>
  <c r="IV44"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G43" i="5"/>
  <c r="HH43" i="5"/>
  <c r="HI43" i="5"/>
  <c r="HJ43" i="5"/>
  <c r="HK43" i="5"/>
  <c r="HL43" i="5"/>
  <c r="HM43" i="5"/>
  <c r="HN43" i="5"/>
  <c r="HO43" i="5"/>
  <c r="HP43" i="5"/>
  <c r="HQ43" i="5"/>
  <c r="HR43" i="5"/>
  <c r="HS43" i="5"/>
  <c r="HT43" i="5"/>
  <c r="HU43" i="5"/>
  <c r="HV43" i="5"/>
  <c r="HW43" i="5"/>
  <c r="HX43" i="5"/>
  <c r="HY43" i="5"/>
  <c r="HZ43" i="5"/>
  <c r="IA43" i="5"/>
  <c r="IB43" i="5"/>
  <c r="IC43" i="5"/>
  <c r="ID43" i="5"/>
  <c r="IE43" i="5"/>
  <c r="IF43" i="5"/>
  <c r="IG43" i="5"/>
  <c r="IH43" i="5"/>
  <c r="II43" i="5"/>
  <c r="IJ43" i="5"/>
  <c r="IK43" i="5"/>
  <c r="IL43" i="5"/>
  <c r="IM43" i="5"/>
  <c r="IN43" i="5"/>
  <c r="IO43" i="5"/>
  <c r="IP43" i="5"/>
  <c r="IQ43" i="5"/>
  <c r="IR43" i="5"/>
  <c r="IS43" i="5"/>
  <c r="IT43" i="5"/>
  <c r="IU43" i="5"/>
  <c r="IV43"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H42" i="5"/>
  <c r="HI42" i="5"/>
  <c r="HJ42" i="5"/>
  <c r="HK42" i="5"/>
  <c r="HL42" i="5"/>
  <c r="HM42" i="5"/>
  <c r="HN42" i="5"/>
  <c r="HO42" i="5"/>
  <c r="HP42" i="5"/>
  <c r="HQ42" i="5"/>
  <c r="HR42" i="5"/>
  <c r="HS42" i="5"/>
  <c r="HT42" i="5"/>
  <c r="HU42" i="5"/>
  <c r="HV42" i="5"/>
  <c r="HW42" i="5"/>
  <c r="HX42" i="5"/>
  <c r="HY42" i="5"/>
  <c r="HZ42" i="5"/>
  <c r="IA42" i="5"/>
  <c r="IB42" i="5"/>
  <c r="IC42" i="5"/>
  <c r="ID42" i="5"/>
  <c r="IE42" i="5"/>
  <c r="IF42" i="5"/>
  <c r="IG42" i="5"/>
  <c r="IH42" i="5"/>
  <c r="II42" i="5"/>
  <c r="IJ42" i="5"/>
  <c r="IK42" i="5"/>
  <c r="IL42" i="5"/>
  <c r="IM42" i="5"/>
  <c r="IN42" i="5"/>
  <c r="IO42" i="5"/>
  <c r="IP42" i="5"/>
  <c r="IQ42" i="5"/>
  <c r="IR42" i="5"/>
  <c r="IS42" i="5"/>
  <c r="IT42" i="5"/>
  <c r="IU42" i="5"/>
  <c r="IV42" i="5"/>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G41" i="5"/>
  <c r="HH41" i="5"/>
  <c r="HI41" i="5"/>
  <c r="HJ41" i="5"/>
  <c r="HK41" i="5"/>
  <c r="HL41" i="5"/>
  <c r="HM41" i="5"/>
  <c r="HN41" i="5"/>
  <c r="HO41" i="5"/>
  <c r="HP41" i="5"/>
  <c r="HQ41" i="5"/>
  <c r="HR41" i="5"/>
  <c r="HS41" i="5"/>
  <c r="HT41" i="5"/>
  <c r="HU41" i="5"/>
  <c r="HV41" i="5"/>
  <c r="HW41" i="5"/>
  <c r="HX41" i="5"/>
  <c r="HY41" i="5"/>
  <c r="HZ41" i="5"/>
  <c r="IA41" i="5"/>
  <c r="IB41" i="5"/>
  <c r="IC41" i="5"/>
  <c r="ID41" i="5"/>
  <c r="IE41" i="5"/>
  <c r="IF41" i="5"/>
  <c r="IG41" i="5"/>
  <c r="IH41" i="5"/>
  <c r="II41" i="5"/>
  <c r="IJ41" i="5"/>
  <c r="IK41" i="5"/>
  <c r="IL41" i="5"/>
  <c r="IM41" i="5"/>
  <c r="IN41" i="5"/>
  <c r="IO41" i="5"/>
  <c r="IP41" i="5"/>
  <c r="IQ41" i="5"/>
  <c r="IR41" i="5"/>
  <c r="IS41" i="5"/>
  <c r="IT41" i="5"/>
  <c r="IU41" i="5"/>
  <c r="IV41" i="5"/>
  <c r="A40" i="5"/>
  <c r="B40"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H40" i="5"/>
  <c r="HI40" i="5"/>
  <c r="HJ40" i="5"/>
  <c r="HK40" i="5"/>
  <c r="HL40" i="5"/>
  <c r="HM40" i="5"/>
  <c r="HN40" i="5"/>
  <c r="HO40" i="5"/>
  <c r="HP40" i="5"/>
  <c r="HQ40" i="5"/>
  <c r="HR40" i="5"/>
  <c r="HS40" i="5"/>
  <c r="HT40" i="5"/>
  <c r="HU40" i="5"/>
  <c r="HV40" i="5"/>
  <c r="HW40" i="5"/>
  <c r="HX40" i="5"/>
  <c r="HY40" i="5"/>
  <c r="HZ40" i="5"/>
  <c r="IA40" i="5"/>
  <c r="IB40" i="5"/>
  <c r="IC40" i="5"/>
  <c r="ID40" i="5"/>
  <c r="IE40" i="5"/>
  <c r="IF40" i="5"/>
  <c r="IG40" i="5"/>
  <c r="IH40" i="5"/>
  <c r="II40" i="5"/>
  <c r="IJ40" i="5"/>
  <c r="IK40" i="5"/>
  <c r="IL40" i="5"/>
  <c r="IM40" i="5"/>
  <c r="IN40" i="5"/>
  <c r="IO40" i="5"/>
  <c r="IP40" i="5"/>
  <c r="IQ40" i="5"/>
  <c r="IR40" i="5"/>
  <c r="IS40" i="5"/>
  <c r="IT40" i="5"/>
  <c r="IU40" i="5"/>
  <c r="IV40" i="5"/>
  <c r="A39" i="5"/>
  <c r="B39"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G39" i="5"/>
  <c r="HH39" i="5"/>
  <c r="HI39" i="5"/>
  <c r="HJ39" i="5"/>
  <c r="HK39" i="5"/>
  <c r="HL39" i="5"/>
  <c r="HM39" i="5"/>
  <c r="HN39" i="5"/>
  <c r="HO39" i="5"/>
  <c r="HP39" i="5"/>
  <c r="HQ39" i="5"/>
  <c r="HR39" i="5"/>
  <c r="HS39" i="5"/>
  <c r="HT39" i="5"/>
  <c r="HU39" i="5"/>
  <c r="HV39" i="5"/>
  <c r="HW39" i="5"/>
  <c r="HX39" i="5"/>
  <c r="HY39" i="5"/>
  <c r="HZ39" i="5"/>
  <c r="IA39" i="5"/>
  <c r="IB39" i="5"/>
  <c r="IC39" i="5"/>
  <c r="ID39" i="5"/>
  <c r="IE39" i="5"/>
  <c r="IF39" i="5"/>
  <c r="IG39" i="5"/>
  <c r="IH39" i="5"/>
  <c r="II39" i="5"/>
  <c r="IJ39" i="5"/>
  <c r="IK39" i="5"/>
  <c r="IL39" i="5"/>
  <c r="IM39" i="5"/>
  <c r="IN39" i="5"/>
  <c r="IO39" i="5"/>
  <c r="IP39" i="5"/>
  <c r="IQ39" i="5"/>
  <c r="IR39" i="5"/>
  <c r="IS39" i="5"/>
  <c r="IT39" i="5"/>
  <c r="IU39" i="5"/>
  <c r="IV39" i="5"/>
  <c r="A38" i="5"/>
  <c r="B38"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H38" i="5"/>
  <c r="HI38" i="5"/>
  <c r="HJ38" i="5"/>
  <c r="HK38" i="5"/>
  <c r="HL38" i="5"/>
  <c r="HM38" i="5"/>
  <c r="HN38" i="5"/>
  <c r="HO38" i="5"/>
  <c r="HP38" i="5"/>
  <c r="HQ38" i="5"/>
  <c r="HR38" i="5"/>
  <c r="HS38" i="5"/>
  <c r="HT38" i="5"/>
  <c r="HU38" i="5"/>
  <c r="HV38" i="5"/>
  <c r="HW38" i="5"/>
  <c r="HX38" i="5"/>
  <c r="HY38" i="5"/>
  <c r="HZ38" i="5"/>
  <c r="IA38" i="5"/>
  <c r="IB38" i="5"/>
  <c r="IC38" i="5"/>
  <c r="ID38" i="5"/>
  <c r="IE38" i="5"/>
  <c r="IF38" i="5"/>
  <c r="IG38" i="5"/>
  <c r="IH38" i="5"/>
  <c r="II38" i="5"/>
  <c r="IJ38" i="5"/>
  <c r="IK38" i="5"/>
  <c r="IL38" i="5"/>
  <c r="IM38" i="5"/>
  <c r="IN38" i="5"/>
  <c r="IO38" i="5"/>
  <c r="IP38" i="5"/>
  <c r="IQ38" i="5"/>
  <c r="IR38" i="5"/>
  <c r="IS38" i="5"/>
  <c r="IT38" i="5"/>
  <c r="IU38" i="5"/>
  <c r="IV38" i="5"/>
  <c r="A37" i="5"/>
  <c r="B37"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G37" i="5"/>
  <c r="HH37" i="5"/>
  <c r="HI37" i="5"/>
  <c r="HJ37" i="5"/>
  <c r="HK37" i="5"/>
  <c r="HL37" i="5"/>
  <c r="HM37" i="5"/>
  <c r="HN37" i="5"/>
  <c r="HO37" i="5"/>
  <c r="HP37" i="5"/>
  <c r="HQ37" i="5"/>
  <c r="HR37" i="5"/>
  <c r="HS37" i="5"/>
  <c r="HT37" i="5"/>
  <c r="HU37" i="5"/>
  <c r="HV37" i="5"/>
  <c r="HW37" i="5"/>
  <c r="HX37" i="5"/>
  <c r="HY37" i="5"/>
  <c r="HZ37" i="5"/>
  <c r="IA37" i="5"/>
  <c r="IB37" i="5"/>
  <c r="IC37" i="5"/>
  <c r="ID37" i="5"/>
  <c r="IE37" i="5"/>
  <c r="IF37" i="5"/>
  <c r="IG37" i="5"/>
  <c r="IH37" i="5"/>
  <c r="II37" i="5"/>
  <c r="IJ37" i="5"/>
  <c r="IK37" i="5"/>
  <c r="IL37" i="5"/>
  <c r="IM37" i="5"/>
  <c r="IN37" i="5"/>
  <c r="IO37" i="5"/>
  <c r="IP37" i="5"/>
  <c r="IQ37" i="5"/>
  <c r="IR37" i="5"/>
  <c r="IS37" i="5"/>
  <c r="IT37" i="5"/>
  <c r="IU37" i="5"/>
  <c r="IV37" i="5"/>
  <c r="A36" i="5"/>
  <c r="B36"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H36" i="5"/>
  <c r="HI36" i="5"/>
  <c r="HJ36" i="5"/>
  <c r="HK36" i="5"/>
  <c r="HL36" i="5"/>
  <c r="HM36" i="5"/>
  <c r="HN36" i="5"/>
  <c r="HO36" i="5"/>
  <c r="HP36" i="5"/>
  <c r="HQ36" i="5"/>
  <c r="HR36" i="5"/>
  <c r="HS36" i="5"/>
  <c r="HT36" i="5"/>
  <c r="HU36" i="5"/>
  <c r="HV36" i="5"/>
  <c r="HW36" i="5"/>
  <c r="HX36" i="5"/>
  <c r="HY36" i="5"/>
  <c r="HZ36" i="5"/>
  <c r="IA36" i="5"/>
  <c r="IB36" i="5"/>
  <c r="IC36" i="5"/>
  <c r="ID36" i="5"/>
  <c r="IE36" i="5"/>
  <c r="IF36" i="5"/>
  <c r="IG36" i="5"/>
  <c r="IH36" i="5"/>
  <c r="II36" i="5"/>
  <c r="IJ36" i="5"/>
  <c r="IK36" i="5"/>
  <c r="IL36" i="5"/>
  <c r="IM36" i="5"/>
  <c r="IN36" i="5"/>
  <c r="IO36" i="5"/>
  <c r="IP36" i="5"/>
  <c r="IQ36" i="5"/>
  <c r="IR36" i="5"/>
  <c r="IS36" i="5"/>
  <c r="IT36" i="5"/>
  <c r="IU36" i="5"/>
  <c r="IV36" i="5"/>
  <c r="A35" i="5"/>
  <c r="B35"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G35" i="5"/>
  <c r="HH35" i="5"/>
  <c r="HI35" i="5"/>
  <c r="HJ35" i="5"/>
  <c r="HK35" i="5"/>
  <c r="HL35" i="5"/>
  <c r="HM35" i="5"/>
  <c r="HN35" i="5"/>
  <c r="HO35" i="5"/>
  <c r="HP35" i="5"/>
  <c r="HQ35" i="5"/>
  <c r="HR35" i="5"/>
  <c r="HS35" i="5"/>
  <c r="HT35" i="5"/>
  <c r="HU35" i="5"/>
  <c r="HV35" i="5"/>
  <c r="HW35" i="5"/>
  <c r="HX35" i="5"/>
  <c r="HY35" i="5"/>
  <c r="HZ35" i="5"/>
  <c r="IA35" i="5"/>
  <c r="IB35" i="5"/>
  <c r="IC35" i="5"/>
  <c r="ID35" i="5"/>
  <c r="IE35" i="5"/>
  <c r="IF35" i="5"/>
  <c r="IG35" i="5"/>
  <c r="IH35" i="5"/>
  <c r="II35" i="5"/>
  <c r="IJ35" i="5"/>
  <c r="IK35" i="5"/>
  <c r="IL35" i="5"/>
  <c r="IM35" i="5"/>
  <c r="IN35" i="5"/>
  <c r="IO35" i="5"/>
  <c r="IP35" i="5"/>
  <c r="IQ35" i="5"/>
  <c r="IR35" i="5"/>
  <c r="IS35" i="5"/>
  <c r="IT35" i="5"/>
  <c r="IU35" i="5"/>
  <c r="IV35" i="5"/>
  <c r="A34" i="5"/>
  <c r="B34"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H34" i="5"/>
  <c r="HI34" i="5"/>
  <c r="HJ34" i="5"/>
  <c r="HK34" i="5"/>
  <c r="HL34" i="5"/>
  <c r="HM34" i="5"/>
  <c r="HN34" i="5"/>
  <c r="HO34" i="5"/>
  <c r="HP34" i="5"/>
  <c r="HQ34" i="5"/>
  <c r="HR34" i="5"/>
  <c r="HS34" i="5"/>
  <c r="HT34" i="5"/>
  <c r="HU34" i="5"/>
  <c r="HV34" i="5"/>
  <c r="HW34" i="5"/>
  <c r="HX34" i="5"/>
  <c r="HY34" i="5"/>
  <c r="HZ34" i="5"/>
  <c r="IA34" i="5"/>
  <c r="IB34" i="5"/>
  <c r="IC34" i="5"/>
  <c r="ID34" i="5"/>
  <c r="IE34" i="5"/>
  <c r="IF34" i="5"/>
  <c r="IG34" i="5"/>
  <c r="IH34" i="5"/>
  <c r="II34" i="5"/>
  <c r="IJ34" i="5"/>
  <c r="IK34" i="5"/>
  <c r="IL34" i="5"/>
  <c r="IM34" i="5"/>
  <c r="IN34" i="5"/>
  <c r="IO34" i="5"/>
  <c r="IP34" i="5"/>
  <c r="IQ34" i="5"/>
  <c r="IR34" i="5"/>
  <c r="IS34" i="5"/>
  <c r="IT34" i="5"/>
  <c r="IU34" i="5"/>
  <c r="IV34" i="5"/>
  <c r="A33" i="5"/>
  <c r="B33"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G33" i="5"/>
  <c r="HH33" i="5"/>
  <c r="HI33" i="5"/>
  <c r="HJ33" i="5"/>
  <c r="HK33" i="5"/>
  <c r="HL33" i="5"/>
  <c r="HM33" i="5"/>
  <c r="HN33" i="5"/>
  <c r="HO33" i="5"/>
  <c r="HP33" i="5"/>
  <c r="HQ33" i="5"/>
  <c r="HR33" i="5"/>
  <c r="HS33" i="5"/>
  <c r="HT33" i="5"/>
  <c r="HU33" i="5"/>
  <c r="HV33" i="5"/>
  <c r="HW33" i="5"/>
  <c r="HX33" i="5"/>
  <c r="HY33" i="5"/>
  <c r="HZ33" i="5"/>
  <c r="IA33" i="5"/>
  <c r="IB33" i="5"/>
  <c r="IC33" i="5"/>
  <c r="ID33" i="5"/>
  <c r="IE33" i="5"/>
  <c r="IF33" i="5"/>
  <c r="IG33" i="5"/>
  <c r="IH33" i="5"/>
  <c r="II33" i="5"/>
  <c r="IJ33" i="5"/>
  <c r="IK33" i="5"/>
  <c r="IL33" i="5"/>
  <c r="IM33" i="5"/>
  <c r="IN33" i="5"/>
  <c r="IO33" i="5"/>
  <c r="IP33" i="5"/>
  <c r="IQ33" i="5"/>
  <c r="IR33" i="5"/>
  <c r="IS33" i="5"/>
  <c r="IT33" i="5"/>
  <c r="IU33" i="5"/>
  <c r="IV33" i="5"/>
  <c r="A32" i="5"/>
  <c r="B32"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H32" i="5"/>
  <c r="HI32" i="5"/>
  <c r="HJ32" i="5"/>
  <c r="HK32" i="5"/>
  <c r="HL32" i="5"/>
  <c r="HM32" i="5"/>
  <c r="HN32" i="5"/>
  <c r="HO32" i="5"/>
  <c r="HP32" i="5"/>
  <c r="HQ32" i="5"/>
  <c r="HR32" i="5"/>
  <c r="HS32" i="5"/>
  <c r="HT32" i="5"/>
  <c r="HU32" i="5"/>
  <c r="HV32" i="5"/>
  <c r="HW32" i="5"/>
  <c r="HX32" i="5"/>
  <c r="HY32" i="5"/>
  <c r="HZ32" i="5"/>
  <c r="IA32" i="5"/>
  <c r="IB32" i="5"/>
  <c r="IC32" i="5"/>
  <c r="ID32" i="5"/>
  <c r="IE32" i="5"/>
  <c r="IF32" i="5"/>
  <c r="IG32" i="5"/>
  <c r="IH32" i="5"/>
  <c r="II32" i="5"/>
  <c r="IJ32" i="5"/>
  <c r="IK32" i="5"/>
  <c r="IL32" i="5"/>
  <c r="IM32" i="5"/>
  <c r="IN32" i="5"/>
  <c r="IO32" i="5"/>
  <c r="IP32" i="5"/>
  <c r="IQ32" i="5"/>
  <c r="IR32" i="5"/>
  <c r="IS32" i="5"/>
  <c r="IT32" i="5"/>
  <c r="IU32" i="5"/>
  <c r="IV32" i="5"/>
  <c r="A31" i="5"/>
  <c r="B31"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G31" i="5"/>
  <c r="HH31" i="5"/>
  <c r="HI31" i="5"/>
  <c r="HJ31" i="5"/>
  <c r="HK31" i="5"/>
  <c r="HL31" i="5"/>
  <c r="HM31" i="5"/>
  <c r="HN31" i="5"/>
  <c r="HO31" i="5"/>
  <c r="HP31" i="5"/>
  <c r="HQ31" i="5"/>
  <c r="HR31" i="5"/>
  <c r="HS31" i="5"/>
  <c r="HT31" i="5"/>
  <c r="HU31" i="5"/>
  <c r="HV31" i="5"/>
  <c r="HW31" i="5"/>
  <c r="HX31" i="5"/>
  <c r="HY31" i="5"/>
  <c r="HZ31" i="5"/>
  <c r="IA31" i="5"/>
  <c r="IB31" i="5"/>
  <c r="IC31" i="5"/>
  <c r="ID31" i="5"/>
  <c r="IE31" i="5"/>
  <c r="IF31" i="5"/>
  <c r="IG31" i="5"/>
  <c r="IH31" i="5"/>
  <c r="II31" i="5"/>
  <c r="IJ31" i="5"/>
  <c r="IK31" i="5"/>
  <c r="IL31" i="5"/>
  <c r="IM31" i="5"/>
  <c r="IN31" i="5"/>
  <c r="IO31" i="5"/>
  <c r="IP31" i="5"/>
  <c r="IQ31" i="5"/>
  <c r="IR31" i="5"/>
  <c r="IS31" i="5"/>
  <c r="IT31" i="5"/>
  <c r="IU31" i="5"/>
  <c r="IV31" i="5"/>
  <c r="A30" i="5"/>
  <c r="B30"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H30" i="5"/>
  <c r="HI30" i="5"/>
  <c r="HJ30" i="5"/>
  <c r="HK30" i="5"/>
  <c r="HL30" i="5"/>
  <c r="HM30" i="5"/>
  <c r="HN30" i="5"/>
  <c r="HO30" i="5"/>
  <c r="HP30" i="5"/>
  <c r="HQ30" i="5"/>
  <c r="HR30" i="5"/>
  <c r="HS30" i="5"/>
  <c r="HT30" i="5"/>
  <c r="HU30" i="5"/>
  <c r="HV30" i="5"/>
  <c r="HW30" i="5"/>
  <c r="HX30" i="5"/>
  <c r="HY30" i="5"/>
  <c r="HZ30" i="5"/>
  <c r="IA30" i="5"/>
  <c r="IB30" i="5"/>
  <c r="IC30" i="5"/>
  <c r="ID30" i="5"/>
  <c r="IE30" i="5"/>
  <c r="IF30" i="5"/>
  <c r="IG30" i="5"/>
  <c r="IH30" i="5"/>
  <c r="II30" i="5"/>
  <c r="IJ30" i="5"/>
  <c r="IK30" i="5"/>
  <c r="IL30" i="5"/>
  <c r="IM30" i="5"/>
  <c r="IN30" i="5"/>
  <c r="IO30" i="5"/>
  <c r="IP30" i="5"/>
  <c r="IQ30" i="5"/>
  <c r="IR30" i="5"/>
  <c r="IS30" i="5"/>
  <c r="IT30" i="5"/>
  <c r="IU30" i="5"/>
  <c r="IV30" i="5"/>
  <c r="A29" i="5"/>
  <c r="B29"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G29" i="5"/>
  <c r="HH29" i="5"/>
  <c r="HI29" i="5"/>
  <c r="HJ29" i="5"/>
  <c r="HK29" i="5"/>
  <c r="HL29" i="5"/>
  <c r="HM29" i="5"/>
  <c r="HN29" i="5"/>
  <c r="HO29" i="5"/>
  <c r="HP29" i="5"/>
  <c r="HQ29" i="5"/>
  <c r="HR29" i="5"/>
  <c r="HS29" i="5"/>
  <c r="HT29" i="5"/>
  <c r="HU29" i="5"/>
  <c r="HV29" i="5"/>
  <c r="HW29" i="5"/>
  <c r="HX29" i="5"/>
  <c r="HY29" i="5"/>
  <c r="HZ29" i="5"/>
  <c r="IA29" i="5"/>
  <c r="IB29" i="5"/>
  <c r="IC29" i="5"/>
  <c r="ID29" i="5"/>
  <c r="IE29" i="5"/>
  <c r="IF29" i="5"/>
  <c r="IG29" i="5"/>
  <c r="IH29" i="5"/>
  <c r="II29" i="5"/>
  <c r="IJ29" i="5"/>
  <c r="IK29" i="5"/>
  <c r="IL29" i="5"/>
  <c r="IM29" i="5"/>
  <c r="IN29" i="5"/>
  <c r="IO29" i="5"/>
  <c r="IP29" i="5"/>
  <c r="IQ29" i="5"/>
  <c r="IR29" i="5"/>
  <c r="IS29" i="5"/>
  <c r="IT29" i="5"/>
  <c r="IU29" i="5"/>
  <c r="IV29" i="5"/>
  <c r="A28" i="5"/>
  <c r="B28"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H28" i="5"/>
  <c r="HI28" i="5"/>
  <c r="HJ28" i="5"/>
  <c r="HK28" i="5"/>
  <c r="HL28" i="5"/>
  <c r="HM28" i="5"/>
  <c r="HN28" i="5"/>
  <c r="HO28" i="5"/>
  <c r="HP28" i="5"/>
  <c r="HQ28" i="5"/>
  <c r="HR28" i="5"/>
  <c r="HS28" i="5"/>
  <c r="HT28" i="5"/>
  <c r="HU28" i="5"/>
  <c r="HV28" i="5"/>
  <c r="HW28" i="5"/>
  <c r="HX28" i="5"/>
  <c r="HY28" i="5"/>
  <c r="HZ28" i="5"/>
  <c r="IA28" i="5"/>
  <c r="IB28" i="5"/>
  <c r="IC28" i="5"/>
  <c r="ID28" i="5"/>
  <c r="IE28" i="5"/>
  <c r="IF28" i="5"/>
  <c r="IG28" i="5"/>
  <c r="IH28" i="5"/>
  <c r="II28" i="5"/>
  <c r="IJ28" i="5"/>
  <c r="IK28" i="5"/>
  <c r="IL28" i="5"/>
  <c r="IM28" i="5"/>
  <c r="IN28" i="5"/>
  <c r="IO28" i="5"/>
  <c r="IP28" i="5"/>
  <c r="IQ28" i="5"/>
  <c r="IR28" i="5"/>
  <c r="IS28" i="5"/>
  <c r="IT28" i="5"/>
  <c r="IU28" i="5"/>
  <c r="IV28" i="5"/>
  <c r="A27" i="5"/>
  <c r="B27"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G27" i="5"/>
  <c r="HH27" i="5"/>
  <c r="HI27" i="5"/>
  <c r="HJ27" i="5"/>
  <c r="HK27" i="5"/>
  <c r="HL27" i="5"/>
  <c r="HM27" i="5"/>
  <c r="HN27" i="5"/>
  <c r="HO27" i="5"/>
  <c r="HP27" i="5"/>
  <c r="HQ27" i="5"/>
  <c r="HR27" i="5"/>
  <c r="HS27" i="5"/>
  <c r="HT27" i="5"/>
  <c r="HU27" i="5"/>
  <c r="HV27" i="5"/>
  <c r="HW27" i="5"/>
  <c r="HX27" i="5"/>
  <c r="HY27" i="5"/>
  <c r="HZ27" i="5"/>
  <c r="IA27" i="5"/>
  <c r="IB27" i="5"/>
  <c r="IC27" i="5"/>
  <c r="ID27" i="5"/>
  <c r="IE27" i="5"/>
  <c r="IF27" i="5"/>
  <c r="IG27" i="5"/>
  <c r="IH27" i="5"/>
  <c r="II27" i="5"/>
  <c r="IJ27" i="5"/>
  <c r="IK27" i="5"/>
  <c r="IL27" i="5"/>
  <c r="IM27" i="5"/>
  <c r="IN27" i="5"/>
  <c r="IO27" i="5"/>
  <c r="IP27" i="5"/>
  <c r="IQ27" i="5"/>
  <c r="IR27" i="5"/>
  <c r="IS27" i="5"/>
  <c r="IT27" i="5"/>
  <c r="IU27" i="5"/>
  <c r="IV27" i="5"/>
  <c r="A26" i="5"/>
  <c r="B26"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H26" i="5"/>
  <c r="HI26" i="5"/>
  <c r="HJ26" i="5"/>
  <c r="HK26" i="5"/>
  <c r="HL26" i="5"/>
  <c r="HM26" i="5"/>
  <c r="HN26" i="5"/>
  <c r="HO26" i="5"/>
  <c r="HP26" i="5"/>
  <c r="HQ26" i="5"/>
  <c r="HR26" i="5"/>
  <c r="HS26" i="5"/>
  <c r="HT26" i="5"/>
  <c r="HU26" i="5"/>
  <c r="HV26" i="5"/>
  <c r="HW26" i="5"/>
  <c r="HX26" i="5"/>
  <c r="HY26" i="5"/>
  <c r="HZ26" i="5"/>
  <c r="IA26" i="5"/>
  <c r="IB26" i="5"/>
  <c r="IC26" i="5"/>
  <c r="ID26" i="5"/>
  <c r="IE26" i="5"/>
  <c r="IF26" i="5"/>
  <c r="IG26" i="5"/>
  <c r="IH26" i="5"/>
  <c r="II26" i="5"/>
  <c r="IJ26" i="5"/>
  <c r="IK26" i="5"/>
  <c r="IL26" i="5"/>
  <c r="IM26" i="5"/>
  <c r="IN26" i="5"/>
  <c r="IO26" i="5"/>
  <c r="IP26" i="5"/>
  <c r="IQ26" i="5"/>
  <c r="IR26" i="5"/>
  <c r="IS26" i="5"/>
  <c r="IT26" i="5"/>
  <c r="IU26" i="5"/>
  <c r="IV26" i="5"/>
  <c r="A25" i="5"/>
  <c r="B25"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G25" i="5"/>
  <c r="HH25" i="5"/>
  <c r="HI25" i="5"/>
  <c r="HJ25" i="5"/>
  <c r="HK25" i="5"/>
  <c r="HL25" i="5"/>
  <c r="HM25" i="5"/>
  <c r="HN25" i="5"/>
  <c r="HO25" i="5"/>
  <c r="HP25" i="5"/>
  <c r="HQ25" i="5"/>
  <c r="HR25" i="5"/>
  <c r="HS25" i="5"/>
  <c r="HT25" i="5"/>
  <c r="HU25" i="5"/>
  <c r="HV25" i="5"/>
  <c r="HW25" i="5"/>
  <c r="HX25" i="5"/>
  <c r="HY25" i="5"/>
  <c r="HZ25" i="5"/>
  <c r="IA25" i="5"/>
  <c r="IB25" i="5"/>
  <c r="IC25" i="5"/>
  <c r="ID25" i="5"/>
  <c r="IE25" i="5"/>
  <c r="IF25" i="5"/>
  <c r="IG25" i="5"/>
  <c r="IH25" i="5"/>
  <c r="II25" i="5"/>
  <c r="IJ25" i="5"/>
  <c r="IK25" i="5"/>
  <c r="IL25" i="5"/>
  <c r="IM25" i="5"/>
  <c r="IN25" i="5"/>
  <c r="IO25" i="5"/>
  <c r="IP25" i="5"/>
  <c r="IQ25" i="5"/>
  <c r="IR25" i="5"/>
  <c r="IS25" i="5"/>
  <c r="IT25" i="5"/>
  <c r="IU25" i="5"/>
  <c r="IV25" i="5"/>
  <c r="A24" i="5"/>
  <c r="B24"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H24" i="5"/>
  <c r="HI24" i="5"/>
  <c r="HJ24" i="5"/>
  <c r="HK24" i="5"/>
  <c r="HL24" i="5"/>
  <c r="HM24" i="5"/>
  <c r="HN24" i="5"/>
  <c r="HO24" i="5"/>
  <c r="HP24" i="5"/>
  <c r="HQ24" i="5"/>
  <c r="HR24" i="5"/>
  <c r="HS24" i="5"/>
  <c r="HT24" i="5"/>
  <c r="HU24" i="5"/>
  <c r="HV24" i="5"/>
  <c r="HW24" i="5"/>
  <c r="HX24" i="5"/>
  <c r="HY24" i="5"/>
  <c r="HZ24" i="5"/>
  <c r="IA24" i="5"/>
  <c r="IB24" i="5"/>
  <c r="IC24" i="5"/>
  <c r="ID24" i="5"/>
  <c r="IE24" i="5"/>
  <c r="IF24" i="5"/>
  <c r="IG24" i="5"/>
  <c r="IH24" i="5"/>
  <c r="II24" i="5"/>
  <c r="IJ24" i="5"/>
  <c r="IK24" i="5"/>
  <c r="IL24" i="5"/>
  <c r="IM24" i="5"/>
  <c r="IN24" i="5"/>
  <c r="IO24" i="5"/>
  <c r="IP24" i="5"/>
  <c r="IQ24" i="5"/>
  <c r="IR24" i="5"/>
  <c r="IS24" i="5"/>
  <c r="IT24" i="5"/>
  <c r="IU24" i="5"/>
  <c r="IV24" i="5"/>
  <c r="A23" i="5"/>
  <c r="B23"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G23" i="5"/>
  <c r="HH23" i="5"/>
  <c r="HI23" i="5"/>
  <c r="HJ23" i="5"/>
  <c r="HK23" i="5"/>
  <c r="HL23" i="5"/>
  <c r="HM23" i="5"/>
  <c r="HN23" i="5"/>
  <c r="HO23" i="5"/>
  <c r="HP23" i="5"/>
  <c r="HQ23" i="5"/>
  <c r="HR23" i="5"/>
  <c r="HS23" i="5"/>
  <c r="HT23" i="5"/>
  <c r="HU23" i="5"/>
  <c r="HV23" i="5"/>
  <c r="HW23" i="5"/>
  <c r="HX23" i="5"/>
  <c r="HY23" i="5"/>
  <c r="HZ23" i="5"/>
  <c r="IA23" i="5"/>
  <c r="IB23" i="5"/>
  <c r="IC23" i="5"/>
  <c r="ID23" i="5"/>
  <c r="IE23" i="5"/>
  <c r="IF23" i="5"/>
  <c r="IG23" i="5"/>
  <c r="IH23" i="5"/>
  <c r="II23" i="5"/>
  <c r="IJ23" i="5"/>
  <c r="IK23" i="5"/>
  <c r="IL23" i="5"/>
  <c r="IM23" i="5"/>
  <c r="IN23" i="5"/>
  <c r="IO23" i="5"/>
  <c r="IP23" i="5"/>
  <c r="IQ23" i="5"/>
  <c r="IR23" i="5"/>
  <c r="IS23" i="5"/>
  <c r="IT23" i="5"/>
  <c r="IU23" i="5"/>
  <c r="IV23" i="5"/>
  <c r="A22" i="5"/>
  <c r="B22"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H22" i="5"/>
  <c r="HI22" i="5"/>
  <c r="HJ22" i="5"/>
  <c r="HK22" i="5"/>
  <c r="HL22" i="5"/>
  <c r="HM22" i="5"/>
  <c r="HN22" i="5"/>
  <c r="HO22" i="5"/>
  <c r="HP22" i="5"/>
  <c r="HQ22" i="5"/>
  <c r="HR22" i="5"/>
  <c r="HS22" i="5"/>
  <c r="HT22" i="5"/>
  <c r="HU22" i="5"/>
  <c r="HV22" i="5"/>
  <c r="HW22" i="5"/>
  <c r="HX22" i="5"/>
  <c r="HY22" i="5"/>
  <c r="HZ22" i="5"/>
  <c r="IA22" i="5"/>
  <c r="IB22" i="5"/>
  <c r="IC22" i="5"/>
  <c r="ID22" i="5"/>
  <c r="IE22" i="5"/>
  <c r="IF22" i="5"/>
  <c r="IG22" i="5"/>
  <c r="IH22" i="5"/>
  <c r="II22" i="5"/>
  <c r="IJ22" i="5"/>
  <c r="IK22" i="5"/>
  <c r="IL22" i="5"/>
  <c r="IM22" i="5"/>
  <c r="IN22" i="5"/>
  <c r="IO22" i="5"/>
  <c r="IP22" i="5"/>
  <c r="IQ22" i="5"/>
  <c r="IR22" i="5"/>
  <c r="IS22" i="5"/>
  <c r="IT22" i="5"/>
  <c r="IU22" i="5"/>
  <c r="IV22" i="5"/>
  <c r="A21" i="5"/>
  <c r="B21"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G21" i="5"/>
  <c r="HH21" i="5"/>
  <c r="HI21" i="5"/>
  <c r="HJ21" i="5"/>
  <c r="HK21" i="5"/>
  <c r="HL21" i="5"/>
  <c r="HM21" i="5"/>
  <c r="HN21" i="5"/>
  <c r="HO21" i="5"/>
  <c r="HP21" i="5"/>
  <c r="HQ21" i="5"/>
  <c r="HR21" i="5"/>
  <c r="HS21" i="5"/>
  <c r="HT21" i="5"/>
  <c r="HU21" i="5"/>
  <c r="HV21" i="5"/>
  <c r="HW21" i="5"/>
  <c r="HX21" i="5"/>
  <c r="HY21" i="5"/>
  <c r="HZ21" i="5"/>
  <c r="IA21" i="5"/>
  <c r="IB21" i="5"/>
  <c r="IC21" i="5"/>
  <c r="ID21" i="5"/>
  <c r="IE21" i="5"/>
  <c r="IF21" i="5"/>
  <c r="IG21" i="5"/>
  <c r="IH21" i="5"/>
  <c r="II21" i="5"/>
  <c r="IJ21" i="5"/>
  <c r="IK21" i="5"/>
  <c r="IL21" i="5"/>
  <c r="IM21" i="5"/>
  <c r="IN21" i="5"/>
  <c r="IO21" i="5"/>
  <c r="IP21" i="5"/>
  <c r="IQ21" i="5"/>
  <c r="IR21" i="5"/>
  <c r="IS21" i="5"/>
  <c r="IT21" i="5"/>
  <c r="IU21" i="5"/>
  <c r="IV21" i="5"/>
  <c r="A20" i="5"/>
  <c r="B20"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H20" i="5"/>
  <c r="HI20" i="5"/>
  <c r="HJ20" i="5"/>
  <c r="HK20" i="5"/>
  <c r="HL20" i="5"/>
  <c r="HM20" i="5"/>
  <c r="HN20" i="5"/>
  <c r="HO20" i="5"/>
  <c r="HP20" i="5"/>
  <c r="HQ20" i="5"/>
  <c r="HR20" i="5"/>
  <c r="HS20" i="5"/>
  <c r="HT20" i="5"/>
  <c r="HU20" i="5"/>
  <c r="HV20" i="5"/>
  <c r="HW20" i="5"/>
  <c r="HX20" i="5"/>
  <c r="HY20" i="5"/>
  <c r="HZ20" i="5"/>
  <c r="IA20" i="5"/>
  <c r="IB20" i="5"/>
  <c r="IC20" i="5"/>
  <c r="ID20" i="5"/>
  <c r="IE20" i="5"/>
  <c r="IF20" i="5"/>
  <c r="IG20" i="5"/>
  <c r="IH20" i="5"/>
  <c r="II20" i="5"/>
  <c r="IJ20" i="5"/>
  <c r="IK20" i="5"/>
  <c r="IL20" i="5"/>
  <c r="IM20" i="5"/>
  <c r="IN20" i="5"/>
  <c r="IO20" i="5"/>
  <c r="IP20" i="5"/>
  <c r="IQ20" i="5"/>
  <c r="IR20" i="5"/>
  <c r="IS20" i="5"/>
  <c r="IT20" i="5"/>
  <c r="IU20" i="5"/>
  <c r="IV20" i="5"/>
  <c r="A19" i="5"/>
  <c r="B19"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G19" i="5"/>
  <c r="HH19" i="5"/>
  <c r="HI19" i="5"/>
  <c r="HJ19" i="5"/>
  <c r="HK19" i="5"/>
  <c r="HL19" i="5"/>
  <c r="HM19" i="5"/>
  <c r="HN19" i="5"/>
  <c r="HO19" i="5"/>
  <c r="HP19" i="5"/>
  <c r="HQ19" i="5"/>
  <c r="HR19" i="5"/>
  <c r="HS19" i="5"/>
  <c r="HT19" i="5"/>
  <c r="HU19" i="5"/>
  <c r="HV19" i="5"/>
  <c r="HW19" i="5"/>
  <c r="HX19" i="5"/>
  <c r="HY19" i="5"/>
  <c r="HZ19" i="5"/>
  <c r="IA19" i="5"/>
  <c r="IB19" i="5"/>
  <c r="IC19" i="5"/>
  <c r="ID19" i="5"/>
  <c r="IE19" i="5"/>
  <c r="IF19" i="5"/>
  <c r="IG19" i="5"/>
  <c r="IH19" i="5"/>
  <c r="II19" i="5"/>
  <c r="IJ19" i="5"/>
  <c r="IK19" i="5"/>
  <c r="IL19" i="5"/>
  <c r="IM19" i="5"/>
  <c r="IN19" i="5"/>
  <c r="IO19" i="5"/>
  <c r="IP19" i="5"/>
  <c r="IQ19" i="5"/>
  <c r="IR19" i="5"/>
  <c r="IS19" i="5"/>
  <c r="IT19" i="5"/>
  <c r="IU19" i="5"/>
  <c r="IV19" i="5"/>
  <c r="A18" i="5"/>
  <c r="B18"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H18" i="5"/>
  <c r="HI18" i="5"/>
  <c r="HJ18" i="5"/>
  <c r="HK18" i="5"/>
  <c r="HL18" i="5"/>
  <c r="HM18" i="5"/>
  <c r="HN18" i="5"/>
  <c r="HO18" i="5"/>
  <c r="HP18" i="5"/>
  <c r="HQ18" i="5"/>
  <c r="HR18" i="5"/>
  <c r="HS18" i="5"/>
  <c r="HT18" i="5"/>
  <c r="HU18" i="5"/>
  <c r="HV18" i="5"/>
  <c r="HW18" i="5"/>
  <c r="HX18" i="5"/>
  <c r="HY18" i="5"/>
  <c r="HZ18" i="5"/>
  <c r="IA18" i="5"/>
  <c r="IB18" i="5"/>
  <c r="IC18" i="5"/>
  <c r="ID18" i="5"/>
  <c r="IE18" i="5"/>
  <c r="IF18" i="5"/>
  <c r="IG18" i="5"/>
  <c r="IH18" i="5"/>
  <c r="II18" i="5"/>
  <c r="IJ18" i="5"/>
  <c r="IK18" i="5"/>
  <c r="IL18" i="5"/>
  <c r="IM18" i="5"/>
  <c r="IN18" i="5"/>
  <c r="IO18" i="5"/>
  <c r="IP18" i="5"/>
  <c r="IQ18" i="5"/>
  <c r="IR18" i="5"/>
  <c r="IS18" i="5"/>
  <c r="IT18" i="5"/>
  <c r="IU18" i="5"/>
  <c r="IV18" i="5"/>
  <c r="A17" i="5"/>
  <c r="B17"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G17" i="5"/>
  <c r="HH17" i="5"/>
  <c r="HI17" i="5"/>
  <c r="HJ17" i="5"/>
  <c r="HK17" i="5"/>
  <c r="HL17" i="5"/>
  <c r="HM17" i="5"/>
  <c r="HN17" i="5"/>
  <c r="HO17" i="5"/>
  <c r="HP17" i="5"/>
  <c r="HQ17" i="5"/>
  <c r="HR17" i="5"/>
  <c r="HS17" i="5"/>
  <c r="HT17" i="5"/>
  <c r="HU17" i="5"/>
  <c r="HV17" i="5"/>
  <c r="HW17" i="5"/>
  <c r="HX17" i="5"/>
  <c r="HY17" i="5"/>
  <c r="HZ17" i="5"/>
  <c r="IA17" i="5"/>
  <c r="IB17" i="5"/>
  <c r="IC17" i="5"/>
  <c r="ID17" i="5"/>
  <c r="IE17" i="5"/>
  <c r="IF17" i="5"/>
  <c r="IG17" i="5"/>
  <c r="IH17" i="5"/>
  <c r="II17" i="5"/>
  <c r="IJ17" i="5"/>
  <c r="IK17" i="5"/>
  <c r="IL17" i="5"/>
  <c r="IM17" i="5"/>
  <c r="IN17" i="5"/>
  <c r="IO17" i="5"/>
  <c r="IP17" i="5"/>
  <c r="IQ17" i="5"/>
  <c r="IR17" i="5"/>
  <c r="IS17" i="5"/>
  <c r="IT17" i="5"/>
  <c r="IU17" i="5"/>
  <c r="IV17" i="5"/>
  <c r="A16" i="5"/>
  <c r="B16"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H16" i="5"/>
  <c r="HI16" i="5"/>
  <c r="HJ16" i="5"/>
  <c r="HK16" i="5"/>
  <c r="HL16" i="5"/>
  <c r="HM16" i="5"/>
  <c r="HN16" i="5"/>
  <c r="HO16" i="5"/>
  <c r="HP16" i="5"/>
  <c r="HQ16" i="5"/>
  <c r="HR16" i="5"/>
  <c r="HS16" i="5"/>
  <c r="HT16" i="5"/>
  <c r="HU16" i="5"/>
  <c r="HV16" i="5"/>
  <c r="HW16" i="5"/>
  <c r="HX16" i="5"/>
  <c r="HY16" i="5"/>
  <c r="HZ16" i="5"/>
  <c r="IA16" i="5"/>
  <c r="IB16" i="5"/>
  <c r="IC16" i="5"/>
  <c r="ID16" i="5"/>
  <c r="IE16" i="5"/>
  <c r="IF16" i="5"/>
  <c r="IG16" i="5"/>
  <c r="IH16" i="5"/>
  <c r="II16" i="5"/>
  <c r="IJ16" i="5"/>
  <c r="IK16" i="5"/>
  <c r="IL16" i="5"/>
  <c r="IM16" i="5"/>
  <c r="IN16" i="5"/>
  <c r="IO16" i="5"/>
  <c r="IP16" i="5"/>
  <c r="IQ16" i="5"/>
  <c r="IR16" i="5"/>
  <c r="IS16" i="5"/>
  <c r="IT16" i="5"/>
  <c r="IU16" i="5"/>
  <c r="IV16" i="5"/>
  <c r="A15" i="5"/>
  <c r="B15"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G15" i="5"/>
  <c r="HH15" i="5"/>
  <c r="HI15" i="5"/>
  <c r="HJ15" i="5"/>
  <c r="HK15" i="5"/>
  <c r="HL15" i="5"/>
  <c r="HM15" i="5"/>
  <c r="HN15" i="5"/>
  <c r="HO15" i="5"/>
  <c r="HP15" i="5"/>
  <c r="HQ15" i="5"/>
  <c r="HR15" i="5"/>
  <c r="HS15" i="5"/>
  <c r="HT15" i="5"/>
  <c r="HU15" i="5"/>
  <c r="HV15" i="5"/>
  <c r="HW15" i="5"/>
  <c r="HX15" i="5"/>
  <c r="HY15" i="5"/>
  <c r="HZ15" i="5"/>
  <c r="IA15" i="5"/>
  <c r="IB15" i="5"/>
  <c r="IC15" i="5"/>
  <c r="ID15" i="5"/>
  <c r="IE15" i="5"/>
  <c r="IF15" i="5"/>
  <c r="IG15" i="5"/>
  <c r="IH15" i="5"/>
  <c r="II15" i="5"/>
  <c r="IJ15" i="5"/>
  <c r="IK15" i="5"/>
  <c r="IL15" i="5"/>
  <c r="IM15" i="5"/>
  <c r="IN15" i="5"/>
  <c r="IO15" i="5"/>
  <c r="IP15" i="5"/>
  <c r="IQ15" i="5"/>
  <c r="IR15" i="5"/>
  <c r="IS15" i="5"/>
  <c r="IT15" i="5"/>
  <c r="IU15" i="5"/>
  <c r="IV15" i="5"/>
  <c r="A14" i="5"/>
  <c r="B14"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H14" i="5"/>
  <c r="HI14" i="5"/>
  <c r="HJ14" i="5"/>
  <c r="HK14" i="5"/>
  <c r="HL14" i="5"/>
  <c r="HM14" i="5"/>
  <c r="HN14" i="5"/>
  <c r="HO14" i="5"/>
  <c r="HP14" i="5"/>
  <c r="HQ14" i="5"/>
  <c r="HR14" i="5"/>
  <c r="HS14" i="5"/>
  <c r="HT14" i="5"/>
  <c r="HU14" i="5"/>
  <c r="HV14" i="5"/>
  <c r="HW14" i="5"/>
  <c r="HX14" i="5"/>
  <c r="HY14" i="5"/>
  <c r="HZ14" i="5"/>
  <c r="IA14" i="5"/>
  <c r="IB14" i="5"/>
  <c r="IC14" i="5"/>
  <c r="ID14" i="5"/>
  <c r="IE14" i="5"/>
  <c r="IF14" i="5"/>
  <c r="IG14" i="5"/>
  <c r="IH14" i="5"/>
  <c r="II14" i="5"/>
  <c r="IJ14" i="5"/>
  <c r="IK14" i="5"/>
  <c r="IL14" i="5"/>
  <c r="IM14" i="5"/>
  <c r="IN14" i="5"/>
  <c r="IO14" i="5"/>
  <c r="IP14" i="5"/>
  <c r="IQ14" i="5"/>
  <c r="IR14" i="5"/>
  <c r="IS14" i="5"/>
  <c r="IT14" i="5"/>
  <c r="IU14" i="5"/>
  <c r="IV14" i="5"/>
  <c r="A13" i="5"/>
  <c r="B13"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G13" i="5"/>
  <c r="HH13" i="5"/>
  <c r="HI13" i="5"/>
  <c r="HJ13" i="5"/>
  <c r="HK13" i="5"/>
  <c r="HL13" i="5"/>
  <c r="HM13" i="5"/>
  <c r="HN13" i="5"/>
  <c r="HO13" i="5"/>
  <c r="HP13" i="5"/>
  <c r="HQ13" i="5"/>
  <c r="HR13" i="5"/>
  <c r="HS13" i="5"/>
  <c r="HT13" i="5"/>
  <c r="HU13" i="5"/>
  <c r="HV13" i="5"/>
  <c r="HW13" i="5"/>
  <c r="HX13" i="5"/>
  <c r="HY13" i="5"/>
  <c r="HZ13" i="5"/>
  <c r="IA13" i="5"/>
  <c r="IB13" i="5"/>
  <c r="IC13" i="5"/>
  <c r="ID13" i="5"/>
  <c r="IE13" i="5"/>
  <c r="IF13" i="5"/>
  <c r="IG13" i="5"/>
  <c r="IH13" i="5"/>
  <c r="II13" i="5"/>
  <c r="IJ13" i="5"/>
  <c r="IK13" i="5"/>
  <c r="IL13" i="5"/>
  <c r="IM13" i="5"/>
  <c r="IN13" i="5"/>
  <c r="IO13" i="5"/>
  <c r="IP13" i="5"/>
  <c r="IQ13" i="5"/>
  <c r="IR13" i="5"/>
  <c r="IS13" i="5"/>
  <c r="IT13" i="5"/>
  <c r="IU13" i="5"/>
  <c r="IV13" i="5"/>
  <c r="A12" i="5"/>
  <c r="B12"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H12" i="5"/>
  <c r="HI12" i="5"/>
  <c r="HJ12" i="5"/>
  <c r="HK12" i="5"/>
  <c r="HL12" i="5"/>
  <c r="HM12" i="5"/>
  <c r="HN12" i="5"/>
  <c r="HO12" i="5"/>
  <c r="HP12" i="5"/>
  <c r="HQ12" i="5"/>
  <c r="HR12" i="5"/>
  <c r="HS12" i="5"/>
  <c r="HT12" i="5"/>
  <c r="HU12" i="5"/>
  <c r="HV12" i="5"/>
  <c r="HW12" i="5"/>
  <c r="HX12" i="5"/>
  <c r="HY12" i="5"/>
  <c r="HZ12" i="5"/>
  <c r="IA12" i="5"/>
  <c r="IB12" i="5"/>
  <c r="IC12" i="5"/>
  <c r="ID12" i="5"/>
  <c r="IE12" i="5"/>
  <c r="IF12" i="5"/>
  <c r="IG12" i="5"/>
  <c r="IH12" i="5"/>
  <c r="II12" i="5"/>
  <c r="IJ12" i="5"/>
  <c r="IK12" i="5"/>
  <c r="IL12" i="5"/>
  <c r="IM12" i="5"/>
  <c r="IN12" i="5"/>
  <c r="IO12" i="5"/>
  <c r="IP12" i="5"/>
  <c r="IQ12" i="5"/>
  <c r="IR12" i="5"/>
  <c r="IS12" i="5"/>
  <c r="IT12" i="5"/>
  <c r="IU12" i="5"/>
  <c r="IV12" i="5"/>
  <c r="A11" i="5"/>
  <c r="B11"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G11" i="5"/>
  <c r="HH11" i="5"/>
  <c r="HI11" i="5"/>
  <c r="HJ11" i="5"/>
  <c r="HK11" i="5"/>
  <c r="HL11" i="5"/>
  <c r="HM11" i="5"/>
  <c r="HN11" i="5"/>
  <c r="HO11" i="5"/>
  <c r="HP11" i="5"/>
  <c r="HQ11" i="5"/>
  <c r="HR11" i="5"/>
  <c r="HS11" i="5"/>
  <c r="HT11" i="5"/>
  <c r="HU11" i="5"/>
  <c r="HV11" i="5"/>
  <c r="HW11" i="5"/>
  <c r="HX11" i="5"/>
  <c r="HY11" i="5"/>
  <c r="HZ11" i="5"/>
  <c r="IA11" i="5"/>
  <c r="IB11" i="5"/>
  <c r="IC11" i="5"/>
  <c r="ID11" i="5"/>
  <c r="IE11" i="5"/>
  <c r="IF11" i="5"/>
  <c r="IG11" i="5"/>
  <c r="IH11" i="5"/>
  <c r="II11" i="5"/>
  <c r="IJ11" i="5"/>
  <c r="IK11" i="5"/>
  <c r="IL11" i="5"/>
  <c r="IM11" i="5"/>
  <c r="IN11" i="5"/>
  <c r="IO11" i="5"/>
  <c r="IP11" i="5"/>
  <c r="IQ11" i="5"/>
  <c r="IR11" i="5"/>
  <c r="IS11" i="5"/>
  <c r="IT11" i="5"/>
  <c r="IU11" i="5"/>
  <c r="IV11" i="5"/>
  <c r="A10" i="5"/>
  <c r="B10"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HJ10" i="5"/>
  <c r="HK10" i="5"/>
  <c r="HL10" i="5"/>
  <c r="HM10" i="5"/>
  <c r="HN10" i="5"/>
  <c r="HO10" i="5"/>
  <c r="HP10" i="5"/>
  <c r="HQ10" i="5"/>
  <c r="HR10" i="5"/>
  <c r="HS10" i="5"/>
  <c r="HT10" i="5"/>
  <c r="HU10" i="5"/>
  <c r="HV10" i="5"/>
  <c r="HW10" i="5"/>
  <c r="HX10" i="5"/>
  <c r="HY10" i="5"/>
  <c r="HZ10" i="5"/>
  <c r="IA10" i="5"/>
  <c r="IB10" i="5"/>
  <c r="IC10" i="5"/>
  <c r="ID10" i="5"/>
  <c r="IE10" i="5"/>
  <c r="IF10" i="5"/>
  <c r="IG10" i="5"/>
  <c r="IH10" i="5"/>
  <c r="II10" i="5"/>
  <c r="IJ10" i="5"/>
  <c r="IK10" i="5"/>
  <c r="IL10" i="5"/>
  <c r="IM10" i="5"/>
  <c r="IN10" i="5"/>
  <c r="IO10" i="5"/>
  <c r="IP10" i="5"/>
  <c r="IQ10" i="5"/>
  <c r="IR10" i="5"/>
  <c r="IS10" i="5"/>
  <c r="IT10" i="5"/>
  <c r="IU10" i="5"/>
  <c r="IV10" i="5"/>
  <c r="A9" i="5"/>
  <c r="B9"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HJ9" i="5"/>
  <c r="HK9" i="5"/>
  <c r="HL9" i="5"/>
  <c r="HM9" i="5"/>
  <c r="HN9" i="5"/>
  <c r="HO9" i="5"/>
  <c r="HP9" i="5"/>
  <c r="HQ9" i="5"/>
  <c r="HR9" i="5"/>
  <c r="HS9" i="5"/>
  <c r="HT9" i="5"/>
  <c r="HU9" i="5"/>
  <c r="HV9" i="5"/>
  <c r="HW9" i="5"/>
  <c r="HX9" i="5"/>
  <c r="HY9" i="5"/>
  <c r="HZ9" i="5"/>
  <c r="IA9" i="5"/>
  <c r="IB9" i="5"/>
  <c r="IC9" i="5"/>
  <c r="ID9" i="5"/>
  <c r="IE9" i="5"/>
  <c r="IF9" i="5"/>
  <c r="IG9" i="5"/>
  <c r="IH9" i="5"/>
  <c r="II9" i="5"/>
  <c r="IJ9" i="5"/>
  <c r="IK9" i="5"/>
  <c r="IL9" i="5"/>
  <c r="IM9" i="5"/>
  <c r="IN9" i="5"/>
  <c r="IO9" i="5"/>
  <c r="IP9" i="5"/>
  <c r="IQ9" i="5"/>
  <c r="IR9" i="5"/>
  <c r="IS9" i="5"/>
  <c r="IT9" i="5"/>
  <c r="IU9" i="5"/>
  <c r="IV9" i="5"/>
  <c r="A8" i="5"/>
  <c r="B8"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H8" i="5"/>
  <c r="HI8" i="5"/>
  <c r="HJ8" i="5"/>
  <c r="HK8" i="5"/>
  <c r="HL8" i="5"/>
  <c r="HM8" i="5"/>
  <c r="HN8" i="5"/>
  <c r="HO8" i="5"/>
  <c r="HP8" i="5"/>
  <c r="HQ8" i="5"/>
  <c r="HR8" i="5"/>
  <c r="HS8" i="5"/>
  <c r="HT8" i="5"/>
  <c r="HU8" i="5"/>
  <c r="HV8" i="5"/>
  <c r="HW8" i="5"/>
  <c r="HX8" i="5"/>
  <c r="HY8" i="5"/>
  <c r="HZ8" i="5"/>
  <c r="IA8" i="5"/>
  <c r="IB8" i="5"/>
  <c r="IC8" i="5"/>
  <c r="ID8" i="5"/>
  <c r="IE8" i="5"/>
  <c r="IF8" i="5"/>
  <c r="IG8" i="5"/>
  <c r="IH8" i="5"/>
  <c r="II8" i="5"/>
  <c r="IJ8" i="5"/>
  <c r="IK8" i="5"/>
  <c r="IL8" i="5"/>
  <c r="IM8" i="5"/>
  <c r="IN8" i="5"/>
  <c r="IO8" i="5"/>
  <c r="IP8" i="5"/>
  <c r="IQ8" i="5"/>
  <c r="IR8" i="5"/>
  <c r="IS8" i="5"/>
  <c r="IT8" i="5"/>
  <c r="IU8" i="5"/>
  <c r="IV8" i="5"/>
  <c r="A7" i="5"/>
  <c r="B7"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G7" i="5"/>
  <c r="HH7" i="5"/>
  <c r="HI7" i="5"/>
  <c r="HJ7" i="5"/>
  <c r="HK7" i="5"/>
  <c r="A6" i="5"/>
  <c r="B6"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H6" i="5"/>
  <c r="HI6" i="5"/>
  <c r="HJ6" i="5"/>
  <c r="HK6" i="5"/>
  <c r="HL6" i="5"/>
  <c r="HM6" i="5"/>
  <c r="HN6" i="5"/>
  <c r="HO6" i="5"/>
  <c r="HP6" i="5"/>
  <c r="HQ6" i="5"/>
  <c r="HR6" i="5"/>
  <c r="HS6" i="5"/>
  <c r="HT6" i="5"/>
  <c r="HU6" i="5"/>
  <c r="HV6" i="5"/>
  <c r="HW6" i="5"/>
  <c r="HX6" i="5"/>
  <c r="HY6" i="5"/>
  <c r="HZ6" i="5"/>
  <c r="IA6" i="5"/>
  <c r="IB6" i="5"/>
  <c r="IC6" i="5"/>
  <c r="ID6" i="5"/>
  <c r="IE6" i="5"/>
  <c r="IF6" i="5"/>
  <c r="IG6" i="5"/>
  <c r="IH6" i="5"/>
  <c r="II6" i="5"/>
  <c r="IJ6" i="5"/>
  <c r="IK6" i="5"/>
  <c r="IL6" i="5"/>
  <c r="IM6" i="5"/>
  <c r="IN6" i="5"/>
  <c r="IO6" i="5"/>
  <c r="IP6" i="5"/>
  <c r="IQ6" i="5"/>
  <c r="IR6" i="5"/>
  <c r="IS6" i="5"/>
  <c r="IT6" i="5"/>
  <c r="IU6" i="5"/>
  <c r="IV6" i="5"/>
  <c r="A5" i="5"/>
  <c r="B5"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G5" i="5"/>
  <c r="HH5" i="5"/>
  <c r="HI5" i="5"/>
  <c r="HJ5" i="5"/>
  <c r="HK5" i="5"/>
  <c r="HL5" i="5"/>
  <c r="HM5" i="5"/>
  <c r="HN5" i="5"/>
  <c r="HO5" i="5"/>
  <c r="HP5" i="5"/>
  <c r="HQ5" i="5"/>
  <c r="HR5" i="5"/>
  <c r="HS5" i="5"/>
  <c r="HT5" i="5"/>
  <c r="HU5" i="5"/>
  <c r="HV5" i="5"/>
  <c r="HW5" i="5"/>
  <c r="HX5" i="5"/>
  <c r="HY5" i="5"/>
  <c r="HZ5" i="5"/>
  <c r="IA5" i="5"/>
  <c r="IB5" i="5"/>
  <c r="IC5" i="5"/>
  <c r="ID5" i="5"/>
  <c r="IE5" i="5"/>
  <c r="IF5" i="5"/>
  <c r="IG5" i="5"/>
  <c r="IH5" i="5"/>
  <c r="II5" i="5"/>
  <c r="IJ5" i="5"/>
  <c r="IK5" i="5"/>
  <c r="IL5" i="5"/>
  <c r="IM5" i="5"/>
  <c r="IN5" i="5"/>
  <c r="IO5" i="5"/>
  <c r="IP5" i="5"/>
  <c r="IQ5" i="5"/>
  <c r="IR5" i="5"/>
  <c r="IS5" i="5"/>
  <c r="IT5" i="5"/>
  <c r="IU5" i="5"/>
  <c r="IV5" i="5"/>
  <c r="A4" i="5"/>
  <c r="B4" i="5"/>
  <c r="C4" i="5"/>
  <c r="D4" i="5"/>
  <c r="E4"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AU4" i="5"/>
  <c r="AV4" i="5"/>
  <c r="AW4" i="5"/>
  <c r="AX4" i="5"/>
  <c r="AY4" i="5"/>
  <c r="AZ4" i="5"/>
  <c r="BA4" i="5"/>
  <c r="BB4" i="5"/>
  <c r="BC4" i="5"/>
  <c r="BD4" i="5"/>
  <c r="BE4" i="5"/>
  <c r="BF4" i="5"/>
  <c r="BG4" i="5"/>
  <c r="BH4" i="5"/>
  <c r="BI4" i="5"/>
  <c r="BJ4" i="5"/>
  <c r="BK4" i="5"/>
  <c r="BL4" i="5"/>
  <c r="BM4" i="5"/>
  <c r="BN4" i="5"/>
  <c r="BO4" i="5"/>
  <c r="BP4" i="5"/>
  <c r="BQ4" i="5"/>
  <c r="BR4" i="5"/>
  <c r="BS4" i="5"/>
  <c r="BT4" i="5"/>
  <c r="BU4" i="5"/>
  <c r="BV4" i="5"/>
  <c r="BW4" i="5"/>
  <c r="BX4" i="5"/>
  <c r="BY4" i="5"/>
  <c r="BZ4" i="5"/>
  <c r="CA4" i="5"/>
  <c r="CB4" i="5"/>
  <c r="CC4" i="5"/>
  <c r="CD4" i="5"/>
  <c r="CE4" i="5"/>
  <c r="CF4" i="5"/>
  <c r="CG4" i="5"/>
  <c r="CH4" i="5"/>
  <c r="CI4" i="5"/>
  <c r="CJ4" i="5"/>
  <c r="CK4" i="5"/>
  <c r="CL4" i="5"/>
  <c r="CM4" i="5"/>
  <c r="CN4" i="5"/>
  <c r="CO4" i="5"/>
  <c r="CP4" i="5"/>
  <c r="CQ4" i="5"/>
  <c r="CR4" i="5"/>
  <c r="CS4" i="5"/>
  <c r="CT4" i="5"/>
  <c r="CU4" i="5"/>
  <c r="CV4" i="5"/>
  <c r="CW4" i="5"/>
  <c r="CX4" i="5"/>
  <c r="CY4" i="5"/>
  <c r="CZ4" i="5"/>
  <c r="DA4" i="5"/>
  <c r="DB4" i="5"/>
  <c r="DC4" i="5"/>
  <c r="DD4" i="5"/>
  <c r="DE4" i="5"/>
  <c r="DF4" i="5"/>
  <c r="DG4" i="5"/>
  <c r="DH4" i="5"/>
  <c r="DI4" i="5"/>
  <c r="DJ4" i="5"/>
  <c r="DK4" i="5"/>
  <c r="DL4" i="5"/>
  <c r="DM4" i="5"/>
  <c r="DN4" i="5"/>
  <c r="DO4" i="5"/>
  <c r="DP4" i="5"/>
  <c r="DQ4" i="5"/>
  <c r="DR4" i="5"/>
  <c r="DS4" i="5"/>
  <c r="DT4" i="5"/>
  <c r="DU4" i="5"/>
  <c r="DV4" i="5"/>
  <c r="DW4" i="5"/>
  <c r="DX4" i="5"/>
  <c r="DY4" i="5"/>
  <c r="DZ4" i="5"/>
  <c r="EA4" i="5"/>
  <c r="EB4" i="5"/>
  <c r="EC4" i="5"/>
  <c r="ED4" i="5"/>
  <c r="EE4" i="5"/>
  <c r="EF4" i="5"/>
  <c r="EG4" i="5"/>
  <c r="EH4" i="5"/>
  <c r="EI4" i="5"/>
  <c r="EJ4" i="5"/>
  <c r="EK4" i="5"/>
  <c r="EL4" i="5"/>
  <c r="EM4" i="5"/>
  <c r="EN4" i="5"/>
  <c r="EO4" i="5"/>
  <c r="EP4" i="5"/>
  <c r="EQ4" i="5"/>
  <c r="ER4" i="5"/>
  <c r="ES4" i="5"/>
  <c r="ET4" i="5"/>
  <c r="EU4" i="5"/>
  <c r="EV4" i="5"/>
  <c r="EW4" i="5"/>
  <c r="EX4" i="5"/>
  <c r="EY4" i="5"/>
  <c r="EZ4" i="5"/>
  <c r="FA4" i="5"/>
  <c r="FB4" i="5"/>
  <c r="FC4" i="5"/>
  <c r="FD4" i="5"/>
  <c r="FE4" i="5"/>
  <c r="FF4" i="5"/>
  <c r="FG4" i="5"/>
  <c r="FH4" i="5"/>
  <c r="FI4" i="5"/>
  <c r="FJ4" i="5"/>
  <c r="FK4" i="5"/>
  <c r="FL4" i="5"/>
  <c r="FM4" i="5"/>
  <c r="FN4" i="5"/>
  <c r="FO4" i="5"/>
  <c r="FP4" i="5"/>
  <c r="FQ4" i="5"/>
  <c r="FR4" i="5"/>
  <c r="FS4" i="5"/>
  <c r="FT4" i="5"/>
  <c r="FU4" i="5"/>
  <c r="FV4" i="5"/>
  <c r="FW4" i="5"/>
  <c r="FX4" i="5"/>
  <c r="FY4" i="5"/>
  <c r="FZ4" i="5"/>
  <c r="GA4" i="5"/>
  <c r="GB4" i="5"/>
  <c r="GC4" i="5"/>
  <c r="GD4" i="5"/>
  <c r="GE4" i="5"/>
  <c r="GF4" i="5"/>
  <c r="GG4" i="5"/>
  <c r="GH4" i="5"/>
  <c r="GI4" i="5"/>
  <c r="GJ4" i="5"/>
  <c r="GK4" i="5"/>
  <c r="GL4" i="5"/>
  <c r="GM4" i="5"/>
  <c r="GN4" i="5"/>
  <c r="GO4" i="5"/>
  <c r="GP4" i="5"/>
  <c r="GQ4" i="5"/>
  <c r="GR4" i="5"/>
  <c r="GS4" i="5"/>
  <c r="GT4" i="5"/>
  <c r="GU4" i="5"/>
  <c r="GV4" i="5"/>
  <c r="GW4" i="5"/>
  <c r="GX4" i="5"/>
  <c r="GY4" i="5"/>
  <c r="GZ4" i="5"/>
  <c r="HA4" i="5"/>
  <c r="HB4" i="5"/>
  <c r="HC4" i="5"/>
  <c r="HD4" i="5"/>
  <c r="HE4" i="5"/>
  <c r="HF4" i="5"/>
  <c r="HG4" i="5"/>
  <c r="HH4" i="5"/>
  <c r="HI4" i="5"/>
  <c r="HJ4" i="5"/>
  <c r="HK4" i="5"/>
  <c r="HL4" i="5"/>
  <c r="HM4" i="5"/>
  <c r="HN4" i="5"/>
  <c r="HO4" i="5"/>
  <c r="HP4" i="5"/>
  <c r="HQ4" i="5"/>
  <c r="HR4" i="5"/>
  <c r="HS4" i="5"/>
  <c r="HT4" i="5"/>
  <c r="HU4" i="5"/>
  <c r="HV4" i="5"/>
  <c r="HW4" i="5"/>
  <c r="HX4" i="5"/>
  <c r="HY4" i="5"/>
  <c r="HZ4" i="5"/>
  <c r="IA4" i="5"/>
  <c r="IB4" i="5"/>
  <c r="IC4" i="5"/>
  <c r="ID4" i="5"/>
  <c r="IE4" i="5"/>
  <c r="IF4" i="5"/>
  <c r="IG4" i="5"/>
  <c r="IH4" i="5"/>
  <c r="II4" i="5"/>
  <c r="IJ4" i="5"/>
  <c r="IK4" i="5"/>
  <c r="IL4" i="5"/>
  <c r="IM4" i="5"/>
  <c r="IN4" i="5"/>
  <c r="IO4" i="5"/>
  <c r="IP4" i="5"/>
  <c r="IQ4" i="5"/>
  <c r="IR4" i="5"/>
  <c r="IS4" i="5"/>
  <c r="IT4" i="5"/>
  <c r="IU4" i="5"/>
  <c r="IV4" i="5"/>
  <c r="A3" i="5"/>
  <c r="B3" i="5"/>
  <c r="C3" i="5"/>
  <c r="D3" i="5"/>
  <c r="E3"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AV3" i="5"/>
  <c r="AW3" i="5"/>
  <c r="AX3" i="5"/>
  <c r="AY3" i="5"/>
  <c r="AZ3" i="5"/>
  <c r="BA3" i="5"/>
  <c r="BB3" i="5"/>
  <c r="BC3" i="5"/>
  <c r="BD3" i="5"/>
  <c r="BE3" i="5"/>
  <c r="BF3" i="5"/>
  <c r="BG3" i="5"/>
  <c r="BH3" i="5"/>
  <c r="BI3" i="5"/>
  <c r="BJ3" i="5"/>
  <c r="BK3" i="5"/>
  <c r="BL3" i="5"/>
  <c r="BM3" i="5"/>
  <c r="BN3" i="5"/>
  <c r="BO3" i="5"/>
  <c r="BP3" i="5"/>
  <c r="BQ3" i="5"/>
  <c r="BR3" i="5"/>
  <c r="BS3" i="5"/>
  <c r="BT3" i="5"/>
  <c r="BU3" i="5"/>
  <c r="BV3" i="5"/>
  <c r="BW3" i="5"/>
  <c r="BX3" i="5"/>
  <c r="BY3" i="5"/>
  <c r="BZ3" i="5"/>
  <c r="CA3" i="5"/>
  <c r="CB3" i="5"/>
  <c r="CC3" i="5"/>
  <c r="CD3" i="5"/>
  <c r="CE3" i="5"/>
  <c r="CF3" i="5"/>
  <c r="CG3" i="5"/>
  <c r="CH3" i="5"/>
  <c r="CI3" i="5"/>
  <c r="CJ3" i="5"/>
  <c r="CK3" i="5"/>
  <c r="CL3" i="5"/>
  <c r="CM3" i="5"/>
  <c r="CN3" i="5"/>
  <c r="CO3" i="5"/>
  <c r="CP3" i="5"/>
  <c r="CQ3" i="5"/>
  <c r="CR3" i="5"/>
  <c r="CS3" i="5"/>
  <c r="CT3" i="5"/>
  <c r="CU3" i="5"/>
  <c r="CV3" i="5"/>
  <c r="CW3" i="5"/>
  <c r="CX3" i="5"/>
  <c r="CY3" i="5"/>
  <c r="CZ3" i="5"/>
  <c r="DA3" i="5"/>
  <c r="DB3" i="5"/>
  <c r="DC3" i="5"/>
  <c r="DD3" i="5"/>
  <c r="DE3" i="5"/>
  <c r="DF3" i="5"/>
  <c r="DG3" i="5"/>
  <c r="DH3" i="5"/>
  <c r="DI3" i="5"/>
  <c r="DJ3" i="5"/>
  <c r="DK3" i="5"/>
  <c r="DL3" i="5"/>
  <c r="DM3" i="5"/>
  <c r="DN3" i="5"/>
  <c r="DO3" i="5"/>
  <c r="DP3" i="5"/>
  <c r="DQ3" i="5"/>
  <c r="DR3" i="5"/>
  <c r="DS3" i="5"/>
  <c r="DT3" i="5"/>
  <c r="DU3" i="5"/>
  <c r="DV3" i="5"/>
  <c r="DW3" i="5"/>
  <c r="DX3" i="5"/>
  <c r="DY3" i="5"/>
  <c r="DZ3" i="5"/>
  <c r="EA3" i="5"/>
  <c r="EB3" i="5"/>
  <c r="EC3" i="5"/>
  <c r="ED3" i="5"/>
  <c r="EE3" i="5"/>
  <c r="EF3" i="5"/>
  <c r="EG3" i="5"/>
  <c r="EH3" i="5"/>
  <c r="EI3" i="5"/>
  <c r="EJ3" i="5"/>
  <c r="EK3" i="5"/>
  <c r="EL3" i="5"/>
  <c r="EM3" i="5"/>
  <c r="EN3" i="5"/>
  <c r="EO3" i="5"/>
  <c r="EP3" i="5"/>
  <c r="EQ3" i="5"/>
  <c r="ER3" i="5"/>
  <c r="ES3" i="5"/>
  <c r="ET3" i="5"/>
  <c r="EU3" i="5"/>
  <c r="EV3" i="5"/>
  <c r="EW3" i="5"/>
  <c r="EX3" i="5"/>
  <c r="EY3" i="5"/>
  <c r="EZ3" i="5"/>
  <c r="FA3" i="5"/>
  <c r="FB3" i="5"/>
  <c r="FC3" i="5"/>
  <c r="FD3" i="5"/>
  <c r="FE3" i="5"/>
  <c r="FF3" i="5"/>
  <c r="FG3" i="5"/>
  <c r="FH3" i="5"/>
  <c r="FI3" i="5"/>
  <c r="FJ3" i="5"/>
  <c r="FK3" i="5"/>
  <c r="FL3" i="5"/>
  <c r="FM3" i="5"/>
  <c r="FN3" i="5"/>
  <c r="FO3" i="5"/>
  <c r="FP3" i="5"/>
  <c r="FQ3" i="5"/>
  <c r="FR3" i="5"/>
  <c r="FS3" i="5"/>
  <c r="FT3" i="5"/>
  <c r="FU3" i="5"/>
  <c r="FV3" i="5"/>
  <c r="FW3" i="5"/>
  <c r="FX3" i="5"/>
  <c r="FY3" i="5"/>
  <c r="FZ3" i="5"/>
  <c r="GA3" i="5"/>
  <c r="GB3" i="5"/>
  <c r="GC3" i="5"/>
  <c r="GD3" i="5"/>
  <c r="GE3" i="5"/>
  <c r="GF3" i="5"/>
  <c r="GG3" i="5"/>
  <c r="GH3" i="5"/>
  <c r="GI3" i="5"/>
  <c r="GJ3" i="5"/>
  <c r="GK3" i="5"/>
  <c r="GL3" i="5"/>
  <c r="GM3" i="5"/>
  <c r="GN3" i="5"/>
  <c r="GO3" i="5"/>
  <c r="GP3" i="5"/>
  <c r="GQ3" i="5"/>
  <c r="GR3" i="5"/>
  <c r="GS3" i="5"/>
  <c r="GT3" i="5"/>
  <c r="GU3" i="5"/>
  <c r="GV3" i="5"/>
  <c r="GW3" i="5"/>
  <c r="GX3" i="5"/>
  <c r="GY3" i="5"/>
  <c r="GZ3" i="5"/>
  <c r="HA3" i="5"/>
  <c r="HB3" i="5"/>
  <c r="HC3" i="5"/>
  <c r="HD3" i="5"/>
  <c r="HE3" i="5"/>
  <c r="HF3" i="5"/>
  <c r="HG3" i="5"/>
  <c r="HH3" i="5"/>
  <c r="HI3" i="5"/>
  <c r="HJ3" i="5"/>
  <c r="HK3" i="5"/>
  <c r="HL3" i="5"/>
  <c r="HM3" i="5"/>
  <c r="HN3" i="5"/>
  <c r="HO3" i="5"/>
  <c r="HP3" i="5"/>
  <c r="HQ3" i="5"/>
  <c r="HR3" i="5"/>
  <c r="HS3" i="5"/>
  <c r="HT3" i="5"/>
  <c r="HU3" i="5"/>
  <c r="HV3" i="5"/>
  <c r="HW3" i="5"/>
  <c r="HX3" i="5"/>
  <c r="HY3" i="5"/>
  <c r="HZ3" i="5"/>
  <c r="IA3" i="5"/>
  <c r="IB3" i="5"/>
  <c r="IC3" i="5"/>
  <c r="ID3" i="5"/>
  <c r="IE3" i="5"/>
  <c r="IF3" i="5"/>
  <c r="IG3" i="5"/>
  <c r="IH3" i="5"/>
  <c r="II3" i="5"/>
  <c r="IJ3" i="5"/>
  <c r="IK3" i="5"/>
  <c r="IL3" i="5"/>
  <c r="IM3" i="5"/>
  <c r="IN3" i="5"/>
  <c r="IO3" i="5"/>
  <c r="IP3" i="5"/>
  <c r="IQ3" i="5"/>
  <c r="IR3" i="5"/>
  <c r="IS3" i="5"/>
  <c r="IT3" i="5"/>
  <c r="IU3" i="5"/>
  <c r="IV3" i="5"/>
  <c r="A2" i="5"/>
  <c r="B2" i="5"/>
  <c r="C2" i="5"/>
  <c r="D2" i="5"/>
  <c r="E2" i="5"/>
  <c r="F2" i="5"/>
  <c r="G2" i="5"/>
  <c r="H2" i="5"/>
  <c r="I2" i="5"/>
  <c r="J2" i="5"/>
  <c r="K2" i="5"/>
  <c r="L2" i="5"/>
  <c r="M2" i="5"/>
  <c r="N2" i="5"/>
  <c r="O2" i="5"/>
  <c r="P2" i="5"/>
  <c r="Q2" i="5"/>
  <c r="R2" i="5"/>
  <c r="S2" i="5"/>
  <c r="T2" i="5"/>
  <c r="U2" i="5"/>
  <c r="V2" i="5"/>
  <c r="W2" i="5"/>
  <c r="X2" i="5"/>
  <c r="Y2" i="5"/>
  <c r="Z2" i="5"/>
  <c r="AA2" i="5"/>
  <c r="AB2" i="5"/>
  <c r="AC2" i="5"/>
  <c r="AD2" i="5"/>
  <c r="AE2" i="5"/>
  <c r="AF2" i="5"/>
  <c r="AG2" i="5"/>
  <c r="AH2" i="5"/>
  <c r="AI2" i="5"/>
  <c r="AJ2" i="5"/>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BT2" i="5"/>
  <c r="BU2" i="5"/>
  <c r="BV2" i="5"/>
  <c r="BW2" i="5"/>
  <c r="BX2" i="5"/>
  <c r="BY2" i="5"/>
  <c r="BZ2" i="5"/>
  <c r="CA2" i="5"/>
  <c r="CB2" i="5"/>
  <c r="CC2" i="5"/>
  <c r="CD2" i="5"/>
  <c r="CE2" i="5"/>
  <c r="CF2" i="5"/>
  <c r="CG2" i="5"/>
  <c r="CH2" i="5"/>
  <c r="CI2" i="5"/>
  <c r="CJ2" i="5"/>
  <c r="CK2" i="5"/>
  <c r="CL2" i="5"/>
  <c r="CM2" i="5"/>
  <c r="CN2" i="5"/>
  <c r="CO2" i="5"/>
  <c r="CP2" i="5"/>
  <c r="CQ2" i="5"/>
  <c r="CR2" i="5"/>
  <c r="CS2" i="5"/>
  <c r="CT2" i="5"/>
  <c r="CU2" i="5"/>
  <c r="CV2" i="5"/>
  <c r="CW2" i="5"/>
  <c r="CX2" i="5"/>
  <c r="CY2" i="5"/>
  <c r="CZ2" i="5"/>
  <c r="DA2" i="5"/>
  <c r="DB2" i="5"/>
  <c r="DC2" i="5"/>
  <c r="DD2" i="5"/>
  <c r="DE2" i="5"/>
  <c r="DF2" i="5"/>
  <c r="DG2" i="5"/>
  <c r="DH2" i="5"/>
  <c r="DI2" i="5"/>
  <c r="DJ2" i="5"/>
  <c r="DK2" i="5"/>
  <c r="DL2" i="5"/>
  <c r="DM2" i="5"/>
  <c r="DN2" i="5"/>
  <c r="DO2" i="5"/>
  <c r="DP2" i="5"/>
  <c r="DQ2" i="5"/>
  <c r="DR2" i="5"/>
  <c r="DS2" i="5"/>
  <c r="DT2" i="5"/>
  <c r="DU2" i="5"/>
  <c r="DV2" i="5"/>
  <c r="DW2" i="5"/>
  <c r="DX2" i="5"/>
  <c r="DY2" i="5"/>
  <c r="DZ2" i="5"/>
  <c r="EA2" i="5"/>
  <c r="EB2" i="5"/>
  <c r="EC2" i="5"/>
  <c r="ED2" i="5"/>
  <c r="EE2" i="5"/>
  <c r="EF2" i="5"/>
  <c r="EG2" i="5"/>
  <c r="EH2" i="5"/>
  <c r="EI2" i="5"/>
  <c r="EJ2" i="5"/>
  <c r="EK2" i="5"/>
  <c r="EL2" i="5"/>
  <c r="EM2" i="5"/>
  <c r="EN2" i="5"/>
  <c r="EO2" i="5"/>
  <c r="EP2" i="5"/>
  <c r="EQ2" i="5"/>
  <c r="ER2" i="5"/>
  <c r="ES2" i="5"/>
  <c r="ET2" i="5"/>
  <c r="EU2" i="5"/>
  <c r="EV2" i="5"/>
  <c r="EW2" i="5"/>
  <c r="EX2" i="5"/>
  <c r="EY2" i="5"/>
  <c r="EZ2" i="5"/>
  <c r="FA2" i="5"/>
  <c r="FB2" i="5"/>
  <c r="FC2" i="5"/>
  <c r="FD2" i="5"/>
  <c r="FE2" i="5"/>
  <c r="FF2" i="5"/>
  <c r="FG2" i="5"/>
  <c r="FH2" i="5"/>
  <c r="FI2" i="5"/>
  <c r="FJ2" i="5"/>
  <c r="FK2" i="5"/>
  <c r="FL2" i="5"/>
  <c r="FM2" i="5"/>
  <c r="FN2" i="5"/>
  <c r="FO2" i="5"/>
  <c r="FP2" i="5"/>
  <c r="FQ2" i="5"/>
  <c r="FR2" i="5"/>
  <c r="FS2" i="5"/>
  <c r="FT2" i="5"/>
  <c r="FU2" i="5"/>
  <c r="FV2" i="5"/>
  <c r="FW2" i="5"/>
  <c r="FX2" i="5"/>
  <c r="FY2" i="5"/>
  <c r="FZ2" i="5"/>
  <c r="GA2" i="5"/>
  <c r="GB2" i="5"/>
  <c r="GC2" i="5"/>
  <c r="GD2" i="5"/>
  <c r="GE2" i="5"/>
  <c r="GF2" i="5"/>
  <c r="GG2" i="5"/>
  <c r="GH2" i="5"/>
  <c r="GI2" i="5"/>
  <c r="GJ2" i="5"/>
  <c r="GK2" i="5"/>
  <c r="GL2" i="5"/>
  <c r="GM2" i="5"/>
  <c r="GN2" i="5"/>
  <c r="GO2" i="5"/>
  <c r="GP2" i="5"/>
  <c r="GQ2" i="5"/>
  <c r="GR2" i="5"/>
  <c r="GS2" i="5"/>
  <c r="GT2" i="5"/>
  <c r="GU2" i="5"/>
  <c r="GV2" i="5"/>
  <c r="GW2" i="5"/>
  <c r="GX2" i="5"/>
  <c r="GY2" i="5"/>
  <c r="GZ2" i="5"/>
  <c r="HA2" i="5"/>
  <c r="HB2" i="5"/>
  <c r="HC2" i="5"/>
  <c r="HD2" i="5"/>
  <c r="HE2" i="5"/>
  <c r="HF2" i="5"/>
  <c r="HG2" i="5"/>
  <c r="HH2" i="5"/>
  <c r="HI2" i="5"/>
  <c r="HJ2" i="5"/>
  <c r="HK2" i="5"/>
  <c r="HL2" i="5"/>
  <c r="HM2" i="5"/>
  <c r="HN2" i="5"/>
  <c r="HO2" i="5"/>
  <c r="HP2" i="5"/>
  <c r="HQ2" i="5"/>
  <c r="HR2" i="5"/>
  <c r="HS2" i="5"/>
  <c r="HT2" i="5"/>
  <c r="HU2" i="5"/>
  <c r="HV2" i="5"/>
  <c r="HW2" i="5"/>
  <c r="HX2" i="5"/>
  <c r="HY2" i="5"/>
  <c r="HZ2" i="5"/>
  <c r="IA2" i="5"/>
  <c r="IB2" i="5"/>
  <c r="IC2" i="5"/>
  <c r="ID2" i="5"/>
  <c r="IE2" i="5"/>
  <c r="IF2" i="5"/>
  <c r="IG2" i="5"/>
  <c r="IH2" i="5"/>
  <c r="II2" i="5"/>
  <c r="IJ2" i="5"/>
  <c r="IK2" i="5"/>
  <c r="IL2" i="5"/>
  <c r="IM2" i="5"/>
  <c r="IN2" i="5"/>
  <c r="IO2" i="5"/>
  <c r="IP2" i="5"/>
  <c r="IQ2" i="5"/>
  <c r="IR2" i="5"/>
  <c r="IS2" i="5"/>
  <c r="IT2" i="5"/>
  <c r="IU2" i="5"/>
  <c r="IV2" i="5"/>
  <c r="A1" i="5"/>
  <c r="B1" i="5"/>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FH1" i="5"/>
  <c r="FI1" i="5"/>
  <c r="FJ1" i="5"/>
  <c r="FK1" i="5"/>
  <c r="FL1" i="5"/>
  <c r="FM1" i="5"/>
  <c r="FN1" i="5"/>
  <c r="FO1" i="5"/>
  <c r="FP1" i="5"/>
  <c r="FQ1" i="5"/>
  <c r="FR1" i="5"/>
  <c r="FS1" i="5"/>
  <c r="FT1" i="5"/>
  <c r="FU1" i="5"/>
  <c r="FV1" i="5"/>
  <c r="FW1" i="5"/>
  <c r="FX1" i="5"/>
  <c r="FY1" i="5"/>
  <c r="FZ1" i="5"/>
  <c r="GA1" i="5"/>
  <c r="GB1" i="5"/>
  <c r="GC1" i="5"/>
  <c r="GD1" i="5"/>
  <c r="GE1" i="5"/>
  <c r="GF1" i="5"/>
  <c r="GG1" i="5"/>
  <c r="GH1" i="5"/>
  <c r="GI1" i="5"/>
  <c r="GJ1" i="5"/>
  <c r="GK1" i="5"/>
  <c r="GL1" i="5"/>
  <c r="GM1" i="5"/>
  <c r="GN1" i="5"/>
  <c r="GO1" i="5"/>
  <c r="GP1" i="5"/>
  <c r="GQ1" i="5"/>
  <c r="GR1" i="5"/>
  <c r="GS1" i="5"/>
  <c r="GT1" i="5"/>
  <c r="GU1" i="5"/>
  <c r="GV1" i="5"/>
  <c r="GW1" i="5"/>
  <c r="GX1" i="5"/>
  <c r="GY1" i="5"/>
  <c r="GZ1" i="5"/>
  <c r="HA1" i="5"/>
  <c r="HB1" i="5"/>
  <c r="HC1" i="5"/>
  <c r="HD1" i="5"/>
  <c r="HE1" i="5"/>
  <c r="HF1" i="5"/>
  <c r="HG1" i="5"/>
  <c r="HH1" i="5"/>
  <c r="HI1" i="5"/>
  <c r="HJ1" i="5"/>
  <c r="HK1" i="5"/>
  <c r="HL1" i="5"/>
  <c r="HM1" i="5"/>
  <c r="HN1" i="5"/>
  <c r="HO1" i="5"/>
  <c r="HP1" i="5"/>
  <c r="HQ1" i="5"/>
  <c r="HR1" i="5"/>
  <c r="HS1" i="5"/>
  <c r="HT1" i="5"/>
  <c r="HU1" i="5"/>
  <c r="HV1" i="5"/>
  <c r="HW1" i="5"/>
  <c r="HX1" i="5"/>
  <c r="HY1" i="5"/>
  <c r="HZ1" i="5"/>
  <c r="IA1" i="5"/>
  <c r="IB1" i="5"/>
  <c r="IC1" i="5"/>
  <c r="ID1" i="5"/>
  <c r="IE1" i="5"/>
  <c r="IF1" i="5"/>
  <c r="IG1" i="5"/>
  <c r="IH1" i="5"/>
  <c r="II1" i="5"/>
  <c r="IJ1" i="5"/>
  <c r="IK1" i="5"/>
  <c r="IL1" i="5"/>
  <c r="IM1" i="5"/>
  <c r="IN1" i="5"/>
  <c r="IO1" i="5"/>
  <c r="IP1" i="5"/>
  <c r="IQ1" i="5"/>
  <c r="IR1" i="5"/>
  <c r="IS1" i="5"/>
  <c r="IT1" i="5"/>
  <c r="IU1" i="5"/>
  <c r="IV1" i="5"/>
  <c r="G62" i="5" l="1"/>
  <c r="CA5" i="5" l="1"/>
</calcChain>
</file>

<file path=xl/comments1.xml><?xml version="1.0" encoding="utf-8"?>
<comments xmlns="http://schemas.openxmlformats.org/spreadsheetml/2006/main">
  <authors>
    <author>Yaaseen</author>
  </authors>
  <commentList>
    <comment ref="C90" authorId="0">
      <text>
        <r>
          <rPr>
            <b/>
            <sz val="9"/>
            <color indexed="81"/>
            <rFont val="Tahoma"/>
            <family val="2"/>
          </rPr>
          <t>Yaaseen:</t>
        </r>
        <r>
          <rPr>
            <sz val="9"/>
            <color indexed="81"/>
            <rFont val="Tahoma"/>
            <family val="2"/>
          </rPr>
          <t xml:space="preserve">
</t>
        </r>
      </text>
    </comment>
  </commentList>
</comments>
</file>

<file path=xl/sharedStrings.xml><?xml version="1.0" encoding="utf-8"?>
<sst xmlns="http://schemas.openxmlformats.org/spreadsheetml/2006/main" count="868" uniqueCount="750">
  <si>
    <t>P5G41T-M/LX3</t>
  </si>
  <si>
    <t>P8H61-M LX</t>
  </si>
  <si>
    <t xml:space="preserve">P8H77-M_LE </t>
  </si>
  <si>
    <t>P8H77-M</t>
  </si>
  <si>
    <t>XONAR_DG</t>
  </si>
  <si>
    <t>ASUS Sound Card - Xonar DG</t>
  </si>
  <si>
    <t>KAV1-DVD-12</t>
  </si>
  <si>
    <t>Kaspersky Anti-Virus - 1 User Pack DVD 2011</t>
  </si>
  <si>
    <t>KAV3-DVD-12</t>
  </si>
  <si>
    <t>Kaspersky Anti-Virus - 3 User Pack DVD 2011</t>
  </si>
  <si>
    <t>KIS1-DVD-12</t>
  </si>
  <si>
    <t>Kaspersky Internet Security - 1 User Pack DVD 2011</t>
  </si>
  <si>
    <t>KIS3-DVD-12</t>
  </si>
  <si>
    <t>Kaspersky Internet Security - 3 User Pack DVD 2011</t>
  </si>
  <si>
    <t>Description</t>
  </si>
  <si>
    <t>Code</t>
  </si>
  <si>
    <t>Motherboards</t>
  </si>
  <si>
    <t>Sound Cards</t>
  </si>
  <si>
    <t>N210-3SDV-D3BX</t>
  </si>
  <si>
    <t>N430-2DDV-D3CX</t>
  </si>
  <si>
    <t>N430-2DDV-E3CX</t>
  </si>
  <si>
    <t>N440-2DDV-E3CX</t>
  </si>
  <si>
    <t>N550-2SDN-D5GX</t>
  </si>
  <si>
    <t>N57V-3SDN-J5KW</t>
  </si>
  <si>
    <t>N610-1DDV-D3BX</t>
  </si>
  <si>
    <t>N610-1DDV-E3BX</t>
  </si>
  <si>
    <t>N620-2DDV-D3BX</t>
  </si>
  <si>
    <t>N620-2DDV-E3BX</t>
  </si>
  <si>
    <t>N630-2DDV-E3CX</t>
  </si>
  <si>
    <t>N640-1DDV-E3CX</t>
  </si>
  <si>
    <t>CNP-NS4</t>
  </si>
  <si>
    <t xml:space="preserve">Canyon Notebook Stand (Adjustable) and cooling fan - Suitable for  15.4" Notebooks  </t>
  </si>
  <si>
    <t>CNR-SCK03</t>
  </si>
  <si>
    <t>Canyon Screen Cleaning Kit -  20ml spray, micro fibre cloth and cleaning brush, all in one portable holder</t>
  </si>
  <si>
    <t>CNR-CP2G1</t>
  </si>
  <si>
    <t>Canyon Chat pack - Binaural Headphones with Microphone, 2,5m cable and Web Camera - 300k pixel)</t>
  </si>
  <si>
    <t>CNR-CP7G1</t>
  </si>
  <si>
    <t>CNR-SP20BBL</t>
  </si>
  <si>
    <t>CNR-SP20BO</t>
  </si>
  <si>
    <t>Canyon  speaker - (Stereo, 6W, 100Hz - 20kHz, USB) , round, Black and Orange</t>
  </si>
  <si>
    <t>CNR-NB3L1</t>
  </si>
  <si>
    <t>Canyon Shoulder, Hand carry and back pack, suitable for 16" Notebook, Orange and Black</t>
  </si>
  <si>
    <t>CNR-NB17L1</t>
  </si>
  <si>
    <t>Canyon Shoulder, Laptop Case Bag for 16” Laptop Black/Green</t>
  </si>
  <si>
    <t>CNR-HP02N</t>
  </si>
  <si>
    <t xml:space="preserve">Canyon Headphone - Over the head - 1 x 3.5 mm - Black/Silver </t>
  </si>
  <si>
    <t xml:space="preserve">Canyon Headphone - Over the head - 1 x 3.5 mm, adjustable headband - Black, single sided fabric covered audio cable </t>
  </si>
  <si>
    <t>CNR-HP04NB</t>
  </si>
  <si>
    <t>CNR-HP05NB</t>
  </si>
  <si>
    <t>CNR-HS01N</t>
  </si>
  <si>
    <t>Canyon Binaural Headset 30Hz-16kHz, Ext. Microphone  (Black with Silver)</t>
  </si>
  <si>
    <t>CNR-HS04N</t>
  </si>
  <si>
    <t>Canyon Binaural Headset 20Hz-20kHz, Ext. Adjustable Microphone and Volume control,</t>
  </si>
  <si>
    <t>CNR-HS07N</t>
  </si>
  <si>
    <t>Canyon Binaural Headphones 30Hz-16kHz, Ext. Microphone, Cable</t>
  </si>
  <si>
    <t xml:space="preserve">Canyon Binaural Headphones 20Hz-20kHz, Silver and Black </t>
  </si>
  <si>
    <t>CNR-HS10N</t>
  </si>
  <si>
    <t>CNR-EP8BL</t>
  </si>
  <si>
    <t>Canyon Headphone 20Hz - 20kHz, 1.5m Cable, fits in your ear, Black  and Blue</t>
  </si>
  <si>
    <t>CNR-EP8O</t>
  </si>
  <si>
    <t xml:space="preserve">Canyon Headphone 20Hz - 20kHz, 1.5m Cable, fits in your ear, Black and Orange </t>
  </si>
  <si>
    <t>CNR-WCAM420HD</t>
  </si>
  <si>
    <t>Canyon Web camera 2.0Mpixel, 1280 x 960 (VGA) USB2  Black and Orange - built in Microphone - Includes game - Starfish</t>
  </si>
  <si>
    <t>CNR-WCAM820HD</t>
  </si>
  <si>
    <t>Canyon Web camera 2.0Mpixel, USB2.0, Blue - Includes game - Starfish</t>
  </si>
  <si>
    <t>CNR-WCAM920HD</t>
  </si>
  <si>
    <t>Canyon Web camera 2.0Mpixel, USB2.0, Black and Blue - Includes game - Starfish</t>
  </si>
  <si>
    <t>CNR-MSO01NP</t>
  </si>
  <si>
    <t>Canyon Mouse USB Optical, 3 Button/1 scroll wheel, 800dpi, Black with Pink stripe</t>
  </si>
  <si>
    <t>CNR-MSO01NO</t>
  </si>
  <si>
    <t>Canyon Mouse USB Optical, 3 Button/1 scroll wheel, 800dpi, Black with Orange stripe</t>
  </si>
  <si>
    <t>Canyon Mouse USB Optical, 3 Button/1 scroll wheel, 800dpi, Black with Silver stripe</t>
  </si>
  <si>
    <t>CNR-MSO01NR</t>
  </si>
  <si>
    <t>CNR-MSO03N</t>
  </si>
  <si>
    <t>Canyon Mouse USB Optical, 3 Button, 800dpi, Black and Silver</t>
  </si>
  <si>
    <t>Canyon Wireless Mouse, 3 buttons/1 scroll wheel, 1000 dpi, 2.4Ghz wireless, nano USB reciever, Black and Orange</t>
  </si>
  <si>
    <t>Canyon Wireless Mouse, 3 buttons/1 scroll wheel, 1000 dpi, 2.4Ghz wireless, nano USB reciever, Black and Silver</t>
  </si>
  <si>
    <t>CNR-MSOW04NO</t>
  </si>
  <si>
    <t>CNR-MSOW04NS</t>
  </si>
  <si>
    <t>CNR-USBHUB7B</t>
  </si>
  <si>
    <t>Canyon 4 port Hub, USB2, 15 cm USB cable, Black and Orange Design</t>
  </si>
  <si>
    <t>CNR-CARD6</t>
  </si>
  <si>
    <t>Canyon Card reader, various media 16 formats, supports Mac, Windows 7 and Vista</t>
  </si>
  <si>
    <t>CNR-CARD7</t>
  </si>
  <si>
    <t>Canyon Card reader, various media 17 formats, supports Mac, Windows 7 and Vista.  Slim and compact</t>
  </si>
  <si>
    <t>CNG-GP1</t>
  </si>
  <si>
    <t>Canyon Gaming pad with double vibration</t>
  </si>
  <si>
    <t>CNG-GW1</t>
  </si>
  <si>
    <t xml:space="preserve">Canyon PC Racing wheel and pedals </t>
  </si>
  <si>
    <t>CNL-MBHP03</t>
  </si>
  <si>
    <t>Canyon Stealth series Stereo headphones</t>
  </si>
  <si>
    <t>CNL-MBHP04</t>
  </si>
  <si>
    <t>Canyon Stealth series DJ headphones</t>
  </si>
  <si>
    <t>CNL-MBEP01</t>
  </si>
  <si>
    <t>Canyon Stealth series Stereo earphones</t>
  </si>
  <si>
    <t>CNL-MBMSO01</t>
  </si>
  <si>
    <t>Canyon Stealth series Corded optical mouse, 1000dpi, 3 buttons</t>
  </si>
  <si>
    <t>CNL-MBMSOW01</t>
  </si>
  <si>
    <t>Canyon Stealth series wireless optical mouse, 1000dpi, 3 buttons</t>
  </si>
  <si>
    <t>CNL-MBMSO02</t>
  </si>
  <si>
    <t>Canyon Stealth series Corded optical mouse, 1000/1200/1600 dpi, 6 buttons</t>
  </si>
  <si>
    <t>CNL-MBMSOW02</t>
  </si>
  <si>
    <t>Canyon Stealth series wireless optical mouse, 1000/1200/1600 dpi, 6 buttons</t>
  </si>
  <si>
    <t>CNL-MBSP20H</t>
  </si>
  <si>
    <t>Canyon Stealth series Stereo USB speaker set</t>
  </si>
  <si>
    <t>CNL-MBNB08</t>
  </si>
  <si>
    <t>Canyon Stealth series 13,3" Laptop messenger bag</t>
  </si>
  <si>
    <t>CNL-MBNB10</t>
  </si>
  <si>
    <t>Canyon Stealth series 10" Tablet PC sleeve</t>
  </si>
  <si>
    <t>CNR-FWC113</t>
  </si>
  <si>
    <t>Fighting series Webcam 1.3 Mega pixel</t>
  </si>
  <si>
    <t>CNR-FWC120H</t>
  </si>
  <si>
    <t>Fighting series Webcam 2.0 Mega pixel</t>
  </si>
  <si>
    <t>CNR-FWC120FH</t>
  </si>
  <si>
    <t>Fighting series Webcam 2.0 Mega pixel- FULL HD</t>
  </si>
  <si>
    <t>CNR-FSP01</t>
  </si>
  <si>
    <t xml:space="preserve">Speakers </t>
  </si>
  <si>
    <t>CNR-FMSOW01</t>
  </si>
  <si>
    <t>Fighting series Wireless mouse</t>
  </si>
  <si>
    <t>CNR-FMSO01</t>
  </si>
  <si>
    <t>CNR-FHS04</t>
  </si>
  <si>
    <t>CNR-FNB01</t>
  </si>
  <si>
    <t>Notebook backpack 16"</t>
  </si>
  <si>
    <t>ST250LT003</t>
  </si>
  <si>
    <t>SEAGATE Momentus 5400 RPM 250GB Mobile SATA 3GB/S  16MB Cache</t>
  </si>
  <si>
    <t>ST320LT020</t>
  </si>
  <si>
    <t>SEAGATE Momentus 5400 RPM 320GB Mobile SATA 3GB/S  16MB Cache</t>
  </si>
  <si>
    <t>ST500DM002</t>
  </si>
  <si>
    <t xml:space="preserve">SEAGATE  Barracuda  500GB    SATA 111 6GB/S  7200RPM, 16MB Cache </t>
  </si>
  <si>
    <t>ST1000DM003</t>
  </si>
  <si>
    <t xml:space="preserve">SEAGATE  Barracuda  1TB         SATA 111 6GB/S  7200RPM, 64MB Cache </t>
  </si>
  <si>
    <t>ST2000DM001</t>
  </si>
  <si>
    <t xml:space="preserve">SEAGATE  Barracuda  2TB         SATA 111 6GB/S  7200RPM, 64MB Cache </t>
  </si>
  <si>
    <t>TWKSDD4BULK</t>
  </si>
  <si>
    <t>Kingmax DDR800 mobile 1GB</t>
  </si>
  <si>
    <t>TWKSDE88BULK</t>
  </si>
  <si>
    <t>Kingmax DDR800 mobile 2GB</t>
  </si>
  <si>
    <t>TWFSFD45FBULK</t>
  </si>
  <si>
    <t>Kingmax DDR1333 mobile 1GB</t>
  </si>
  <si>
    <t>TWFSFE85FBULK</t>
  </si>
  <si>
    <t>Kingmax DDR1333 mobile 2GB</t>
  </si>
  <si>
    <t>TWFSFF65FBULK</t>
  </si>
  <si>
    <t>Kingmax DDR1333 mobile 4GB</t>
  </si>
  <si>
    <t>TWMPXD4BULK</t>
  </si>
  <si>
    <t>Kingmax DDR400 desktop 1GB</t>
  </si>
  <si>
    <t>TWKLDD4BULK</t>
  </si>
  <si>
    <t>Kingmax DDR800 desktop 1GB</t>
  </si>
  <si>
    <t>TWKLDE88BULK</t>
  </si>
  <si>
    <t>Kingmax DDR800 desktop 2GB</t>
  </si>
  <si>
    <t>TWFLFD4BULK</t>
  </si>
  <si>
    <t>Kingmax DDR1333 desktop 1GB</t>
  </si>
  <si>
    <t>TWFLFE8BULK</t>
  </si>
  <si>
    <t>Kingmax DDR1333 desktop 2GB</t>
  </si>
  <si>
    <t>TWFLFF65FBULK</t>
  </si>
  <si>
    <t>Kingmax DDR1333 desktop 4GB</t>
  </si>
  <si>
    <t>TWFLFG65BULK</t>
  </si>
  <si>
    <t>Kingmax DDR1333 desktop 8GB</t>
  </si>
  <si>
    <t>KMKU204G</t>
  </si>
  <si>
    <t xml:space="preserve">Kingmax USB 2.0 4GB </t>
  </si>
  <si>
    <t xml:space="preserve">Kingmax USB 2.0 8GB </t>
  </si>
  <si>
    <t xml:space="preserve">Kingmax USB 2.0 16GB </t>
  </si>
  <si>
    <t xml:space="preserve">Kingmax USB 2.0 32GB </t>
  </si>
  <si>
    <t>KMKU208PD03</t>
  </si>
  <si>
    <t>KMKU216PD03</t>
  </si>
  <si>
    <t>KMKU232PD03</t>
  </si>
  <si>
    <t>KMKU204PD71</t>
  </si>
  <si>
    <t>Kingmax USB 2.0 4GB Mini Stick</t>
  </si>
  <si>
    <t>KMKU20871</t>
  </si>
  <si>
    <t>Kingmax USB 2.0 8GB Mini Stick</t>
  </si>
  <si>
    <t>KMKU216PD71</t>
  </si>
  <si>
    <t>Kingmax USB 2.0 16GB Mini Stick</t>
  </si>
  <si>
    <t>ZAKU2064UD03</t>
  </si>
  <si>
    <t xml:space="preserve">Kingmax USB2.0 64GB </t>
  </si>
  <si>
    <t>KMM2GR4DCKMB</t>
  </si>
  <si>
    <t>Kingmax Flash  2GB MICRO SD CARDS</t>
  </si>
  <si>
    <t>KMM4GR4DCKMB</t>
  </si>
  <si>
    <t>Kingmax Flash  4GB MICRO SD CARDS</t>
  </si>
  <si>
    <t>KMM8GR4DCKMB</t>
  </si>
  <si>
    <t>Kingmax Flash  8GB MICRO SD CARDS</t>
  </si>
  <si>
    <t>KMM16GR4DCKMB</t>
  </si>
  <si>
    <t>Kingmax Flash  16GB MICRO SD CARDS</t>
  </si>
  <si>
    <t>KMM32GR4DCKMB</t>
  </si>
  <si>
    <t>Kingmax Flash  32GB MICRO SD CARDS</t>
  </si>
  <si>
    <t>SD CARDS</t>
  </si>
  <si>
    <t>KMM2GR1DCKML</t>
  </si>
  <si>
    <t>Kingmax Flash 2GB SD CARDS</t>
  </si>
  <si>
    <t>KMM4GR1DCKML</t>
  </si>
  <si>
    <t>Kingmax Flash 4GB SD CARDS</t>
  </si>
  <si>
    <t>KMM8GR1DCKML</t>
  </si>
  <si>
    <t>Kingmax Flash 8GB SD CARDS</t>
  </si>
  <si>
    <t>KMM16GR1DCKML</t>
  </si>
  <si>
    <t>Kingmax Flash 16GB SD CARDS</t>
  </si>
  <si>
    <t>Graphics Cards</t>
  </si>
  <si>
    <t>Product Name</t>
  </si>
  <si>
    <t>Hard Drives</t>
  </si>
  <si>
    <t>XSGTF1627</t>
  </si>
  <si>
    <t>RAEL4</t>
  </si>
  <si>
    <t>TSG1014R</t>
  </si>
  <si>
    <t>TSA6994S</t>
  </si>
  <si>
    <t>SSACA41900</t>
  </si>
  <si>
    <t>SSAL42600</t>
  </si>
  <si>
    <t>AMP KIT 4GAUGE</t>
  </si>
  <si>
    <t>BV12</t>
  </si>
  <si>
    <t>STARSOUND 7" TFT-LCD MONITOR</t>
  </si>
  <si>
    <t>KDR436</t>
  </si>
  <si>
    <t>CODE</t>
  </si>
  <si>
    <t>PRODUCT NAME</t>
  </si>
  <si>
    <t>CG501</t>
  </si>
  <si>
    <t>HDMI Cable, 1.3V, 19M/M 24K Gold plated, 1.8M</t>
  </si>
  <si>
    <t>HDMI Cable, 1.3V, 19M/M 24K Gold plated, 3M</t>
  </si>
  <si>
    <t>CG571GG-W</t>
  </si>
  <si>
    <t>HDMI Cable, 1.4V, 19M/M 24K Gold plated, metal shell, Nylon Braid,3D, 1.8M</t>
  </si>
  <si>
    <t>HDMI Cable, 1.4V, 19M/M 24K Gold plated, metal shell,Nylon Braid, 3D, 5M</t>
  </si>
  <si>
    <t>CG503R</t>
  </si>
  <si>
    <t>HDMI 19M/HDMI19M 90degree Angle</t>
  </si>
  <si>
    <t>CG588</t>
  </si>
  <si>
    <t>HDMI M/Micro HDMI M 1.4V,1.5m,black</t>
  </si>
  <si>
    <t>CG481G</t>
  </si>
  <si>
    <t>HDMI M/DVI 24+1M 1.8m</t>
  </si>
  <si>
    <t>HDMI M/DVI 24+1M 5.0m</t>
  </si>
  <si>
    <t>CG341</t>
  </si>
  <si>
    <t>VGA Cable HD 15M/M 1.8m</t>
  </si>
  <si>
    <t>CG021-0.2</t>
  </si>
  <si>
    <t>HD 15M/2*HD 15F 0.2m</t>
  </si>
  <si>
    <t>CG011</t>
  </si>
  <si>
    <t>HD 15M/3RCA 1.8m</t>
  </si>
  <si>
    <t>CU201-TL</t>
  </si>
  <si>
    <t>CU203G-B</t>
  </si>
  <si>
    <t>USB AM/AM Gold Plated Black 1.5m</t>
  </si>
  <si>
    <t>CU261</t>
  </si>
  <si>
    <t>CU271</t>
  </si>
  <si>
    <t>USB AM/Micro USB 2.0V 0.8m</t>
  </si>
  <si>
    <t>CU272</t>
  </si>
  <si>
    <t>IPOD CABLE 1.2m</t>
  </si>
  <si>
    <t>CU301</t>
  </si>
  <si>
    <t>USB 3.0 AM/BM 1.8m</t>
  </si>
  <si>
    <t>CV212</t>
  </si>
  <si>
    <t>3.5ST M/2RCA M  1.8m</t>
  </si>
  <si>
    <t>CV201</t>
  </si>
  <si>
    <t>3.5STM/3.5STM 1.8m</t>
  </si>
  <si>
    <t>CV505</t>
  </si>
  <si>
    <t>2RCA M/M High Quaility 1.8m</t>
  </si>
  <si>
    <t>2RCA M/M High Quaility 5m</t>
  </si>
  <si>
    <t>2RCA M/M High Quaility 3m</t>
  </si>
  <si>
    <t>CH108</t>
  </si>
  <si>
    <t>ATA100 Flat Cable 80c  0.45m</t>
  </si>
  <si>
    <t>CH321</t>
  </si>
  <si>
    <t>SATA+Power 0.45m</t>
  </si>
  <si>
    <t>NC524</t>
  </si>
  <si>
    <t>FTP Cat5e 0.50CCA, 4 Pair, 305M, grey color</t>
  </si>
  <si>
    <t>NP511B-L</t>
  </si>
  <si>
    <t>UTP Cat5e Patch Cord, 0.50CCA, W/Button Blue 5m</t>
  </si>
  <si>
    <t>UTP Cat5e Patch Cord, 0.50CCA, W/Button Blue 10m</t>
  </si>
  <si>
    <t>UTP Cat5e Patch Cord, 0.50CCA, W/Button Blue 20m</t>
  </si>
  <si>
    <t>CV509</t>
  </si>
  <si>
    <t>3RCA M/M High Quaility 1.8m</t>
  </si>
  <si>
    <t>3RCA M/M High Quaility 5m</t>
  </si>
  <si>
    <t>3RCA M/M High Quaility 10m</t>
  </si>
  <si>
    <t>3RCA M/M High Quaility 20m</t>
  </si>
  <si>
    <t>CV303</t>
  </si>
  <si>
    <t>3 RCA M / 3 RCA M 1.8M</t>
  </si>
  <si>
    <t>CV213</t>
  </si>
  <si>
    <t>3.5ST F/2RCA M, nickel plated connector, 1.2M</t>
  </si>
  <si>
    <t>CE023</t>
  </si>
  <si>
    <t>CT251</t>
  </si>
  <si>
    <t>8P8C Coupler</t>
  </si>
  <si>
    <t>CA301</t>
  </si>
  <si>
    <t>DVI 24+5M/HD 15F</t>
  </si>
  <si>
    <t>CA313</t>
  </si>
  <si>
    <t>HDMI F/HDMI F Adaptor</t>
  </si>
  <si>
    <t>CA316</t>
  </si>
  <si>
    <t>MINI HDMI M/HDMI F Adaptor</t>
  </si>
  <si>
    <t>CA320</t>
  </si>
  <si>
    <t>HDMI M/HDMI F Adaptor 90 Angle</t>
  </si>
  <si>
    <t>CA543</t>
  </si>
  <si>
    <t>3RCA F/F Adaptor</t>
  </si>
  <si>
    <t>CA408</t>
  </si>
  <si>
    <t>USB AF/AF</t>
  </si>
  <si>
    <t>CA325</t>
  </si>
  <si>
    <t>HDMI 19F/MICRO HDMI 19M</t>
  </si>
  <si>
    <t>CA418</t>
  </si>
  <si>
    <t>MICRO USB 5PM/MINI USB 5PF</t>
  </si>
  <si>
    <t>CA416</t>
  </si>
  <si>
    <t>USB AM/MICRO USB 5PM</t>
  </si>
  <si>
    <t>CA851A</t>
  </si>
  <si>
    <t>NT086</t>
  </si>
  <si>
    <t>Crimping Tool RJ45+RJ11</t>
  </si>
  <si>
    <t>DD412</t>
  </si>
  <si>
    <t>1.3v 1-2_HDMI_SPLITTER_220V- EURO support 3D</t>
  </si>
  <si>
    <t>DD414</t>
  </si>
  <si>
    <t>1.3v 1-4_HDMI_SPLITTER_220V- EURO support 3D</t>
  </si>
  <si>
    <t>DD414A</t>
  </si>
  <si>
    <t>1.4v 1-4_HDMI_SPLITTER_220V- EURO support 3D</t>
  </si>
  <si>
    <t>DD305</t>
  </si>
  <si>
    <t>AV Switch</t>
  </si>
  <si>
    <t>DH115</t>
  </si>
  <si>
    <t>USB HUB USB2.0</t>
  </si>
  <si>
    <t>DH106</t>
  </si>
  <si>
    <t>DR106</t>
  </si>
  <si>
    <t>MINI SD/TF Card Reader USB2.0</t>
  </si>
  <si>
    <t>DR232</t>
  </si>
  <si>
    <t>All In One Card Reader USB2.0</t>
  </si>
  <si>
    <t>DE014</t>
  </si>
  <si>
    <t>DE201</t>
  </si>
  <si>
    <t>DE701</t>
  </si>
  <si>
    <t>DE062</t>
  </si>
  <si>
    <t>DE111</t>
  </si>
  <si>
    <t>DE013</t>
  </si>
  <si>
    <t>DM502</t>
  </si>
  <si>
    <t>DM001</t>
  </si>
  <si>
    <t>DK701</t>
  </si>
  <si>
    <t>DK401</t>
  </si>
  <si>
    <t>FRONTLOADERS</t>
  </si>
  <si>
    <t>SPEAKERS</t>
  </si>
  <si>
    <t>TWEETERS</t>
  </si>
  <si>
    <t>MIDS</t>
  </si>
  <si>
    <t>SUBWOOFERS</t>
  </si>
  <si>
    <t>AMPS</t>
  </si>
  <si>
    <t>OTHER</t>
  </si>
  <si>
    <t>6X9 + 7X10</t>
  </si>
  <si>
    <t>LIMPIDS</t>
  </si>
  <si>
    <t>STARSOUND 2600W</t>
  </si>
  <si>
    <t>CADENCE USB 4 BAND PARAMETRIC  EQL</t>
  </si>
  <si>
    <t>HDMI 19M/HDMI19M 90degree Angle 5M</t>
  </si>
  <si>
    <t>USB AM/BM 2.0V Transparent Blue 5M</t>
  </si>
  <si>
    <t>USB AM MINUSB 4P Camera Cable 1.5M</t>
  </si>
  <si>
    <t>DESCRIPTION</t>
  </si>
  <si>
    <t>PRICE</t>
  </si>
  <si>
    <t>Power Cord,  EU Type  2C*0.5mm2, 1.8M</t>
  </si>
  <si>
    <t>Dual USB In-Car Charger for iPad/iPad , 2/iPhone/iPod/Other Cell Phones (Black) Output: one port 1A, other 2.1A</t>
  </si>
  <si>
    <t>Bluetooth Earphone version:Bluetooth 2.0  Transimitted power:Class2 (max 4dBm) Receive sensitivity:-80dBm Battery:rechargeable  460mAh  Power supply:DC 5V  Weight:77g Operation range:Within 10 meters Audio format supply:MP3/WMA/WAV External memory enlarge:TF card(Max 8G )    playing time: continue about 10 hours   USB Jack:USB 2.0  Frequency response:20-20K HZ</t>
  </si>
  <si>
    <t>VCOM DE62 HEADPHONES Frequency:8-30KHz  Sensitivity: 105db±3db  Impedance:40Ω Max input power:100mW Cord length：1.2M Plug type ：3.5mm stereo Driver unit:40mm Weight：160g(Without  cable)</t>
  </si>
  <si>
    <t>Wireless Mouse    BLACK ONLY Frequency: 2.4G Hz Adopt: New sensor solutions 500/1000 DPI shift when click the right and left button at the same time. Super mini Nano USB receiver is hidden in the mouse body. Work distance is 10 meters. Power: 3V, 1000mA max, 2AAA batteries The LED light spark when short of power. Work distance is 10 meters. Power off shortly after pull out the receiver form computer. Compatible with windows 2000/XP/9X/ME/NT4.0/Vista/7</t>
  </si>
  <si>
    <t>Waterproof Keyboard material: abs Recycle, key switch: membrane key switch with tactile Feedback, keycaps type: printing key layout: printing 107/108/109/110 connection port: PS/2 available   Cable: 3.3*1,4M color: Black, Silver &amp; black available key stroke life: 10 million times compatibility: Compatible with Windows 95/98/NT/ME/2000/XP/vista</t>
  </si>
  <si>
    <t>Multimedia Keyboard material: ABS Plastic, key switch: membrane key switch with tactile Feedback, keycaps type: printing key layout: 104 or 105 or 107 +10hot keys available, waterproof connection port: PS/2 or USB available color: Black, Silver &amp; black available key stroke life: 10 million times compatibility: Compatible with Windows 95/98/NT/ME/2000/XP/vista</t>
  </si>
  <si>
    <t>AAAAAF9vzds=</t>
  </si>
  <si>
    <t>AAAAAF9vzdw=</t>
  </si>
  <si>
    <t>AAAAAF9vzd0=</t>
  </si>
  <si>
    <t>AAAAAF9vzd4=</t>
  </si>
  <si>
    <t>AAAAAF9vzd8=</t>
  </si>
  <si>
    <t>AAAAAF9vzeA=</t>
  </si>
  <si>
    <t>AAAAAF9vzeE=</t>
  </si>
  <si>
    <t>AAAAAF9vzeI=</t>
  </si>
  <si>
    <t>AAAAAF9vzeM=</t>
  </si>
  <si>
    <t>AAAAAF9vzeQ=</t>
  </si>
  <si>
    <t>AAAAAF9vzeU=</t>
  </si>
  <si>
    <t>AAAAAF9vzeY=</t>
  </si>
  <si>
    <t>AAAAAF9vzec=</t>
  </si>
  <si>
    <t>AAAAAF9vzeg=</t>
  </si>
  <si>
    <t>AAAAAF9vzek=</t>
  </si>
  <si>
    <t>AAAAAF9vzeo=</t>
  </si>
  <si>
    <t>AAAAAF9vzes=</t>
  </si>
  <si>
    <t>AAAAAF9vzew=</t>
  </si>
  <si>
    <t>AAAAAF9vze0=</t>
  </si>
  <si>
    <t>AAAAAF9vze4=</t>
  </si>
  <si>
    <t>AAAAAF9vze8=</t>
  </si>
  <si>
    <t>AAAAAF9vzfA=</t>
  </si>
  <si>
    <t>RAM</t>
  </si>
  <si>
    <t>Headphones</t>
  </si>
  <si>
    <t>Earphones</t>
  </si>
  <si>
    <t>Laptop Coolers</t>
  </si>
  <si>
    <t>Cleaning Kits</t>
  </si>
  <si>
    <t>Chat Packs</t>
  </si>
  <si>
    <t>PC Speakers</t>
  </si>
  <si>
    <t>Notebook Bags</t>
  </si>
  <si>
    <t>Headset</t>
  </si>
  <si>
    <t>Webcams</t>
  </si>
  <si>
    <t>Mouse</t>
  </si>
  <si>
    <t>Wireless Mouse</t>
  </si>
  <si>
    <t>PC Gaming Accessories</t>
  </si>
  <si>
    <t>Fighting series wired Mouse</t>
  </si>
  <si>
    <t>Tablet Sleeve</t>
  </si>
  <si>
    <t>Flash Memory</t>
  </si>
  <si>
    <t>Canyon Fighting series headset</t>
  </si>
  <si>
    <t>PSU AND UPS</t>
  </si>
  <si>
    <t>PSU</t>
  </si>
  <si>
    <t>350Watt 20/24-Pin ATX 2.0 12V Lestech® Power Supply : Intel Prescott LGA775 Ready &amp; Approved - Bulk Packing Double Head</t>
  </si>
  <si>
    <t>400Watt 20/24-Pin ATX 2.0 12V Lestech® Power Supply : Intel Prescott LGA775 Ready &amp; Approved-Retail Packing Doube Head</t>
  </si>
  <si>
    <t>600Watt 20/24-Pin ATX 2.0 12V Lestech® Power Supply : Intel Prescott LGA775 Ready &amp; Approved - retail Packing - Double Head</t>
  </si>
  <si>
    <t>UPS</t>
  </si>
  <si>
    <t>LESTECH 650VA UPS</t>
  </si>
  <si>
    <t>LESTECH XT 1200VA LINE INTERACTIVE UPS- NXT1200</t>
  </si>
  <si>
    <t>TEL9901G - PCI - 10/100/1000 Mbps Network Interface Card, Retail Package,IEEE802.3/802.3U</t>
  </si>
  <si>
    <t xml:space="preserve">S105 - 5-Port 10/100 Mbps Fast Ethernet Switch, DC 9V0.6A                                                 </t>
  </si>
  <si>
    <t xml:space="preserve">G1005D - 5-Port 10/100/1000 Mbps Fast Ethernet Switch, DC 9V0.6A, Gigabit     </t>
  </si>
  <si>
    <t xml:space="preserve">S108 - 8-Port 10/100 Mbps Fast Ethernet Switch, DC 9V0.6A    </t>
  </si>
  <si>
    <t xml:space="preserve">G1008D - 8-Port 10/100/1000 Mbps Fast Ethernet Switch, DC 9V0.6A, Gigabit      </t>
  </si>
  <si>
    <t xml:space="preserve">TTH160SK - 16-port 10/100 Mbps Fast Ethernet Switch, DC 9V0.6A    </t>
  </si>
  <si>
    <t xml:space="preserve">W311P - PCI - 802.11N Wireless PCI Adapter, 150 MBPS, 1Tx1R,Detachable Antenna, 1x 2dBi; Wireless Roaming, supports Soft AP, PSP Xlink </t>
  </si>
  <si>
    <t>3G622R+ - Wireless 3G Router, 300 MBPS, Wireless Lite-N speed, 1 x 5dBi Detachable Antenna, DC 9V1A, 4LAN, 1WAN Port, 1 USB port, support 802.11n, Wall power</t>
  </si>
  <si>
    <t xml:space="preserve">3G300M - Wireless 3G Router, 300 MBPS, Wireless Lite-N speed, Mini Size design, 1 x 2dBi; DC 5V1.2A, USB Power </t>
  </si>
  <si>
    <t>D830R - Wired ADSL2+ Modem with Router, 4 LAN Ports,  Annex A or Annex B, DC 9V1A，Full rate external ADSL2+/ADSL2/ADSL Modem</t>
  </si>
  <si>
    <t xml:space="preserve">W300D - Wireless-N ADSL2+ Modem Router, 300 MBPS, 2Tx2R, 4 x 10/100Mbps LAN Ports, 2x 5dBi Detachable Antennas,IEEE802.11b/g/n, Support ADSL2+/ADSL2/ADSL </t>
  </si>
  <si>
    <t xml:space="preserve">W150D - Wireless-N ADSL2+ Modem Router, 150 MBPS, 2Tx2R, 4 x 10/100Mbps LAN Ports, 1x 5dBi Detachable Antennas,IEEE802.11b/g/n, Support ADSL2+/ADSL2/ADSL  </t>
  </si>
  <si>
    <t>W368R - Wireless-N Broadband Router, 300MBPS, 2Tx2R, 4 10/100Mbps LAN Ports, 2 x 2dBi Internal Antennas, DC 9V1A, 2.4GHz,Static IP, DHCP</t>
  </si>
  <si>
    <t>W311R+ - Wireless-N Broadband Router, 150 MBPS, 1Tx1R, 4 10/100Mbps LAN Ports, 1 x 5dBi Detachable Antenna, DC 9V0.6A, ,IEEE802.11b/g/n,</t>
  </si>
  <si>
    <t>Q2405 - Antenna 5dBi (2.4Ghz) Dipole Indoor Desktop Omni-directional with Magnetic Base and 130cm extension cable RP-SMA Male connector</t>
  </si>
  <si>
    <t>Q2407 - Antenna 7dBi (2.4Ghz) Dipole Indoor Omni-directional Antenna with RP-SMA Male connector</t>
  </si>
  <si>
    <t>Q2409 - Antenna 9dBi (2.4Ghz) Dipole Indoor Omni-directional Antenna with RP-SMA Male connector</t>
  </si>
  <si>
    <t xml:space="preserve">A4 TECH OPTICAL MOUSE V-TRACK WIRED MOUSE BLACK+RED </t>
  </si>
  <si>
    <t>A4 TECH OPTICAL MOUSE V-TRACK WIRED MOUSE BLACK+RED</t>
  </si>
  <si>
    <t xml:space="preserve">A4 TECH  OPTICAL MOUSE V-TRACK PADLESS WIRED MOUSE USB BLACK </t>
  </si>
  <si>
    <t>A4 TECH X7 GAMING MOUSE USB BLUE SPIDER----V-Track</t>
  </si>
  <si>
    <t>A4 TECH WIRELESS HOLELESS MOUSE BLACK</t>
  </si>
  <si>
    <t>KEYBOARDS</t>
  </si>
  <si>
    <t>A4 TECH SMART KEYBOARD USB  BLACK WATER PROOF US LAYOUT</t>
  </si>
  <si>
    <t xml:space="preserve">A4 TECH COMFORT KEY KEYBOARD &amp; MOUSE COMBO SETS PS2 BLACK US LAYOUT </t>
  </si>
  <si>
    <t>A4 TECH V-TRACK WIRELESS KEYBOARD &amp; MOUSE (GR-85+G7-630N) DESKTOP COMBO BLACK</t>
  </si>
  <si>
    <t>A4 TECH X7 GAMING KEYBOARD USB BLACK</t>
  </si>
  <si>
    <t xml:space="preserve">A4 TECH PC CAMERA +HEAD SET SILVER GREY COMBO </t>
  </si>
  <si>
    <t>NOONTEC - V7 Multimedia Player, USB2.0 high speed; 3.5" SATA I/II HDD, capacity supports over 2TB, USB input USB2.0 high speed USB host x 2,</t>
  </si>
  <si>
    <t>AAAAAFTP81E=</t>
  </si>
  <si>
    <t>AAAAAFTP81I=</t>
  </si>
  <si>
    <t>AAAAAFTP81M=</t>
  </si>
  <si>
    <t>NETWORKING</t>
  </si>
  <si>
    <t>NOONTEC - A3 Movie Dock Multimedia Player 1080P, USB2.0 high speed Host Adaptor;USB input USB2.0 high speed USB host, Card reader 2 in 1 card reader, SD/SDHC Audio file MP3, WMA, WAV, OGG, AAC, LPCM, FLAC, AC3,APE, Video codec H.264, MKV, WMV9, MPEG 1/2/4, HD Divx , Xvid, FLV, RM/RMVB, Video file mkv, ts, m2ts, mts, tp, wmv, vob, dat, avi, mpg, mp4, mov, rm, rmvb, divx,</t>
  </si>
  <si>
    <t>MEDIA PLAYERS</t>
  </si>
  <si>
    <t>FXH61A</t>
  </si>
  <si>
    <t>FXH61B</t>
  </si>
  <si>
    <t>FXH61C</t>
  </si>
  <si>
    <t>FXRAT</t>
  </si>
  <si>
    <t>GW8400GS</t>
  </si>
  <si>
    <t>GWGT210</t>
  </si>
  <si>
    <t>GWGT520</t>
  </si>
  <si>
    <t>GWGT550</t>
  </si>
  <si>
    <t>GWGT560</t>
  </si>
  <si>
    <t>GWGT560B</t>
  </si>
  <si>
    <t>Price</t>
  </si>
  <si>
    <t>PSU300</t>
  </si>
  <si>
    <t>PSU400</t>
  </si>
  <si>
    <t>PSU600</t>
  </si>
  <si>
    <t>UP650</t>
  </si>
  <si>
    <t>UP1200</t>
  </si>
  <si>
    <t>ASUS P5G41T-M LX3</t>
  </si>
  <si>
    <t>INTEL G41 CHIPSET - INTEGRATED INTEL GMA X4500 GRAPHICS - INTEL® SOCKET 775 CORE™2 QUAD/CORE™2 EXTREME/CORE™2 DUO/CELERON® E1000 SERIES AND 400 SERIES CPU, 2X DDR3 (MAX 8GB 1333MHZ OC) 4X SATA 3Gbs, 1X PCI EXPRESS 2.0 X16, 2X PCI EXPRESS X1, 1X PCI, 10/100/1000 GB LAN, 8X USB, ALC887 HIGH DEF 8 CHANNEL AUDIO, 1X VGA, 1X COM PORT, 1X PS2 KEYBOARD, 1X PS2 MOUSE - MICRO ATX FORM FACTOR</t>
  </si>
  <si>
    <t>INTEL H61 CHIPSET (NEW B3 STEPPING)  - LGA 1155 FOR INTEL 2ND GENERATION CORE I7 / CORE I5 AND CORE I3 PROCESSORS (SUPPORTS INTEL 32NM CPU)- MICRO ATX FORM FACTOR, 2X DDR3 (MAX 16GB 1333MHZ), 1X PCI EXPRESS 2.0 X16, 3X PCI EXPRESS 2.0 X1, 4X SATA 3.0GB/S, 10X USB 2.0, 10/100/1000 GB LAN, REALTEK ALC887 8 CHANNEL HIGH DEF AUDIO, BACK PANEL: 1X PS2 KEYBOARD, 1X PS2 MOUSE, 1X VGA, 1X COM PORT, 1X PARALLEL PORT, 4X USB 2.0, 1X LAN (RJ45) 3X AUDIO JACKS</t>
  </si>
  <si>
    <t>INTEL H77 CHIPSET - LGA 1155 FOR INTEL 3RD/2ND GENERATION CORE I7/CORE I5 AND CORE I3 PROCESSORS - SUPPORTS INTEL TURBO BOOST TECHNOLOGY 2.0 - ATX FORM FACTOR, 4X DDR3 (MAX 32GB), INTEGRATED GRAPHICS PROCESSOR WITH MULTI-VGA OUTPUT SUPPORT, 1 X PCIE 3.0/2.0 X16 (X16 OR DUAL X8), 1 X PCIE 2.0 X16 (X4 MODE, BLACK), 1 X PCIE 2.0 X1, 1 X PCI, 2X SATA 6GB/S, 4X SATA 3GB/S (RAID 0,1,5,10), 4X USB 3.0, 10X USB 2.0, 10/100/1000GB LAN, ALC 892 8-CHANNEL HIGH DEFINITION AUDIO CODEC, BACK PANEL: 1X PS2 KEYBOARD/MOUSE COMBO PORTS, 1X DVI, 1X D-SUB, 1X HDMI, 1X LAN (RJ45), 2X USB 3.0, 4X USB 2.0, 1X OPTICAL S/PDIF OUT, 3X AUDIO JACKS.</t>
  </si>
  <si>
    <t>ASUS P8H77-M</t>
  </si>
  <si>
    <t xml:space="preserve">ASUS P8H77-M LE </t>
  </si>
  <si>
    <t>ASUS P8H61-M LX</t>
  </si>
  <si>
    <t>LGA-1155 Sandybridge processors, Dual channel DDR3 1333/1066 x 2 DIMMs, Max. 8GB,</t>
  </si>
  <si>
    <t xml:space="preserve">Foxconn H61-MXE, </t>
  </si>
  <si>
    <t>Foxconn H61-MXE</t>
  </si>
  <si>
    <t>Foxconn H61-MX</t>
  </si>
  <si>
    <t>Foxconn RATTLER</t>
  </si>
  <si>
    <t>Kaspersky Anti-Virus 2011</t>
  </si>
  <si>
    <t>Kaspersky Internet Security 2011</t>
  </si>
  <si>
    <t xml:space="preserve"> GDDR3  1GB/64bit, 520MHz/1066MHz, PCI-E 2.0 x16, HDMI, DVI, VGA Heatsink, Retail</t>
  </si>
  <si>
    <t>INNOVISION GeForce 210</t>
  </si>
  <si>
    <t xml:space="preserve"> DDR3  1GB/128bit, 700MHz/1333MHz, PCI-E 2.0 x16, HDTV, HDMI, DVI, VGA Cooler, Retail</t>
  </si>
  <si>
    <t>INNOVISION GeForce GT 430</t>
  </si>
  <si>
    <t xml:space="preserve"> DDR3  2GB/128bit, 700MHz/1333MHz, PCI-E 2.0 x16, HDMI, DVI, VGA Cooler, Retail</t>
  </si>
  <si>
    <t xml:space="preserve"> GDDR3  2GB/128bit, 810MHz/1333MHz, PCI-E 2.0 x16, HDMI, DVI, VGA Cooler, Retail</t>
  </si>
  <si>
    <t>INNOVISION GeForce GT 440</t>
  </si>
  <si>
    <t xml:space="preserve"> GDDR5  1GB/192bit, 920MHz/4.1GHz, PCI-E 2.0 x16, HDMI, 2xDVI, Dual Slot Fan Cooler, Retail</t>
  </si>
  <si>
    <t>INNOVISION GeForce GTX 550 Ti</t>
  </si>
  <si>
    <t xml:space="preserve"> GDDR5  1280MB/320bit, 732MHz/3.8GHz, PCI-E 2.0 x16, HDMI, 2xDVI, Vapor Freeze, Retail</t>
  </si>
  <si>
    <t>INNOVISION GeForce GTX 570</t>
  </si>
  <si>
    <t xml:space="preserve"> DIRECTCU 1GB DDR3 128BIT DVI+HDMI+D-Sub BOX</t>
  </si>
  <si>
    <t>, 1GB DDR5, 192-BIT, PCI EXPRESS 2.0 /  D-SUB X 1, DVI-I X 1, HDMI X 1, DP X 0.</t>
  </si>
  <si>
    <t xml:space="preserve"> - 512MB TC GDDR3, 32-Bit Memory Bus, PCI Express 2.0, 1x D-SUB, 1x DVI, 1x HDMI, HDCP Compliant</t>
  </si>
  <si>
    <t>Gainward® nVidia® GeForce 8400GS</t>
  </si>
  <si>
    <t xml:space="preserve"> - 1024MB TC GDDR3, 64-Bit Memory Bus, PCI Express 2.0, 1x D-SUB, 1x DVI, 1x HDMI, HDCP Compliant</t>
  </si>
  <si>
    <t>Gainward® nVidia® GeForce 210</t>
  </si>
  <si>
    <t xml:space="preserve"> 1GB GDDR3, 64-Bit Memory Bus, PCI Express 2.0, 1x D-SUB, 1x DVI, 1x HDMI, HDCP Compliant</t>
  </si>
  <si>
    <t>Gainward® nVidia® GeForce GT520</t>
  </si>
  <si>
    <t xml:space="preserve"> " Golden Sample" - 1GB GDDR5, 192-Bit Memory Bus, PCI Express 2.0, 1x DVI, 1x HDMI, HDCP Compliant</t>
  </si>
  <si>
    <t>Gainward® nVidia® GeForce GTX550Ti</t>
  </si>
  <si>
    <t xml:space="preserve"> " PHANTOM2" - 1GB GDDR5, 256-Bit Memory Bus, PCI Express 2.0, 2x DVI, 1x HDMI, HDCP Compliant</t>
  </si>
  <si>
    <t>Gainward® nVidia® GeForce GTX560Ti</t>
  </si>
  <si>
    <t xml:space="preserve"> " PHANTOM" - 2048MB GDDR5, 256-Bit Memory Bus, PCI Express 2.0, 2x DVI, 1x HDMI, HDCP Compliant</t>
  </si>
  <si>
    <t xml:space="preserve"> DDR3  1GB/64bit, 810MHz/1333MHz, PCI-E 2.0 x16, HDMI, DVI, VGA Cooler, Retail</t>
  </si>
  <si>
    <t>INNOVISION GeForce GT 610</t>
  </si>
  <si>
    <t xml:space="preserve"> DDR3  2GB/64bit, 810MHz/1066MHz, PCI-E 2.0 x16, HDMI, DVI, VGA Cooler, Retail</t>
  </si>
  <si>
    <t xml:space="preserve"> DDR3  1GB/64bit, 700MHz/1066MHz, PCI-E 2.0 x16, HDMI, DVI, VGA Cooler, Retail</t>
  </si>
  <si>
    <t>INNOVISION GeForce GT 620</t>
  </si>
  <si>
    <t>DDR3  2GB/64bit, 700MHz/1066MHz, PCI-E 2.0 x16, HDMI, DVI, VGA Cooler, Retail</t>
  </si>
  <si>
    <t xml:space="preserve">INNOVISION GeForce GT 620 </t>
  </si>
  <si>
    <t xml:space="preserve"> DDR3  2GB/128bit, 810MHz/1333MHz, PCI-E 3.0 x16, HDMI, DVI, VGA Cooler, Retail</t>
  </si>
  <si>
    <t>INNOVISION GeForce GT 630</t>
  </si>
  <si>
    <t xml:space="preserve"> DDR3  2GB/128bit, 900MHz/1800MHz, PCI-E 3.0 x16, HDMI, DVI, VGA Cooler, Retail</t>
  </si>
  <si>
    <t>INNOVISION GeForce GT 640</t>
  </si>
  <si>
    <t>Canyon Notebook Stand CNP-NS4</t>
  </si>
  <si>
    <t>Canyon Screen Cleaning Kit</t>
  </si>
  <si>
    <t>Canyon Chat pack CNR-CP2G1</t>
  </si>
  <si>
    <t>Binaural Headphones with Microphone, 2,5m cable and Web Camera - 1.3Mpixel)</t>
  </si>
  <si>
    <t>Canyon Chat pack - CNR-CP7G1</t>
  </si>
  <si>
    <t xml:space="preserve">(Stereo, 6W, 100Hz - 20kHz, USB) , round, Black and Blue  </t>
  </si>
  <si>
    <t>Canyon  speaker - CNR-SP20BBL</t>
  </si>
  <si>
    <t>Canyon  speaker - CNR-SP20BO</t>
  </si>
  <si>
    <t>Canyon  speaker - CNR-FSP01</t>
  </si>
  <si>
    <t>Canyon Stealth CNL-MBSP20H</t>
  </si>
  <si>
    <t>Canyon Notebook Bag CNR-NB3L1</t>
  </si>
  <si>
    <t>Canyon Notebook Bag CNR-NB17L1</t>
  </si>
  <si>
    <t>Canyon Notebook Backpack CNR-FNB01</t>
  </si>
  <si>
    <t>Canyon Stealth Notebook Bag</t>
  </si>
  <si>
    <t>Canyon Headphone CNR-HP02N</t>
  </si>
  <si>
    <t>Canyon Headphone CNR-HP04NB</t>
  </si>
  <si>
    <t>Canyon Headphone CNR-HP05NB</t>
  </si>
  <si>
    <t>Canyon Stealth Headphones CNL-MBHP03</t>
  </si>
  <si>
    <t>Canyon Stealth Headphones CNL-MBHP04</t>
  </si>
  <si>
    <t>Canyon Binaural Headset CNR-HS01N</t>
  </si>
  <si>
    <t>Canyon Binaural Headset CNR-HS04N</t>
  </si>
  <si>
    <t>Canyon Binaural Headset CNR-HS07N</t>
  </si>
  <si>
    <t>Canyon Binaural Headset CNR-HS10N</t>
  </si>
  <si>
    <t>Canyon Fighting series headset CNR-FHS04</t>
  </si>
  <si>
    <t>Canyon Earphones CNR-EP8BL</t>
  </si>
  <si>
    <t>Canyon Earphones CNR-EP8O</t>
  </si>
  <si>
    <t>Canyon Stealth Earphones CNL-MBEP01</t>
  </si>
  <si>
    <t>A4ST01</t>
  </si>
  <si>
    <t>A4ST02</t>
  </si>
  <si>
    <t>A4ST03</t>
  </si>
  <si>
    <t>ENGT440</t>
  </si>
  <si>
    <t>ENGTX550</t>
  </si>
  <si>
    <t>Mobile Memory DDRII</t>
  </si>
  <si>
    <t>Mobile Memory DDRIII</t>
  </si>
  <si>
    <t>Desktop Memory DDR400</t>
  </si>
  <si>
    <t>Desktop Memory DDRII</t>
  </si>
  <si>
    <t>Desktop Memory DDRIII</t>
  </si>
  <si>
    <t>Flash Drives</t>
  </si>
  <si>
    <t>MICRO SD CARDS</t>
  </si>
  <si>
    <t>Canyon Web camera 2.0Mpixel</t>
  </si>
  <si>
    <t>A4CP002</t>
  </si>
  <si>
    <t>A4 Tech Chat Pack</t>
  </si>
  <si>
    <t>Lestech 350w PSU</t>
  </si>
  <si>
    <t>Lestech 400w PSU</t>
  </si>
  <si>
    <t>Lestech 600w PSU</t>
  </si>
  <si>
    <t>Lestech 650VA UPS</t>
  </si>
  <si>
    <t>Lestech 1200VA UPS</t>
  </si>
  <si>
    <t>Tenda TEL9901G Ethernet PCI Card</t>
  </si>
  <si>
    <t>Tenda S105 5 Port Switch</t>
  </si>
  <si>
    <t>Tenda G1005D 5 Port Gigabit Switch</t>
  </si>
  <si>
    <t>Tenda S108 8 Port Switch</t>
  </si>
  <si>
    <t>Tenda G1008D 8 Port Gigabit Switch</t>
  </si>
  <si>
    <t>Tenda TTH160SK 16 Port Switch</t>
  </si>
  <si>
    <t>Tenda W311P PCI Wireless Adapter</t>
  </si>
  <si>
    <t>Tenda 3G622R+ 300 MBPS 3GWireless Router</t>
  </si>
  <si>
    <t>Tenda 3G300m 300 MBPS 3G Wireless Router</t>
  </si>
  <si>
    <t>Tenda D830R ADSL Router</t>
  </si>
  <si>
    <t>Tenda W300D 300MBPS Wireless ADSL Router</t>
  </si>
  <si>
    <t>Tenda W150D 150MBPS Wireless ADSL Router</t>
  </si>
  <si>
    <t>Tenda W368R 300MBPS Wireless ADSL Router</t>
  </si>
  <si>
    <t>Tenda W311R+ 150MBPS Wireless ADSL Router</t>
  </si>
  <si>
    <t>Tenda Q2405</t>
  </si>
  <si>
    <t>Tenda Q2407</t>
  </si>
  <si>
    <t>Tenda Q2409</t>
  </si>
  <si>
    <t>TEL9901G</t>
  </si>
  <si>
    <t xml:space="preserve"> S105</t>
  </si>
  <si>
    <t>G1005D</t>
  </si>
  <si>
    <t>S108</t>
  </si>
  <si>
    <t>G1008D</t>
  </si>
  <si>
    <t>TTH160S</t>
  </si>
  <si>
    <t>W311P</t>
  </si>
  <si>
    <t>3G622R+</t>
  </si>
  <si>
    <t xml:space="preserve"> 3G300m</t>
  </si>
  <si>
    <t>D830R</t>
  </si>
  <si>
    <t>W300D</t>
  </si>
  <si>
    <t>W150D</t>
  </si>
  <si>
    <t>W368R</t>
  </si>
  <si>
    <t>W311R+</t>
  </si>
  <si>
    <t>Q2405</t>
  </si>
  <si>
    <t>Q2407</t>
  </si>
  <si>
    <t>Q2409</t>
  </si>
  <si>
    <t>NOONTEC - A6II MovieDock Multimedia Player 1080P,  DOLBY True HD, DTS HD Support nTV internet video and TV streaming, Connect HDD/USB through USB port, SATA interface, USB input USB2.0 high speed USB host, Card reader 2 in 1 card reader, SD/SDHC Audio file MP3, WMA, WAV, OGG, AAC, LPCM, FLAC, AC3,APE, Video codec H.264, MKV, WMV9, MPEG 1/2/4, HD Divx , Xvid, FLV, RM/RMVB, Video file mkv, wmv, vob, dat, avi, mpg, mp4, mov, rm, rmvb, divx,ts, m2ts, mts, tp, Optical Audio, USB2.0 high speed Host Adaptor HARD DRIVE NOT INCLUDED</t>
  </si>
  <si>
    <t>NOONTEC - V8II NAS MovieHome Multimedia Player 1080P, support  NAS  storage, FTP,HTTP,BT,PT,SAMABA,DDNS and file server, 3.5" SATA I/II, supports over 3TB hot swopebale,USB input USB2.0 high speed USB host, USB3.0 interface, Card reader input Supports SD, MMC, MS and SDHC, capacity supports over 16GB,  Audio file MP3, WMA,WAV,OGG, AAC, LPCM, FLAC, DOLBY AC3(licensee only),DTS(licensee only),Video codec H.264, MKV, VC-1, MPEG 1/2/4, HD Divx , HD Xvid, FLV, RM/RMVB, Video file mkv, ts, m2ts, mts, tp, trp, wmv, Ifo, iso, vob, dat, avi, mpg, mp4, mov, rm,  rmvb, divx, xvid, flv. Mpeg, Video resolution H.264, MKV, WMV9, TS and HD Divx supports up to 1920 x 1080p RM/RMVB supports up to 1080p, Subtitle sub, smi, ssa, srt, idx + sub, Photo file JPG, JPEG, BMP, PNG, TIFF, GIF, Video out CVBS,YPBPR, HDMI 1.3(max 1080p), Audio out stereo R/L, optical, HDMI digital, LAN RJ45, supports Samba client, internet service, Wi-Fi 802.11n dongle (option) HARD DRIVE NOT INCLUDED</t>
  </si>
  <si>
    <t>NOONTEC  - V9-T REC Multimedia Player &amp; Time shift Recorder &amp; Dual TV Tuner, 3.5" SATA I/II, supports over 2 TB,USB input USB2.0 high speed USB host x 2, Card reader input Supports SD, MMC, MS and SDHC, capacity supports over 16GB,  Audio file MP3, WMA, WAV, OGG, AAC, LPCM, FLAC, DOLBY AC3(licensee only), DTS(licensee only), Video codec H.264, MKV, VC-1, MPEG 1/2/4, HD Divx , HD Xvid, FLV, RM/RMVB, Video file mkv, ts, m2ts, mts, tp, trp, wmv, Ifo, iso, vob, dat, avi, mpg, mp4, mov, rm, rmvb, divx, xvid, flv. mpeg, Video resolution H.264, MKV, WMV9, TS and HD Divx supports up to 1920 x 1080p RM/RMVB supports up to 1080p, Subtitle sub, smi, ssa, srt, idx + sub, Photo JPG, JPEG, BMP, PNG, TIFF, GIF, Video out CVBS,YPBPR, HDMI 1.3(max 1080p), Audio out stereo R/L, optical HDMI digital, LAN RJ45, supports Samba client, internet service, Wi-Fi 802.11n dongle (option) Recording input Audio: stereo(L/R) Video: composite(CVBS); recording format: MPEG 2, TV tuner Dual DVB-T HD TV tuner; TV recording :HD H.264 or MPEG-2 HD, Panel button controller Inductor touch button power supply Universal AC 100 ~230V 50Hz Power rate DC 12V 3A,Product dimension: 214x163x52.5mm - Weight: 365g (without hard drive) HARD DRIVE NOT INCLUDED</t>
  </si>
  <si>
    <t>Noontec A3</t>
  </si>
  <si>
    <t>Noontec V7</t>
  </si>
  <si>
    <t>Noontec A6II</t>
  </si>
  <si>
    <t>Noontec A8II</t>
  </si>
  <si>
    <t>Noontec V9</t>
  </si>
  <si>
    <t>A4 Tech Optical Mouse</t>
  </si>
  <si>
    <t>A4 Tech Gaming Mouse</t>
  </si>
  <si>
    <t>Canyon Mouse CNR-MSO01NP</t>
  </si>
  <si>
    <t>Canyon Mouse CNR-MSO01NO</t>
  </si>
  <si>
    <t>Canyon Mouse CNR-MSO01NR</t>
  </si>
  <si>
    <t>Canyon Mouse CNR-MSO03N</t>
  </si>
  <si>
    <t>Canyon Stealth Mouse CNL-MBMSO01</t>
  </si>
  <si>
    <t>Canyon Stealth Mouse CNL-MBMSO02</t>
  </si>
  <si>
    <t>Canyon Fighting Series Mouse CNR-FMSO01</t>
  </si>
  <si>
    <t>Canyon Fighting Series Wireless mouse</t>
  </si>
  <si>
    <t>Canyon Stealth Gaming Wirelss Mouse</t>
  </si>
  <si>
    <t>Canyon Wireless Mouse CNR-MSOW04NO</t>
  </si>
  <si>
    <t>Canyon Stealth Wirelss Mouse CNL-MBMSOW01</t>
  </si>
  <si>
    <t>Canyon Wireless Mouse CNR-MSOW04NS</t>
  </si>
  <si>
    <t>A4 Tech Wirelss Mouse</t>
  </si>
  <si>
    <t>A4TWM</t>
  </si>
  <si>
    <t>A4KB01</t>
  </si>
  <si>
    <t>A4KBG04</t>
  </si>
  <si>
    <t>A4KBW03</t>
  </si>
  <si>
    <t>A4KBCB02</t>
  </si>
  <si>
    <t>A4 Tech Keyboard</t>
  </si>
  <si>
    <t>A4 Tech Desktop Combo</t>
  </si>
  <si>
    <t>A4 Tech Wireless Combo</t>
  </si>
  <si>
    <t>A4 Tech Gaming Keyboard</t>
  </si>
  <si>
    <t>Canyon 4 Port USB Hub</t>
  </si>
  <si>
    <t>Canyon CNR-CARD6 16in1 Card Reader</t>
  </si>
  <si>
    <t>Canyon CNR-CARD7 17in1 Card Reader</t>
  </si>
  <si>
    <t>Canyon CNG-GP1 Gamepad</t>
  </si>
  <si>
    <t>CanyonCNG-GW1 Gaming Wheel</t>
  </si>
  <si>
    <t>Canyon Stealth CNL-MBNB10 10" Tablet Sleeve</t>
  </si>
  <si>
    <t>SEAGATE Momentus  2.5" 250GB</t>
  </si>
  <si>
    <t xml:space="preserve">SEAGATE Momentus  2.5" 320GB </t>
  </si>
  <si>
    <t>SEAGATE  Barracuda  3.5" 500GB</t>
  </si>
  <si>
    <t>SEAGATE  Barracuda  3.5" 1TB</t>
  </si>
  <si>
    <t>SEAGATE  Barracuda 3.5" 2TB</t>
  </si>
  <si>
    <t>Pioneer 400w 6x9 3 Way Speakers</t>
  </si>
  <si>
    <t>Pioneer 500w 6x9 3 Way Speakers</t>
  </si>
  <si>
    <t>Pioneer 600w 6x9 3 Way Speakers</t>
  </si>
  <si>
    <t>Phillips 500w 7x10 3 Way Speakers</t>
  </si>
  <si>
    <t>Pioneer TSG1614R 230w 6.5" Speaker</t>
  </si>
  <si>
    <t>Sony 190w 6" 2 Way Speakers</t>
  </si>
  <si>
    <t>Sony 150w 5.25" 2 Way Speakers</t>
  </si>
  <si>
    <t>Pioneer 200w 5.25" 2 Way Speakers</t>
  </si>
  <si>
    <t>Pioneer 180w 4" 2 Way Speakers</t>
  </si>
  <si>
    <t>Pioneer 12" 1400w DVC Subwoofer</t>
  </si>
  <si>
    <t>Starsound 1500w Boxed 12" Subwoofer</t>
  </si>
  <si>
    <t>Pioneer TSW309 1000w 12" SVC Subwoofer</t>
  </si>
  <si>
    <t>Pioneer 500w 8" limpids</t>
  </si>
  <si>
    <t>Starsound SSA</t>
  </si>
  <si>
    <t>JVC KDR436 MP3 Frontloader</t>
  </si>
  <si>
    <t>Sony CDX-GT310MP MP3 Frontloader</t>
  </si>
  <si>
    <t>SONY GT610UG USB Frontloader</t>
  </si>
  <si>
    <t>PIONEER DEH1450UB USB Frontloader</t>
  </si>
  <si>
    <t>PIONEERDEH-1350MP MP3 Frontloader</t>
  </si>
  <si>
    <t>Pioneer TS-S20 Tweeters</t>
  </si>
  <si>
    <t>NAME</t>
  </si>
  <si>
    <t>HDMI CABLES</t>
  </si>
  <si>
    <t>VGA CABLES</t>
  </si>
  <si>
    <t>USB CABLES</t>
  </si>
  <si>
    <t>AV CABLES</t>
  </si>
  <si>
    <t>NETWORK CABLES</t>
  </si>
  <si>
    <t>PLUGS &amp; ADAPTORS</t>
  </si>
  <si>
    <t>SPLITTERS</t>
  </si>
  <si>
    <t>Fashion Earphone Frequency: 20-20KHz, Sensitivity: 105db±2db Impedance: 32Ω    Max input power: 150mW Cord length：2-2.5M Plug type ：3.5mm stereo Driver unit: 40mm Microphone unit：Φ6.0*5.0mm Weight: 220g</t>
  </si>
  <si>
    <t>Earplug  Frequency:10-24KHz  Sensitivity: 103db±3db Impedance:32Ω  Max input power:20mW  Cord length：1.2M  Plug type ：3.5mm stereo</t>
  </si>
  <si>
    <t>Classic Earphone Frequency: 20-20KHz Sensitivity: 105db±2db Impedance: 32Ω±15% Max input Power: 50mW Cord length：Approx 2.0M Plug type ：3.5mm stereo Driver unit: 40mm Microphone sensibility:-58db±2db     working voltage：4.5V</t>
  </si>
  <si>
    <t>Fashion Earphone Frequency: 20-20KHz Sensitivity: 108db±2db Impedance: 32Ω    Max input power: 150Mw Cord length：1.5M Plug type ：3.5mm stereo Driver unit: 40mm Microphone unit：Φ6.0*5.0mm</t>
  </si>
  <si>
    <r>
      <t xml:space="preserve">Wired Mouse  </t>
    </r>
    <r>
      <rPr>
        <b/>
        <sz val="8"/>
        <color rgb="FFFF0000"/>
        <rFont val="Calibri"/>
        <family val="2"/>
        <scheme val="minor"/>
      </rPr>
      <t xml:space="preserve">BLACK ONLY </t>
    </r>
    <r>
      <rPr>
        <sz val="8"/>
        <color rgb="FF000000"/>
        <rFont val="Calibri"/>
        <family val="2"/>
        <scheme val="minor"/>
      </rPr>
      <t>Standard：102x63x38mm Resolution：800-1000  DPI Cord Length：1.35-1.5m Weight：67.5g</t>
    </r>
  </si>
  <si>
    <t>A4ST04</t>
  </si>
  <si>
    <t>VCOM DE014 Earphones</t>
  </si>
  <si>
    <t>VCOM DE201 Earphones</t>
  </si>
  <si>
    <t>VCOM DE701 Earphones</t>
  </si>
  <si>
    <t>VCOM DE062 Earphones</t>
  </si>
  <si>
    <t>VCOM DE111 Earphones</t>
  </si>
  <si>
    <t>VCOM DE013 Earphones</t>
  </si>
  <si>
    <t>VCOM USB HUB</t>
  </si>
  <si>
    <t>VCOM MICRO SD  READER</t>
  </si>
  <si>
    <t>VCOM ALL IN ONE CARD READER</t>
  </si>
  <si>
    <t>VCOM Waterproof Keyboard</t>
  </si>
  <si>
    <t>VCOM Multimedia Keyboard</t>
  </si>
  <si>
    <t>VCOM USB Mouse</t>
  </si>
  <si>
    <t>VCOM Wireless Mouse</t>
  </si>
  <si>
    <t>2 RCA M / 3 RCA M 1.8M</t>
  </si>
  <si>
    <t>Crimping Tool RJ45+RJ10</t>
  </si>
  <si>
    <t>MOTHERBOARDS</t>
  </si>
  <si>
    <t>SOUND CARDS</t>
  </si>
  <si>
    <t>ANTIVIRUS</t>
  </si>
  <si>
    <t>GRAPHICS CARDS</t>
  </si>
  <si>
    <t>Antivirus</t>
  </si>
  <si>
    <t>LAPTOP COOLERS</t>
  </si>
  <si>
    <t>CLEANING KITS</t>
  </si>
  <si>
    <t>CHAT PACKS</t>
  </si>
  <si>
    <t>PC SPEAKERS</t>
  </si>
  <si>
    <t>NOTEBOOK BAGS</t>
  </si>
  <si>
    <t>HEADPHONES</t>
  </si>
  <si>
    <t>HEADSETS</t>
  </si>
  <si>
    <t>EARPHONES</t>
  </si>
  <si>
    <t>WEBCAMS</t>
  </si>
  <si>
    <t>WIRED MOUSE</t>
  </si>
  <si>
    <t>WIRELESS MOUSE</t>
  </si>
  <si>
    <t>GAMING ACCESSORIES</t>
  </si>
  <si>
    <t>TABLET ACCESSORIES</t>
  </si>
  <si>
    <t>HARD DRIVES</t>
  </si>
  <si>
    <t>FLASH MEMORY</t>
  </si>
  <si>
    <t>POWER SUPPLIES &amp; UPS</t>
  </si>
  <si>
    <t>COMPUTER PRODUCTS</t>
  </si>
  <si>
    <t>CAR AUDIO</t>
  </si>
  <si>
    <t>CAR AMPLIFIERS</t>
  </si>
  <si>
    <t>ACCESSORIES</t>
  </si>
  <si>
    <t>PLUGS &amp; LEADS</t>
  </si>
  <si>
    <t>HUBS &amp; CARD READERS</t>
  </si>
  <si>
    <t>Asus GeForce CUDA GT440</t>
  </si>
  <si>
    <t>ASUS NVIDIA GEFORCE GTX550 Ti</t>
  </si>
  <si>
    <t>Canyon Fighting series Webcam 1.3 Mega pixel</t>
  </si>
  <si>
    <t>NCA3</t>
  </si>
  <si>
    <t>NCA6</t>
  </si>
  <si>
    <t>NCV7</t>
  </si>
  <si>
    <t>NCA8</t>
  </si>
  <si>
    <t>NCV9</t>
  </si>
  <si>
    <t>USB Hubs &amp; Card Readers</t>
  </si>
  <si>
    <t>Intel P67 Chipset sandybridge processors, Dual channel DDR3 2133(oc)/1866(oc)/1600(oc)/1333/1066 x 4 DIMMs,  IVY Bridge Compatable</t>
  </si>
  <si>
    <t>ALL PRODUCTS AVAILABLE TO VIEW AT WWW.DIGICOMP.CO.ZA</t>
  </si>
  <si>
    <t>MP3 Player 4GB</t>
  </si>
  <si>
    <t>MP4 Player 8GB</t>
  </si>
  <si>
    <t>L1028 Alarm Battery</t>
  </si>
  <si>
    <t>Battery PP3(230mAh)</t>
  </si>
  <si>
    <t>Battery PP3(280mAh)</t>
  </si>
  <si>
    <t xml:space="preserve">Battery AAA Rechargeable </t>
  </si>
  <si>
    <t>Battery Charginger</t>
  </si>
  <si>
    <t>iPhone Mini USB Adaptor</t>
  </si>
  <si>
    <t>3-in-1 mini USB Adaptor</t>
  </si>
  <si>
    <t>Galaxy Tab USB Cable</t>
  </si>
  <si>
    <t>Charging Kit 6600mah</t>
  </si>
  <si>
    <t>Charging Kit 6000mah</t>
  </si>
  <si>
    <t>Micro USB Adaptor</t>
  </si>
  <si>
    <t>USB Adaptor</t>
  </si>
  <si>
    <t>PVP Game Adaptor</t>
  </si>
  <si>
    <t>PVP USB Charger Cable</t>
  </si>
  <si>
    <t>Battery PVP</t>
  </si>
  <si>
    <t>PSP 2000 AV cable</t>
  </si>
  <si>
    <t>PSP 3000 AV cable</t>
  </si>
  <si>
    <t>PVP AV Cable</t>
  </si>
  <si>
    <t>XBOX 360 AV Cable</t>
  </si>
  <si>
    <t>PS2 - PS3 Convertor cable</t>
  </si>
  <si>
    <t>USB PC Speaker</t>
  </si>
  <si>
    <t>USB Speaker Square small</t>
  </si>
  <si>
    <t>USB Speaker Square big</t>
  </si>
  <si>
    <t>iPod/Iphone Charger Kit</t>
  </si>
  <si>
    <t>Card Reader All in One</t>
  </si>
  <si>
    <t>Card Reader Mini</t>
  </si>
  <si>
    <t>MP3</t>
  </si>
  <si>
    <t>MP4</t>
  </si>
  <si>
    <t>L1028</t>
  </si>
  <si>
    <t>PP3230</t>
  </si>
  <si>
    <t>PP3280</t>
  </si>
  <si>
    <t>RAAA</t>
  </si>
  <si>
    <t>Batt stand</t>
  </si>
  <si>
    <t>Iusb</t>
  </si>
  <si>
    <t>USB Cable</t>
  </si>
  <si>
    <t>ck6600</t>
  </si>
  <si>
    <t>ch6000</t>
  </si>
  <si>
    <t>usba1</t>
  </si>
  <si>
    <t>usba2</t>
  </si>
  <si>
    <t>Adaptor</t>
  </si>
  <si>
    <t>Battery</t>
  </si>
  <si>
    <t>PSPAV2</t>
  </si>
  <si>
    <t>PSPAV3</t>
  </si>
  <si>
    <t>PVPAV</t>
  </si>
  <si>
    <t>XBOXAV</t>
  </si>
  <si>
    <t>PS2-PS3</t>
  </si>
  <si>
    <t>SP01 USB</t>
  </si>
  <si>
    <t>SP02 USB</t>
  </si>
  <si>
    <t>SP02 USB - B</t>
  </si>
  <si>
    <t>Ipod Kit</t>
  </si>
  <si>
    <t>CR01</t>
  </si>
  <si>
    <t>CR02</t>
  </si>
  <si>
    <t>Mp3 Players</t>
  </si>
  <si>
    <t>BATTERIES</t>
  </si>
  <si>
    <t>CELLPHONE ACCESSORIES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</si>
</sst>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5" formatCode="&quot;R&quot;\ #,##0;&quot;R&quot;\ \-#,##0"/>
    <numFmt numFmtId="42" formatCode="_ &quot;R&quot;\ * #,##0_ ;_ &quot;R&quot;\ * \-#,##0_ ;_ &quot;R&quot;\ * &quot;-&quot;_ ;_ @_ "/>
    <numFmt numFmtId="44" formatCode="_ &quot;R&quot;\ * #,##0.00_ ;_ &quot;R&quot;\ * \-#,##0.00_ ;_ &quot;R&quot;\ * &quot;-&quot;??_ ;_ @_ "/>
    <numFmt numFmtId="43" formatCode="_ * #,##0.00_ ;_ * \-#,##0.00_ ;_ * &quot;-&quot;??_ ;_ @_ "/>
    <numFmt numFmtId="164" formatCode="[$$-409]#,##0.0"/>
    <numFmt numFmtId="165" formatCode="&quot;$&quot;#,##0_);\(&quot;$&quot;#,##0\)"/>
    <numFmt numFmtId="166" formatCode="_(&quot;$&quot;* #,##0_);_(&quot;$&quot;* \(#,##0\);_(&quot;$&quot;* &quot;-&quot;_);_(@_)"/>
    <numFmt numFmtId="167" formatCode="_(&quot;$&quot;* #,##0.00_);_(&quot;$&quot;* \(#,##0.00\);_(&quot;$&quot;* &quot;-&quot;??_);_(@_)"/>
    <numFmt numFmtId="168" formatCode="_(* #,##0.00_);_(* \(#,##0.00\);_(* &quot;-&quot;??_);_(@_)"/>
    <numFmt numFmtId="169" formatCode="_-* #,##0&quot;R&quot;_-;\-* #,##0&quot;R&quot;_-;_-* &quot;-&quot;&quot;R&quot;_-;_-@_-"/>
    <numFmt numFmtId="170" formatCode="_-* #,##0.00&quot;R&quot;_-;\-* #,##0.00&quot;R&quot;_-;_-* &quot;-&quot;??&quot;R&quot;_-;_-@_-"/>
    <numFmt numFmtId="171" formatCode="&quot;R&quot;#,##0_);[Red]\(&quot;R&quot;#,##0\)"/>
    <numFmt numFmtId="172" formatCode="&quot;R&quot;#,##0.00_);\(&quot;R&quot;#,##0.00\)"/>
    <numFmt numFmtId="173" formatCode="&quot;R&quot;#,##0.00_);[Red]\(&quot;R&quot;#,##0.00\)"/>
    <numFmt numFmtId="174" formatCode="_(&quot;R&quot;* #,##0_);_(&quot;R&quot;* \(#,##0\);_(&quot;R&quot;* &quot;-&quot;_);_(@_)"/>
    <numFmt numFmtId="175" formatCode="_(&quot;R&quot;* #,##0.00_);_(&quot;R&quot;* \(#,##0.00\);_(&quot;R&quot;* &quot;-&quot;??_);_(@_)"/>
    <numFmt numFmtId="176" formatCode="&quot;SFr.&quot;#,##0.00;&quot;SFr.&quot;\-#,##0.00"/>
    <numFmt numFmtId="177" formatCode="_-* #,##0\ _D_M_-;\-* #,##0\ _D_M_-;_-* &quot;-&quot;\ _D_M_-;_-@_-"/>
    <numFmt numFmtId="178" formatCode="_-* #,##0_-;_-* #,##0\-;_-* &quot;-&quot;_-;_-@_-"/>
    <numFmt numFmtId="179" formatCode="_-* #,##0.00_-;_-* #,##0.00\-;_-* &quot;-&quot;??_-;_-@_-"/>
    <numFmt numFmtId="180" formatCode="#,##0\ &quot;F&quot;;[Red]\-#,##0\ &quot;F&quot;"/>
    <numFmt numFmtId="181" formatCode="#,##0.00\ &quot;F&quot;;[Red]\-#,##0.00\ &quot;F&quot;"/>
    <numFmt numFmtId="182" formatCode="_-* #,##0_-;\-* #,##0_-;_-* &quot;-&quot;??_-;_-@_-"/>
    <numFmt numFmtId="183" formatCode="_-* #,##0_$_-;\-* #,##0_$_-;_-* &quot;-&quot;_$_-;_-@_-"/>
    <numFmt numFmtId="184" formatCode="_-* #,##0.00_$_-;\-* #,##0.00_$_-;_-* &quot;-&quot;??_$_-;_-@_-"/>
    <numFmt numFmtId="185" formatCode="&quot;See Note &quot;\ #"/>
    <numFmt numFmtId="186" formatCode="_-* #,##0\ _ð_._-;\-* #,##0\ _ð_._-;_-* &quot;-&quot;\ _ð_._-;_-@_-"/>
    <numFmt numFmtId="187" formatCode="_-* #,##0.00\ _ð_._-;\-* #,##0.00\ _ð_._-;_-* &quot;-&quot;??\ _ð_._-;_-@_-"/>
    <numFmt numFmtId="188" formatCode="0.0%;[Red]\(0.0%\)"/>
    <numFmt numFmtId="189" formatCode="\$\ #,##0"/>
    <numFmt numFmtId="190" formatCode="&quot;R&quot;#,##0"/>
    <numFmt numFmtId="191" formatCode="_(* #,##0.000_);_(* \(#,##0.000\);_(* &quot;-&quot;_);_(@_)"/>
    <numFmt numFmtId="192" formatCode="_-&quot;F&quot;\ * #,##0_-;_-&quot;F&quot;\ * #,##0\-;_-&quot;F&quot;\ * &quot;-&quot;_-;_-@_-"/>
    <numFmt numFmtId="193" formatCode="_-&quot;F&quot;\ * #,##0.00_-;_-&quot;F&quot;\ * #,##0.00\-;_-&quot;F&quot;\ * &quot;-&quot;??_-;_-@_-"/>
    <numFmt numFmtId="194" formatCode="_-* #,##0\ &quot;DM&quot;_-;\-* #,##0\ &quot;DM&quot;_-;_-* &quot;-&quot;\ &quot;DM&quot;_-;_-@_-"/>
    <numFmt numFmtId="195" formatCode="_-* #,##0.00_-;\-* #,##0.00_-;_-* &quot;-&quot;??_-;_-@_-"/>
    <numFmt numFmtId="196" formatCode="_-* #,##0_-;\-* #,##0_-;_-* &quot;-&quot;_-;_-@_-"/>
    <numFmt numFmtId="197" formatCode="&quot;R&quot;#,##0.00;[Red]\-&quot;R&quot;#,##0.00"/>
    <numFmt numFmtId="198" formatCode="_-* #,##0\ _z_ł_-;\-* #,##0\ _z_ł_-;_-* &quot;-&quot;\ _z_ł_-;_-@_-"/>
    <numFmt numFmtId="199" formatCode="_-* #,##0.00\ _z_ł_-;\-* #,##0.00\ _z_ł_-;_-* &quot;-&quot;??\ _z_ł_-;_-@_-"/>
    <numFmt numFmtId="200" formatCode="#,##0\ &quot;Sk&quot;;[Red]\-#,##0\ &quot;Sk&quot;"/>
    <numFmt numFmtId="201" formatCode="0.0%"/>
    <numFmt numFmtId="202" formatCode="#,##0\ &quot;R&quot;;[Red]\-#,##0\ &quot;R&quot;"/>
    <numFmt numFmtId="203" formatCode="mm/dd/yy"/>
    <numFmt numFmtId="204" formatCode="#,##0.00\ &quot;$.&quot;;[Red]\-#,##0.00\ &quot;$.&quot;"/>
    <numFmt numFmtId="205" formatCode="_-* #,##0\ &quot;zł&quot;_-;\-* #,##0\ &quot;zł&quot;_-;_-* &quot;-&quot;\ &quot;zł&quot;_-;_-@_-"/>
    <numFmt numFmtId="206" formatCode="_-* #,##0.00\ &quot;zł&quot;_-;\-* #,##0.00\ &quot;zł&quot;_-;_-* &quot;-&quot;??\ &quot;zł&quot;_-;_-@_-"/>
    <numFmt numFmtId="207" formatCode="_-* #,##0_р_._-;\-* #,##0_р_._-;_-* &quot;-&quot;_р_._-;_-@_-"/>
    <numFmt numFmtId="208" formatCode="&quot;$&quot;#,##0;[Red]\-&quot;$&quot;#,##0"/>
    <numFmt numFmtId="209" formatCode="#,##0\ &quot;р.&quot;;[Red]\-#,##0\ &quot;р.&quot;"/>
    <numFmt numFmtId="210" formatCode="_-[$$-409]* #,##0.00_ ;_-[$$-409]* \-#,##0.00\ ;_-[$$-409]* &quot;-&quot;??_ ;_-@_ "/>
    <numFmt numFmtId="211" formatCode="&quot;$&quot;#,##0.00;[Red]\-&quot;$&quot;#,##0.00"/>
    <numFmt numFmtId="212" formatCode="_-* #,##0.00\ &quot;$&quot;_-;\-* #,##0.00\ &quot;$&quot;_-;_-* &quot;-&quot;??\ &quot;$&quot;_-;_-@_-"/>
    <numFmt numFmtId="213" formatCode="hh/mm"/>
    <numFmt numFmtId="214" formatCode="d/mm/yyyy"/>
    <numFmt numFmtId="215" formatCode="_-* #,##0.0\ &quot;zł&quot;_-;\-* #,##0.0\ &quot;zł&quot;_-;_-* &quot;-&quot;??\ &quot;zł&quot;_-;_-@_-"/>
    <numFmt numFmtId="216" formatCode="_-* #,##0\ &quot;zł&quot;_-;\-* #,##0\ &quot;zł&quot;_-;_-* &quot;-&quot;??\ &quot;zł&quot;_-;_-@_-"/>
    <numFmt numFmtId="217" formatCode="dd\.mm\.yy"/>
    <numFmt numFmtId="218" formatCode="#,##0;[Red]&quot;-&quot;#,##0"/>
    <numFmt numFmtId="219" formatCode="_-* #,##0_р_._-;\-* #,##0_р_._-;_-* &quot;-&quot;??_р_._-;_-@_-"/>
    <numFmt numFmtId="220" formatCode="#,##0.00\ &quot;$&quot;;\-#,##0.00\ &quot;$&quot;"/>
    <numFmt numFmtId="221" formatCode="#,##0.00;[Red]&quot;-&quot;#,##0.00"/>
    <numFmt numFmtId="222" formatCode="_-* #,##0\ _Z_ł_-;\-* #,##0\ _Z_ł_-;_-* &quot;-&quot;\ _Z_ł_-;_-@_-"/>
    <numFmt numFmtId="223" formatCode="[$$-409]#,##0.00"/>
    <numFmt numFmtId="224" formatCode="&quot;R&quot;\ #,##0.00"/>
  </numFmts>
  <fonts count="235">
    <font>
      <sz val="11"/>
      <color theme="1"/>
      <name val="Calibri"/>
      <family val="2"/>
      <scheme val="minor"/>
    </font>
    <font>
      <sz val="12"/>
      <color indexed="8"/>
      <name val="Calibri"/>
      <family val="1"/>
      <charset val="136"/>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0"/>
      <name val="Arial"/>
      <family val="2"/>
    </font>
    <font>
      <sz val="8"/>
      <name val="Arial"/>
      <family val="2"/>
    </font>
    <font>
      <sz val="10"/>
      <color indexed="8"/>
      <name val="Arial"/>
      <family val="2"/>
    </font>
    <font>
      <b/>
      <sz val="8"/>
      <name val="Arial"/>
      <family val="2"/>
    </font>
    <font>
      <sz val="10"/>
      <name val="Helv"/>
    </font>
    <font>
      <sz val="10"/>
      <color indexed="8"/>
      <name val="MS Sans Serif"/>
      <family val="2"/>
    </font>
    <font>
      <sz val="10"/>
      <name val="Helv"/>
      <charset val="204"/>
    </font>
    <font>
      <sz val="10"/>
      <name val="Helv"/>
      <family val="2"/>
    </font>
    <font>
      <sz val="10"/>
      <name val="Helv"/>
      <charset val="238"/>
    </font>
    <font>
      <b/>
      <sz val="10"/>
      <name val="Pragmatica"/>
      <charset val="204"/>
    </font>
    <font>
      <b/>
      <sz val="9"/>
      <name val="Arial"/>
      <family val="2"/>
    </font>
    <font>
      <sz val="8"/>
      <name val="Times New Roman"/>
      <family val="1"/>
    </font>
    <font>
      <u/>
      <sz val="10"/>
      <color indexed="14"/>
      <name val="MS Sans Serif"/>
      <family val="2"/>
    </font>
    <font>
      <b/>
      <sz val="10"/>
      <name val="MS Sans Serif"/>
      <family val="2"/>
    </font>
    <font>
      <sz val="10"/>
      <name val="MS Serif"/>
      <family val="1"/>
    </font>
    <font>
      <sz val="10"/>
      <name val="Courier"/>
      <family val="3"/>
    </font>
    <font>
      <sz val="12"/>
      <name val="Tms Rmn"/>
    </font>
    <font>
      <sz val="10"/>
      <name val="Arial CE"/>
      <charset val="238"/>
    </font>
    <font>
      <sz val="10"/>
      <color indexed="16"/>
      <name val="MS Serif"/>
      <family val="1"/>
    </font>
    <font>
      <b/>
      <sz val="8"/>
      <name val="Times New Roman"/>
      <family val="1"/>
    </font>
    <font>
      <sz val="9"/>
      <name val="Times New Roman"/>
      <family val="1"/>
    </font>
    <font>
      <b/>
      <sz val="12"/>
      <name val="Arial"/>
      <family val="2"/>
    </font>
    <font>
      <b/>
      <sz val="14"/>
      <name val="Arial"/>
      <family val="2"/>
    </font>
    <font>
      <b/>
      <sz val="10"/>
      <name val="Times New Roman"/>
      <family val="1"/>
    </font>
    <font>
      <sz val="9.75"/>
      <name val="Arial"/>
      <family val="2"/>
    </font>
    <font>
      <sz val="12"/>
      <name val="Arial"/>
      <family val="2"/>
    </font>
    <font>
      <b/>
      <sz val="8"/>
      <name val="MS Sans Serif"/>
      <family val="2"/>
    </font>
    <font>
      <u/>
      <sz val="10"/>
      <color indexed="12"/>
      <name val="Arial CE"/>
      <charset val="238"/>
    </font>
    <font>
      <b/>
      <sz val="9.75"/>
      <name val="Arial"/>
      <family val="2"/>
    </font>
    <font>
      <u/>
      <sz val="10"/>
      <color indexed="12"/>
      <name val="Arial"/>
      <family val="2"/>
    </font>
    <font>
      <sz val="10"/>
      <name val="Arial Cyr"/>
      <charset val="204"/>
    </font>
    <font>
      <sz val="10"/>
      <name val="Tahoma"/>
      <family val="2"/>
    </font>
    <font>
      <b/>
      <i/>
      <sz val="18"/>
      <color indexed="9"/>
      <name val="Arial"/>
      <family val="2"/>
    </font>
    <font>
      <sz val="10"/>
      <name val="MS Sans Serif"/>
      <family val="2"/>
    </font>
    <font>
      <b/>
      <sz val="10"/>
      <color indexed="9"/>
      <name val="Arial"/>
      <family val="2"/>
    </font>
    <font>
      <sz val="7"/>
      <name val="Small Fonts"/>
      <family val="2"/>
    </font>
    <font>
      <sz val="8"/>
      <name val="Helv"/>
    </font>
    <font>
      <i/>
      <sz val="10"/>
      <name val="Times New Roman"/>
      <family val="1"/>
    </font>
    <font>
      <sz val="10"/>
      <name val="NewtonCTT"/>
    </font>
    <font>
      <sz val="10"/>
      <name val="Tms Rmn"/>
    </font>
    <font>
      <b/>
      <sz val="12"/>
      <color indexed="10"/>
      <name val="ARIAL"/>
      <family val="2"/>
    </font>
    <font>
      <sz val="9"/>
      <name val="Arial"/>
      <family val="2"/>
    </font>
    <font>
      <sz val="8"/>
      <name val="Wingdings"/>
      <charset val="2"/>
    </font>
    <font>
      <b/>
      <i/>
      <sz val="8"/>
      <name val="Arial"/>
      <family val="2"/>
    </font>
    <font>
      <b/>
      <sz val="8.25"/>
      <name val="Helv"/>
    </font>
    <font>
      <sz val="8"/>
      <name val="MS Sans Serif"/>
      <family val="2"/>
    </font>
    <font>
      <b/>
      <i/>
      <sz val="12"/>
      <color indexed="12"/>
      <name val="Arial"/>
      <family val="2"/>
    </font>
    <font>
      <b/>
      <sz val="8"/>
      <color indexed="8"/>
      <name val="Helv"/>
    </font>
    <font>
      <b/>
      <sz val="11"/>
      <name val="Times New Roman"/>
      <family val="1"/>
    </font>
    <font>
      <sz val="10"/>
      <name val="Arial Cyr"/>
    </font>
    <font>
      <sz val="12"/>
      <name val="Courier"/>
      <family val="3"/>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2"/>
      <name val="新細明體"/>
      <family val="1"/>
    </font>
    <font>
      <sz val="10"/>
      <name val="돋움"/>
      <family val="3"/>
      <charset val="129"/>
    </font>
    <font>
      <sz val="10"/>
      <name val="Arial Cyr"/>
      <family val="2"/>
      <charset val="204"/>
    </font>
    <font>
      <sz val="10"/>
      <name val="Tahoma"/>
      <family val="2"/>
      <charset val="204"/>
    </font>
    <font>
      <u/>
      <sz val="10"/>
      <color indexed="12"/>
      <name val="Arial Cyr"/>
      <family val="2"/>
      <charset val="204"/>
    </font>
    <font>
      <sz val="10"/>
      <name val="Arial"/>
      <family val="2"/>
      <charset val="204"/>
    </font>
    <font>
      <sz val="8"/>
      <name val="Times New Roman"/>
      <family val="1"/>
      <charset val="204"/>
    </font>
    <font>
      <sz val="12"/>
      <name val="Tms Rmn"/>
      <family val="1"/>
    </font>
    <font>
      <u/>
      <sz val="10"/>
      <color indexed="12"/>
      <name val="Arial CE"/>
      <family val="2"/>
      <charset val="238"/>
    </font>
    <font>
      <sz val="10"/>
      <name val="Tms Rmn"/>
      <family val="1"/>
    </font>
    <font>
      <sz val="8"/>
      <name val="Helv"/>
      <family val="2"/>
    </font>
    <font>
      <b/>
      <i/>
      <sz val="8"/>
      <name val="Arial"/>
      <family val="2"/>
      <charset val="204"/>
    </font>
    <font>
      <b/>
      <sz val="9"/>
      <name val="Arial"/>
      <family val="2"/>
      <charset val="204"/>
    </font>
    <font>
      <b/>
      <sz val="8"/>
      <color indexed="8"/>
      <name val="Helv"/>
      <family val="2"/>
    </font>
    <font>
      <b/>
      <sz val="15"/>
      <color indexed="56"/>
      <name val="Calibri"/>
      <family val="2"/>
    </font>
    <font>
      <b/>
      <sz val="13"/>
      <color indexed="56"/>
      <name val="Calibri"/>
      <family val="2"/>
    </font>
    <font>
      <b/>
      <sz val="11"/>
      <color indexed="8"/>
      <name val="Calibri"/>
      <family val="2"/>
    </font>
    <font>
      <b/>
      <sz val="18"/>
      <color indexed="56"/>
      <name val="Cambria"/>
      <family val="1"/>
    </font>
    <font>
      <sz val="12"/>
      <name val="新細明體"/>
      <family val="1"/>
      <charset val="136"/>
    </font>
    <font>
      <sz val="12"/>
      <color theme="1"/>
      <name val="Calibri"/>
      <family val="2"/>
      <charset val="136"/>
      <scheme val="minor"/>
    </font>
    <font>
      <u/>
      <sz val="10"/>
      <color indexed="12"/>
      <name val="Arial Cyr"/>
      <family val="2"/>
    </font>
    <font>
      <b/>
      <sz val="18"/>
      <color theme="3"/>
      <name val="Cambria"/>
      <family val="2"/>
      <charset val="136"/>
      <scheme val="major"/>
    </font>
    <font>
      <b/>
      <sz val="15"/>
      <color theme="3"/>
      <name val="Calibri"/>
      <family val="2"/>
      <charset val="136"/>
      <scheme val="minor"/>
    </font>
    <font>
      <b/>
      <sz val="13"/>
      <color theme="3"/>
      <name val="Calibri"/>
      <family val="2"/>
      <charset val="136"/>
      <scheme val="minor"/>
    </font>
    <font>
      <b/>
      <sz val="11"/>
      <color theme="3"/>
      <name val="Calibri"/>
      <family val="2"/>
      <charset val="136"/>
      <scheme val="minor"/>
    </font>
    <font>
      <sz val="12"/>
      <color rgb="FF006100"/>
      <name val="Calibri"/>
      <family val="2"/>
      <charset val="136"/>
      <scheme val="minor"/>
    </font>
    <font>
      <sz val="12"/>
      <color rgb="FF9C0006"/>
      <name val="Calibri"/>
      <family val="2"/>
      <charset val="136"/>
      <scheme val="minor"/>
    </font>
    <font>
      <sz val="12"/>
      <color rgb="FF9C6500"/>
      <name val="Calibri"/>
      <family val="2"/>
      <charset val="136"/>
      <scheme val="minor"/>
    </font>
    <font>
      <sz val="12"/>
      <color rgb="FF3F3F76"/>
      <name val="Calibri"/>
      <family val="2"/>
      <charset val="136"/>
      <scheme val="minor"/>
    </font>
    <font>
      <b/>
      <sz val="12"/>
      <color rgb="FF3F3F3F"/>
      <name val="Calibri"/>
      <family val="2"/>
      <charset val="136"/>
      <scheme val="minor"/>
    </font>
    <font>
      <b/>
      <sz val="12"/>
      <color rgb="FFFA7D00"/>
      <name val="Calibri"/>
      <family val="2"/>
      <charset val="136"/>
      <scheme val="minor"/>
    </font>
    <font>
      <sz val="12"/>
      <color rgb="FFFA7D00"/>
      <name val="Calibri"/>
      <family val="2"/>
      <charset val="136"/>
      <scheme val="minor"/>
    </font>
    <font>
      <b/>
      <sz val="12"/>
      <color theme="0"/>
      <name val="Calibri"/>
      <family val="2"/>
      <charset val="136"/>
      <scheme val="minor"/>
    </font>
    <font>
      <sz val="12"/>
      <color rgb="FFFF0000"/>
      <name val="Calibri"/>
      <family val="2"/>
      <charset val="136"/>
      <scheme val="minor"/>
    </font>
    <font>
      <i/>
      <sz val="12"/>
      <color rgb="FF7F7F7F"/>
      <name val="Calibri"/>
      <family val="2"/>
      <charset val="136"/>
      <scheme val="minor"/>
    </font>
    <font>
      <b/>
      <sz val="12"/>
      <color theme="1"/>
      <name val="Calibri"/>
      <family val="2"/>
      <charset val="136"/>
      <scheme val="minor"/>
    </font>
    <font>
      <sz val="12"/>
      <color theme="0"/>
      <name val="Calibri"/>
      <family val="2"/>
      <charset val="136"/>
      <scheme val="minor"/>
    </font>
    <font>
      <sz val="12"/>
      <color indexed="8"/>
      <name val="新細明體"/>
      <family val="1"/>
      <charset val="136"/>
    </font>
    <font>
      <sz val="12"/>
      <color indexed="9"/>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8"/>
      <color indexed="62"/>
      <name val="新細明體"/>
      <family val="1"/>
      <charset val="136"/>
    </font>
    <font>
      <b/>
      <sz val="15"/>
      <color indexed="62"/>
      <name val="新細明體"/>
      <family val="1"/>
      <charset val="136"/>
    </font>
    <font>
      <b/>
      <sz val="13"/>
      <color indexed="62"/>
      <name val="新細明體"/>
      <family val="1"/>
      <charset val="136"/>
    </font>
    <font>
      <b/>
      <sz val="11"/>
      <color indexed="62"/>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1"/>
      <color theme="1"/>
      <name val="Calibri"/>
      <family val="2"/>
      <charset val="134"/>
      <scheme val="minor"/>
    </font>
    <font>
      <b/>
      <sz val="18"/>
      <color theme="3"/>
      <name val="Cambria"/>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65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8"/>
      <color indexed="56"/>
      <name val="新細明體"/>
      <family val="1"/>
      <charset val="136"/>
    </font>
    <font>
      <b/>
      <sz val="11"/>
      <color indexed="8"/>
      <name val="新細明體"/>
      <family val="1"/>
      <charset val="136"/>
    </font>
    <font>
      <sz val="11"/>
      <color indexed="10"/>
      <name val="新細明體"/>
      <family val="1"/>
      <charset val="136"/>
    </font>
    <font>
      <sz val="12"/>
      <color indexed="8"/>
      <name val="新細明體"/>
      <family val="1"/>
    </font>
    <font>
      <sz val="12"/>
      <color indexed="9"/>
      <name val="新細明體"/>
      <family val="1"/>
    </font>
    <font>
      <sz val="12"/>
      <color indexed="60"/>
      <name val="新細明體"/>
      <family val="1"/>
    </font>
    <font>
      <b/>
      <sz val="12"/>
      <color indexed="8"/>
      <name val="新細明體"/>
      <family val="1"/>
    </font>
    <font>
      <sz val="12"/>
      <color indexed="17"/>
      <name val="新細明體"/>
      <family val="1"/>
    </font>
    <font>
      <b/>
      <sz val="12"/>
      <color indexed="52"/>
      <name val="新細明體"/>
      <family val="1"/>
    </font>
    <font>
      <sz val="12"/>
      <color indexed="52"/>
      <name val="新細明體"/>
      <family val="1"/>
    </font>
    <font>
      <i/>
      <sz val="12"/>
      <color indexed="23"/>
      <name val="新細明體"/>
      <family val="1"/>
    </font>
    <font>
      <b/>
      <sz val="18"/>
      <color indexed="56"/>
      <name val="新細明體"/>
      <family val="1"/>
    </font>
    <font>
      <b/>
      <sz val="15"/>
      <color indexed="56"/>
      <name val="新細明體"/>
      <family val="1"/>
    </font>
    <font>
      <b/>
      <sz val="13"/>
      <color indexed="56"/>
      <name val="新細明體"/>
      <family val="1"/>
    </font>
    <font>
      <b/>
      <sz val="11"/>
      <color indexed="56"/>
      <name val="新細明體"/>
      <family val="1"/>
    </font>
    <font>
      <sz val="12"/>
      <color indexed="62"/>
      <name val="新細明體"/>
      <family val="1"/>
    </font>
    <font>
      <b/>
      <sz val="12"/>
      <color indexed="63"/>
      <name val="新細明體"/>
      <family val="1"/>
    </font>
    <font>
      <b/>
      <sz val="12"/>
      <color indexed="9"/>
      <name val="新細明體"/>
      <family val="1"/>
    </font>
    <font>
      <sz val="12"/>
      <color indexed="20"/>
      <name val="新細明體"/>
      <family val="1"/>
    </font>
    <font>
      <sz val="12"/>
      <color indexed="10"/>
      <name val="新細明體"/>
      <family val="1"/>
    </font>
    <font>
      <sz val="12"/>
      <color theme="1"/>
      <name val="Calibri"/>
      <family val="1"/>
      <charset val="136"/>
      <scheme val="minor"/>
    </font>
    <font>
      <sz val="12"/>
      <color theme="0"/>
      <name val="Calibri"/>
      <family val="1"/>
      <charset val="136"/>
      <scheme val="minor"/>
    </font>
    <font>
      <sz val="12"/>
      <color rgb="FF9C6500"/>
      <name val="Calibri"/>
      <family val="1"/>
      <charset val="136"/>
      <scheme val="minor"/>
    </font>
    <font>
      <b/>
      <sz val="12"/>
      <color theme="1"/>
      <name val="Calibri"/>
      <family val="1"/>
      <charset val="136"/>
      <scheme val="minor"/>
    </font>
    <font>
      <sz val="12"/>
      <color rgb="FF006100"/>
      <name val="Calibri"/>
      <family val="1"/>
      <charset val="136"/>
      <scheme val="minor"/>
    </font>
    <font>
      <b/>
      <sz val="12"/>
      <color rgb="FFFA7D00"/>
      <name val="Calibri"/>
      <family val="1"/>
      <charset val="136"/>
      <scheme val="minor"/>
    </font>
    <font>
      <sz val="12"/>
      <color rgb="FFFA7D00"/>
      <name val="Calibri"/>
      <family val="1"/>
      <charset val="136"/>
      <scheme val="minor"/>
    </font>
    <font>
      <i/>
      <sz val="12"/>
      <color rgb="FF7F7F7F"/>
      <name val="Calibri"/>
      <family val="1"/>
      <charset val="136"/>
      <scheme val="minor"/>
    </font>
    <font>
      <b/>
      <sz val="18"/>
      <color theme="3"/>
      <name val="Cambria"/>
      <family val="1"/>
      <charset val="136"/>
      <scheme val="maj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sz val="12"/>
      <color rgb="FF3F3F76"/>
      <name val="Calibri"/>
      <family val="1"/>
      <charset val="136"/>
      <scheme val="minor"/>
    </font>
    <font>
      <b/>
      <sz val="12"/>
      <color rgb="FF3F3F3F"/>
      <name val="Calibri"/>
      <family val="1"/>
      <charset val="136"/>
      <scheme val="minor"/>
    </font>
    <font>
      <b/>
      <sz val="12"/>
      <color theme="0"/>
      <name val="Calibri"/>
      <family val="1"/>
      <charset val="136"/>
      <scheme val="minor"/>
    </font>
    <font>
      <sz val="12"/>
      <color rgb="FF9C0006"/>
      <name val="Calibri"/>
      <family val="1"/>
      <charset val="136"/>
      <scheme val="minor"/>
    </font>
    <font>
      <sz val="12"/>
      <color rgb="FFFF0000"/>
      <name val="Calibri"/>
      <family val="1"/>
      <charset val="136"/>
      <scheme val="minor"/>
    </font>
    <font>
      <u/>
      <sz val="11"/>
      <color theme="10"/>
      <name val="Calibri"/>
      <family val="2"/>
    </font>
    <font>
      <sz val="12"/>
      <color theme="1"/>
      <name val="Calibri"/>
      <family val="2"/>
      <scheme val="minor"/>
    </font>
    <font>
      <sz val="10"/>
      <name val="Helv"/>
      <family val="2"/>
      <charset val="204"/>
    </font>
    <font>
      <sz val="10"/>
      <name val="Geneva"/>
      <family val="2"/>
    </font>
    <font>
      <sz val="8"/>
      <name val="Tahoma"/>
      <family val="2"/>
    </font>
    <font>
      <sz val="8"/>
      <color theme="1"/>
      <name val="Calibri"/>
      <family val="2"/>
      <scheme val="minor"/>
    </font>
    <font>
      <b/>
      <sz val="8"/>
      <color theme="0"/>
      <name val="Calibri"/>
      <family val="2"/>
      <scheme val="minor"/>
    </font>
    <font>
      <b/>
      <sz val="8"/>
      <color rgb="FFFF0000"/>
      <name val="Calibri"/>
      <family val="2"/>
      <scheme val="minor"/>
    </font>
    <font>
      <b/>
      <sz val="8"/>
      <color theme="1"/>
      <name val="Calibri"/>
      <family val="2"/>
      <scheme val="minor"/>
    </font>
    <font>
      <b/>
      <sz val="8"/>
      <color rgb="FFC00000"/>
      <name val="Calibri"/>
      <family val="2"/>
      <scheme val="minor"/>
    </font>
    <font>
      <sz val="9"/>
      <color indexed="81"/>
      <name val="Tahoma"/>
      <family val="2"/>
    </font>
    <font>
      <b/>
      <sz val="9"/>
      <color indexed="81"/>
      <name val="Tahoma"/>
      <family val="2"/>
    </font>
    <font>
      <sz val="8"/>
      <color rgb="FF000000"/>
      <name val="Calibri"/>
      <family val="2"/>
      <scheme val="minor"/>
    </font>
    <font>
      <sz val="8"/>
      <color rgb="FFFF0000"/>
      <name val="Calibri"/>
      <family val="2"/>
      <scheme val="minor"/>
    </font>
    <font>
      <b/>
      <sz val="10"/>
      <color theme="0"/>
      <name val="Arial"/>
      <family val="2"/>
    </font>
    <font>
      <b/>
      <sz val="14"/>
      <color rgb="FFFFFF00"/>
      <name val="Arial"/>
      <family val="2"/>
    </font>
    <font>
      <b/>
      <sz val="14"/>
      <color theme="0"/>
      <name val="Arial"/>
      <family val="2"/>
    </font>
    <font>
      <b/>
      <sz val="14"/>
      <color theme="0"/>
      <name val="Calibri"/>
      <family val="2"/>
      <scheme val="minor"/>
    </font>
    <font>
      <b/>
      <sz val="10"/>
      <color theme="0"/>
      <name val="Calibri"/>
      <family val="2"/>
      <scheme val="minor"/>
    </font>
    <font>
      <sz val="10"/>
      <color theme="0"/>
      <name val="Calibri"/>
      <family val="2"/>
      <scheme val="minor"/>
    </font>
    <font>
      <sz val="10"/>
      <color theme="1"/>
      <name val="Calibri"/>
      <family val="2"/>
      <scheme val="minor"/>
    </font>
    <font>
      <b/>
      <sz val="10"/>
      <color theme="1"/>
      <name val="Calibri"/>
      <family val="2"/>
      <scheme val="minor"/>
    </font>
    <font>
      <b/>
      <sz val="10"/>
      <color rgb="FFFF0000"/>
      <name val="Calibri"/>
      <family val="2"/>
      <scheme val="minor"/>
    </font>
    <font>
      <u/>
      <sz val="20"/>
      <color indexed="12"/>
      <name val="Arial"/>
      <family val="2"/>
    </font>
    <font>
      <b/>
      <sz val="18"/>
      <color theme="0"/>
      <name val="Arial"/>
      <family val="2"/>
    </font>
    <font>
      <b/>
      <sz val="18"/>
      <color theme="0"/>
      <name val="Calibri"/>
      <family val="2"/>
      <scheme val="minor"/>
    </font>
    <font>
      <sz val="18"/>
      <color rgb="FFFF0000"/>
      <name val="Arial"/>
      <family val="2"/>
    </font>
    <font>
      <sz val="8"/>
      <color theme="0"/>
      <name val="Calibri"/>
      <family val="2"/>
      <scheme val="minor"/>
    </font>
  </fonts>
  <fills count="79">
    <fill>
      <patternFill patternType="none"/>
    </fill>
    <fill>
      <patternFill patternType="gray125"/>
    </fill>
    <fill>
      <patternFill patternType="solid">
        <fgColor theme="0"/>
        <bgColor indexed="64"/>
      </patternFill>
    </fill>
    <fill>
      <patternFill patternType="solid">
        <fgColor indexed="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12"/>
        <bgColor indexed="64"/>
      </patternFill>
    </fill>
    <fill>
      <patternFill patternType="solid">
        <fgColor indexed="10"/>
        <bgColor indexed="64"/>
      </patternFill>
    </fill>
    <fill>
      <patternFill patternType="solid">
        <fgColor indexed="43"/>
      </patternFill>
    </fill>
    <fill>
      <patternFill patternType="mediumGray">
        <fgColor indexed="22"/>
      </patternFill>
    </fill>
    <fill>
      <patternFill patternType="darkVertical"/>
    </fill>
    <fill>
      <patternFill patternType="darkGray">
        <fgColor indexed="15"/>
      </patternFill>
    </fill>
    <fill>
      <patternFill patternType="solid">
        <fgColor indexed="26"/>
      </patternFill>
    </fill>
    <fill>
      <patternFill patternType="solid">
        <fgColor indexed="9"/>
      </patternFill>
    </fill>
    <fill>
      <patternFill patternType="solid">
        <fgColor indexed="54"/>
      </patternFill>
    </fill>
    <fill>
      <patternFill patternType="solid">
        <fgColor theme="3" tint="0.39997558519241921"/>
        <bgColor indexed="64"/>
      </patternFill>
    </fill>
    <fill>
      <patternFill patternType="solid">
        <fgColor theme="1"/>
        <bgColor indexed="64"/>
      </patternFill>
    </fill>
    <fill>
      <patternFill patternType="solid">
        <fgColor theme="1" tint="0.249977111117893"/>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5"/>
        <bgColor indexed="64"/>
      </patternFill>
    </fill>
    <fill>
      <patternFill patternType="solid">
        <fgColor theme="4" tint="-0.249977111117893"/>
        <bgColor indexed="64"/>
      </patternFill>
    </fill>
    <fill>
      <patternFill patternType="solid">
        <fgColor theme="1" tint="4.9989318521683403E-2"/>
        <bgColor indexed="64"/>
      </patternFill>
    </fill>
    <fill>
      <patternFill patternType="solid">
        <fgColor rgb="FFFFFF00"/>
        <bgColor indexed="64"/>
      </patternFill>
    </fill>
    <fill>
      <patternFill patternType="solid">
        <fgColor theme="3" tint="-0.249977111117893"/>
        <bgColor indexed="64"/>
      </patternFill>
    </fill>
    <fill>
      <patternFill patternType="solid">
        <fgColor rgb="FF92D05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30"/>
      </bottom>
      <diagonal/>
    </border>
    <border>
      <left style="thin">
        <color indexed="64"/>
      </left>
      <right/>
      <top style="thin">
        <color indexed="64"/>
      </top>
      <bottom style="thin">
        <color indexed="64"/>
      </bottom>
      <diagonal/>
    </border>
    <border>
      <left/>
      <right/>
      <top/>
      <bottom style="medium">
        <color indexed="64"/>
      </bottom>
      <diagonal/>
    </border>
    <border>
      <left/>
      <right/>
      <top/>
      <bottom style="double">
        <color indexed="52"/>
      </bottom>
      <diagonal/>
    </border>
    <border>
      <left/>
      <right/>
      <top style="thick">
        <color indexed="64"/>
      </top>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bottom style="double">
        <color indexed="64"/>
      </bottom>
      <diagonal/>
    </border>
    <border>
      <left style="hair">
        <color indexed="64"/>
      </left>
      <right style="hair">
        <color indexed="64"/>
      </right>
      <top style="double">
        <color indexed="64"/>
      </top>
      <bottom/>
      <diagonal/>
    </border>
    <border>
      <left/>
      <right/>
      <top style="double">
        <color indexed="64"/>
      </top>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right/>
      <top/>
      <bottom style="thin">
        <color theme="0"/>
      </bottom>
      <diagonal/>
    </border>
    <border>
      <left/>
      <right/>
      <top/>
      <bottom style="medium">
        <color rgb="FFC00000"/>
      </bottom>
      <diagonal/>
    </border>
    <border>
      <left/>
      <right style="medium">
        <color rgb="FFC00000"/>
      </right>
      <top/>
      <bottom/>
      <diagonal/>
    </border>
    <border>
      <left/>
      <right style="medium">
        <color rgb="FFC00000"/>
      </right>
      <top/>
      <bottom style="medium">
        <color rgb="FFC00000"/>
      </bottom>
      <diagonal/>
    </border>
    <border>
      <left style="thin">
        <color rgb="FFFF0000"/>
      </left>
      <right style="thin">
        <color rgb="FFFF0000"/>
      </right>
      <top style="thin">
        <color rgb="FFFF0000"/>
      </top>
      <bottom/>
      <diagonal/>
    </border>
    <border>
      <left style="medium">
        <color rgb="FFC00000"/>
      </left>
      <right style="thin">
        <color rgb="FFFF0000"/>
      </right>
      <top/>
      <bottom/>
      <diagonal/>
    </border>
    <border>
      <left style="medium">
        <color rgb="FFC00000"/>
      </left>
      <right style="thin">
        <color rgb="FFFF0000"/>
      </right>
      <top/>
      <bottom style="medium">
        <color rgb="FFC00000"/>
      </bottom>
      <diagonal/>
    </border>
    <border>
      <left style="thin">
        <color rgb="FFFF0000"/>
      </left>
      <right style="thin">
        <color rgb="FFFF0000"/>
      </right>
      <top/>
      <bottom style="medium">
        <color rgb="FFFF0000"/>
      </bottom>
      <diagonal/>
    </border>
    <border>
      <left/>
      <right style="thin">
        <color rgb="FFFF0000"/>
      </right>
      <top/>
      <bottom/>
      <diagonal/>
    </border>
    <border>
      <left/>
      <right style="thin">
        <color rgb="FFFF0000"/>
      </right>
      <top style="medium">
        <color rgb="FFC00000"/>
      </top>
      <bottom/>
      <diagonal/>
    </border>
    <border>
      <left style="thin">
        <color rgb="FFFF0000"/>
      </left>
      <right style="thin">
        <color rgb="FFFF0000"/>
      </right>
      <top/>
      <bottom/>
      <diagonal/>
    </border>
    <border>
      <left style="thin">
        <color rgb="FFFF0000"/>
      </left>
      <right style="thin">
        <color rgb="FFFF0000"/>
      </right>
      <top style="medium">
        <color rgb="FFFF0000"/>
      </top>
      <bottom/>
      <diagonal/>
    </border>
  </borders>
  <cellStyleXfs count="43395">
    <xf numFmtId="0" fontId="0" fillId="0" borderId="0"/>
    <xf numFmtId="0" fontId="1" fillId="3" borderId="0" applyNumberFormat="0" applyBorder="0" applyAlignment="0" applyProtection="0">
      <alignment vertical="center"/>
    </xf>
    <xf numFmtId="0" fontId="3"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4" borderId="0" applyNumberFormat="0" applyBorder="0" applyAlignment="0" applyProtection="0"/>
    <xf numFmtId="0" fontId="8" fillId="5" borderId="0" applyNumberFormat="0" applyBorder="0" applyAlignment="0" applyProtection="0"/>
    <xf numFmtId="0" fontId="9" fillId="6" borderId="0" applyNumberFormat="0" applyBorder="0" applyAlignment="0" applyProtection="0"/>
    <xf numFmtId="0" fontId="10" fillId="7" borderId="5" applyNumberFormat="0" applyAlignment="0" applyProtection="0"/>
    <xf numFmtId="0" fontId="11" fillId="8" borderId="6" applyNumberFormat="0" applyAlignment="0" applyProtection="0"/>
    <xf numFmtId="0" fontId="12" fillId="8" borderId="5" applyNumberFormat="0" applyAlignment="0" applyProtection="0"/>
    <xf numFmtId="0" fontId="13" fillId="0" borderId="7" applyNumberFormat="0" applyFill="0" applyAlignment="0" applyProtection="0"/>
    <xf numFmtId="0" fontId="14" fillId="9" borderId="8" applyNumberFormat="0" applyAlignment="0" applyProtection="0"/>
    <xf numFmtId="0" fontId="15" fillId="0" borderId="0" applyNumberFormat="0" applyFill="0" applyBorder="0" applyAlignment="0" applyProtection="0"/>
    <xf numFmtId="0" fontId="2" fillId="10" borderId="9" applyNumberFormat="0" applyFont="0" applyAlignment="0" applyProtection="0"/>
    <xf numFmtId="0" fontId="16" fillId="0" borderId="0" applyNumberFormat="0" applyFill="0" applyBorder="0" applyAlignment="0" applyProtection="0"/>
    <xf numFmtId="0" fontId="17" fillId="0" borderId="10" applyNumberFormat="0" applyFill="0" applyAlignment="0" applyProtection="0"/>
    <xf numFmtId="0" fontId="18"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8" fillId="34" borderId="0" applyNumberFormat="0" applyBorder="0" applyAlignment="0" applyProtection="0"/>
    <xf numFmtId="210" fontId="20" fillId="0" borderId="0" applyFont="0" applyFill="0" applyBorder="0" applyAlignment="0" applyProtection="0"/>
    <xf numFmtId="210" fontId="20" fillId="0" borderId="0"/>
    <xf numFmtId="210" fontId="20" fillId="0" borderId="0" applyNumberFormat="0" applyFill="0" applyBorder="0" applyAlignment="0" applyProtection="0"/>
    <xf numFmtId="210" fontId="26" fillId="0" borderId="0"/>
    <xf numFmtId="210" fontId="27" fillId="0" borderId="0"/>
    <xf numFmtId="170" fontId="20" fillId="0" borderId="0" applyFont="0" applyFill="0" applyBorder="0" applyAlignment="0" applyProtection="0"/>
    <xf numFmtId="183" fontId="20" fillId="0" borderId="0" applyFont="0" applyFill="0" applyBorder="0" applyAlignment="0" applyProtection="0"/>
    <xf numFmtId="210" fontId="25" fillId="0" borderId="0"/>
    <xf numFmtId="210" fontId="20" fillId="0" borderId="0" applyNumberFormat="0" applyFill="0" applyBorder="0" applyAlignment="0" applyProtection="0"/>
    <xf numFmtId="210" fontId="26" fillId="0" borderId="0"/>
    <xf numFmtId="210" fontId="20" fillId="0" borderId="0" applyNumberFormat="0" applyFill="0" applyBorder="0" applyAlignment="0" applyProtection="0"/>
    <xf numFmtId="210" fontId="19" fillId="0" borderId="0">
      <alignment vertical="center"/>
    </xf>
    <xf numFmtId="210" fontId="26" fillId="0" borderId="0"/>
    <xf numFmtId="210" fontId="20" fillId="0" borderId="0" applyFont="0" applyFill="0" applyBorder="0" applyAlignment="0" applyProtection="0"/>
    <xf numFmtId="169" fontId="20" fillId="0" borderId="0" applyFont="0" applyFill="0" applyBorder="0" applyAlignment="0" applyProtection="0"/>
    <xf numFmtId="184" fontId="20" fillId="0" borderId="0" applyFont="0" applyFill="0" applyBorder="0" applyAlignment="0" applyProtection="0"/>
    <xf numFmtId="210" fontId="26" fillId="0" borderId="0"/>
    <xf numFmtId="210" fontId="25" fillId="0" borderId="0"/>
    <xf numFmtId="210" fontId="24" fillId="0" borderId="0"/>
    <xf numFmtId="210" fontId="27" fillId="0" borderId="0"/>
    <xf numFmtId="210" fontId="24" fillId="0" borderId="0"/>
    <xf numFmtId="210" fontId="27" fillId="0" borderId="0"/>
    <xf numFmtId="210" fontId="26" fillId="0" borderId="0"/>
    <xf numFmtId="210" fontId="24" fillId="0" borderId="0"/>
    <xf numFmtId="210" fontId="25" fillId="0" borderId="0"/>
    <xf numFmtId="210" fontId="25" fillId="0" borderId="0"/>
    <xf numFmtId="210" fontId="25" fillId="0" borderId="0"/>
    <xf numFmtId="210" fontId="26" fillId="0" borderId="0"/>
    <xf numFmtId="210" fontId="24" fillId="0" borderId="0"/>
    <xf numFmtId="210" fontId="24" fillId="0" borderId="0"/>
    <xf numFmtId="210" fontId="20" fillId="0" borderId="0"/>
    <xf numFmtId="210" fontId="25" fillId="0" borderId="0"/>
    <xf numFmtId="210" fontId="25" fillId="0" borderId="0"/>
    <xf numFmtId="210" fontId="27" fillId="0" borderId="0"/>
    <xf numFmtId="210" fontId="25" fillId="0" borderId="0"/>
    <xf numFmtId="210" fontId="26" fillId="0" borderId="0"/>
    <xf numFmtId="210" fontId="28" fillId="0" borderId="0"/>
    <xf numFmtId="210" fontId="24" fillId="0" borderId="0"/>
    <xf numFmtId="210" fontId="24" fillId="0" borderId="0"/>
    <xf numFmtId="210" fontId="24" fillId="0" borderId="0"/>
    <xf numFmtId="210" fontId="26"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4" fillId="0" borderId="0"/>
    <xf numFmtId="210" fontId="28" fillId="0" borderId="0"/>
    <xf numFmtId="210" fontId="28" fillId="0" borderId="0"/>
    <xf numFmtId="210" fontId="27" fillId="0" borderId="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210" fontId="28" fillId="0" borderId="0"/>
    <xf numFmtId="210" fontId="24" fillId="0" borderId="0"/>
    <xf numFmtId="210" fontId="27" fillId="0" borderId="0"/>
    <xf numFmtId="210" fontId="28" fillId="0" borderId="0"/>
    <xf numFmtId="210" fontId="26" fillId="0" borderId="0"/>
    <xf numFmtId="210" fontId="27" fillId="0" borderId="0"/>
    <xf numFmtId="210" fontId="27" fillId="0" borderId="0"/>
    <xf numFmtId="210" fontId="27" fillId="0" borderId="0"/>
    <xf numFmtId="210" fontId="26" fillId="0" borderId="0"/>
    <xf numFmtId="210" fontId="27" fillId="0" borderId="0"/>
    <xf numFmtId="210" fontId="26" fillId="0" borderId="0"/>
    <xf numFmtId="210" fontId="26" fillId="0" borderId="0"/>
    <xf numFmtId="210" fontId="27" fillId="0" borderId="0"/>
    <xf numFmtId="210" fontId="20" fillId="0" borderId="0" applyFont="0" applyFill="0" applyBorder="0" applyAlignment="0" applyProtection="0"/>
    <xf numFmtId="210" fontId="20" fillId="0" borderId="0" applyFont="0" applyFill="0" applyBorder="0" applyAlignment="0" applyProtection="0"/>
    <xf numFmtId="210" fontId="20" fillId="0" borderId="0"/>
    <xf numFmtId="210" fontId="29" fillId="0" borderId="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5"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6"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7"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8" borderId="0" applyNumberFormat="0" applyBorder="0" applyAlignment="0" applyProtection="0"/>
    <xf numFmtId="210" fontId="71" fillId="39" borderId="0" applyNumberFormat="0" applyBorder="0" applyAlignment="0" applyProtection="0"/>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71" fillId="40" borderId="0" applyNumberFormat="0" applyBorder="0" applyAlignment="0" applyProtection="0"/>
    <xf numFmtId="210" fontId="71" fillId="41" borderId="0" applyNumberFormat="0" applyBorder="0" applyAlignment="0" applyProtection="0"/>
    <xf numFmtId="210" fontId="71" fillId="42" borderId="0" applyNumberFormat="0" applyBorder="0" applyAlignment="0" applyProtection="0"/>
    <xf numFmtId="210" fontId="71" fillId="37" borderId="0" applyNumberFormat="0" applyBorder="0" applyAlignment="0" applyProtection="0"/>
    <xf numFmtId="210" fontId="71" fillId="40" borderId="0" applyNumberFormat="0" applyBorder="0" applyAlignment="0" applyProtection="0"/>
    <xf numFmtId="210" fontId="71" fillId="43" borderId="0" applyNumberFormat="0" applyBorder="0" applyAlignment="0" applyProtection="0"/>
    <xf numFmtId="210" fontId="72" fillId="44" borderId="0" applyNumberFormat="0" applyBorder="0" applyAlignment="0" applyProtection="0"/>
    <xf numFmtId="210" fontId="72" fillId="41" borderId="0" applyNumberFormat="0" applyBorder="0" applyAlignment="0" applyProtection="0"/>
    <xf numFmtId="210" fontId="72" fillId="42" borderId="0" applyNumberFormat="0" applyBorder="0" applyAlignment="0" applyProtection="0"/>
    <xf numFmtId="210" fontId="72" fillId="45" borderId="0" applyNumberFormat="0" applyBorder="0" applyAlignment="0" applyProtection="0"/>
    <xf numFmtId="210" fontId="72" fillId="46" borderId="0" applyNumberFormat="0" applyBorder="0" applyAlignment="0" applyProtection="0"/>
    <xf numFmtId="210" fontId="72" fillId="47" borderId="0" applyNumberFormat="0" applyBorder="0" applyAlignment="0" applyProtection="0"/>
    <xf numFmtId="210" fontId="30" fillId="48" borderId="1" applyNumberFormat="0" applyFont="0" applyAlignment="0" applyProtection="0">
      <alignment horizontal="left" vertical="top"/>
    </xf>
    <xf numFmtId="169" fontId="20" fillId="0" borderId="0" applyFont="0" applyFill="0" applyBorder="0" applyAlignment="0" applyProtection="0"/>
    <xf numFmtId="170" fontId="20" fillId="0" borderId="0" applyFont="0" applyFill="0" applyBorder="0" applyAlignment="0" applyProtection="0"/>
    <xf numFmtId="210" fontId="72" fillId="49" borderId="0" applyNumberFormat="0" applyBorder="0" applyAlignment="0" applyProtection="0"/>
    <xf numFmtId="210" fontId="72" fillId="50" borderId="0" applyNumberFormat="0" applyBorder="0" applyAlignment="0" applyProtection="0"/>
    <xf numFmtId="210" fontId="72" fillId="51" borderId="0" applyNumberFormat="0" applyBorder="0" applyAlignment="0" applyProtection="0"/>
    <xf numFmtId="210" fontId="72" fillId="45" borderId="0" applyNumberFormat="0" applyBorder="0" applyAlignment="0" applyProtection="0"/>
    <xf numFmtId="210" fontId="72" fillId="46" borderId="0" applyNumberFormat="0" applyBorder="0" applyAlignment="0" applyProtection="0"/>
    <xf numFmtId="210" fontId="72" fillId="52" borderId="0" applyNumberFormat="0" applyBorder="0" applyAlignment="0" applyProtection="0"/>
    <xf numFmtId="210" fontId="31" fillId="0" borderId="0">
      <alignment horizontal="center" wrapText="1"/>
      <protection locked="0"/>
    </xf>
    <xf numFmtId="210" fontId="73" fillId="36" borderId="0" applyNumberFormat="0" applyBorder="0" applyAlignment="0" applyProtection="0"/>
    <xf numFmtId="210" fontId="32" fillId="0" borderId="0" applyNumberFormat="0" applyFill="0" applyBorder="0" applyAlignment="0" applyProtection="0"/>
    <xf numFmtId="210" fontId="21" fillId="0" borderId="0">
      <alignment vertical="top"/>
    </xf>
    <xf numFmtId="210" fontId="21" fillId="0" borderId="0">
      <alignment vertical="top"/>
    </xf>
    <xf numFmtId="210" fontId="21" fillId="0" borderId="0">
      <alignment vertical="top"/>
    </xf>
    <xf numFmtId="210" fontId="21" fillId="0" borderId="0">
      <alignment vertical="top"/>
    </xf>
    <xf numFmtId="210" fontId="20" fillId="0" borderId="0" applyFill="0" applyBorder="0" applyAlignment="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172" fontId="20" fillId="0" borderId="0" applyFill="0" applyBorder="0" applyAlignment="0"/>
    <xf numFmtId="172" fontId="20" fillId="0" borderId="0" applyFill="0" applyBorder="0" applyAlignment="0"/>
    <xf numFmtId="172" fontId="20" fillId="0" borderId="0" applyFill="0" applyBorder="0" applyAlignment="0"/>
    <xf numFmtId="173" fontId="20" fillId="0" borderId="0" applyFill="0" applyBorder="0" applyAlignment="0"/>
    <xf numFmtId="173" fontId="20" fillId="0" borderId="0" applyFill="0" applyBorder="0" applyAlignment="0"/>
    <xf numFmtId="173" fontId="20" fillId="0" borderId="0" applyFill="0" applyBorder="0" applyAlignment="0"/>
    <xf numFmtId="174" fontId="20" fillId="0" borderId="0" applyFill="0" applyBorder="0" applyAlignment="0"/>
    <xf numFmtId="174" fontId="20" fillId="0" borderId="0" applyFill="0" applyBorder="0" applyAlignment="0"/>
    <xf numFmtId="174" fontId="20" fillId="0" borderId="0" applyFill="0" applyBorder="0" applyAlignment="0"/>
    <xf numFmtId="210"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210" fontId="74" fillId="53" borderId="11" applyNumberFormat="0" applyAlignment="0" applyProtection="0"/>
    <xf numFmtId="210" fontId="75" fillId="54" borderId="12" applyNumberFormat="0" applyAlignment="0" applyProtection="0"/>
    <xf numFmtId="168" fontId="20" fillId="0" borderId="0" applyFont="0" applyFill="0" applyBorder="0" applyAlignment="0" applyProtection="0"/>
    <xf numFmtId="210" fontId="20" fillId="0" borderId="0" applyFont="0" applyFill="0" applyBorder="0" applyAlignment="0" applyProtection="0"/>
    <xf numFmtId="210" fontId="20" fillId="0" borderId="0" applyFont="0" applyFill="0" applyBorder="0" applyAlignment="0" applyProtection="0"/>
    <xf numFmtId="210" fontId="20" fillId="0" borderId="0" applyFont="0" applyFill="0" applyBorder="0" applyAlignment="0" applyProtection="0"/>
    <xf numFmtId="176" fontId="20" fillId="0" borderId="0">
      <protection locked="0"/>
    </xf>
    <xf numFmtId="176" fontId="20" fillId="0" borderId="0">
      <protection locked="0"/>
    </xf>
    <xf numFmtId="176" fontId="20" fillId="0" borderId="0">
      <protection locked="0"/>
    </xf>
    <xf numFmtId="210" fontId="34" fillId="0" borderId="0" applyNumberFormat="0" applyAlignment="0">
      <alignment horizontal="left"/>
    </xf>
    <xf numFmtId="210" fontId="35" fillId="0" borderId="0" applyNumberFormat="0" applyAlignment="0"/>
    <xf numFmtId="197" fontId="36" fillId="0" borderId="1"/>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4" fontId="22" fillId="0" borderId="0" applyFill="0" applyBorder="0" applyAlignment="0"/>
    <xf numFmtId="210" fontId="20" fillId="0" borderId="0" applyFont="0" applyFill="0" applyBorder="0" applyAlignment="0" applyProtection="0"/>
    <xf numFmtId="177" fontId="20" fillId="0" borderId="0" applyFont="0" applyFill="0" applyBorder="0" applyAlignment="0" applyProtection="0"/>
    <xf numFmtId="43" fontId="20" fillId="0" borderId="0" applyFont="0" applyFill="0" applyBorder="0" applyAlignment="0" applyProtection="0"/>
    <xf numFmtId="198" fontId="37" fillId="0" borderId="0" applyFont="0" applyFill="0" applyBorder="0" applyAlignment="0" applyProtection="0"/>
    <xf numFmtId="199" fontId="37" fillId="0" borderId="0" applyFont="0" applyFill="0" applyBorder="0" applyAlignment="0" applyProtection="0"/>
    <xf numFmtId="210" fontId="20" fillId="0" borderId="0" applyFill="0" applyBorder="0" applyAlignment="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210" fontId="38" fillId="0" borderId="0" applyNumberFormat="0" applyAlignment="0">
      <alignment horizontal="left"/>
    </xf>
    <xf numFmtId="210" fontId="20" fillId="0" borderId="0" applyFont="0" applyFill="0" applyBorder="0" applyAlignment="0" applyProtection="0"/>
    <xf numFmtId="210" fontId="20" fillId="0" borderId="0" applyFont="0" applyFill="0" applyBorder="0" applyAlignment="0" applyProtection="0"/>
    <xf numFmtId="210" fontId="20" fillId="0" borderId="0" applyFont="0" applyFill="0" applyBorder="0" applyAlignment="0" applyProtection="0"/>
    <xf numFmtId="210" fontId="76" fillId="0" borderId="0" applyNumberFormat="0" applyFill="0" applyBorder="0" applyAlignment="0" applyProtection="0"/>
    <xf numFmtId="176" fontId="20" fillId="0" borderId="0">
      <protection locked="0"/>
    </xf>
    <xf numFmtId="176" fontId="20" fillId="0" borderId="0">
      <protection locked="0"/>
    </xf>
    <xf numFmtId="176" fontId="20" fillId="0" borderId="0">
      <protection locked="0"/>
    </xf>
    <xf numFmtId="210" fontId="39" fillId="0" borderId="0"/>
    <xf numFmtId="210" fontId="77" fillId="3" borderId="0" applyNumberFormat="0" applyBorder="0" applyAlignment="0" applyProtection="0"/>
    <xf numFmtId="38" fontId="21" fillId="55" borderId="0" applyNumberFormat="0" applyBorder="0" applyAlignment="0" applyProtection="0"/>
    <xf numFmtId="38" fontId="21" fillId="55" borderId="0" applyNumberFormat="0" applyBorder="0" applyAlignment="0" applyProtection="0"/>
    <xf numFmtId="38" fontId="21" fillId="55" borderId="0" applyNumberFormat="0" applyBorder="0" applyAlignment="0" applyProtection="0"/>
    <xf numFmtId="38" fontId="21" fillId="55" borderId="0" applyNumberFormat="0" applyBorder="0" applyAlignment="0" applyProtection="0"/>
    <xf numFmtId="167" fontId="20" fillId="0" borderId="1" applyNumberFormat="0" applyFont="0" applyFill="0" applyProtection="0">
      <alignment wrapText="1"/>
    </xf>
    <xf numFmtId="167" fontId="20" fillId="0" borderId="1" applyNumberFormat="0" applyFont="0" applyFill="0" applyProtection="0">
      <alignment wrapText="1"/>
    </xf>
    <xf numFmtId="167" fontId="20" fillId="0" borderId="1" applyNumberFormat="0" applyFont="0" applyFill="0" applyProtection="0">
      <alignment wrapText="1"/>
    </xf>
    <xf numFmtId="210" fontId="40" fillId="48" borderId="13" applyNumberFormat="0" applyFont="0" applyFill="0" applyProtection="0">
      <alignment wrapText="1"/>
    </xf>
    <xf numFmtId="210" fontId="41" fillId="0" borderId="14" applyNumberFormat="0" applyAlignment="0" applyProtection="0">
      <alignment horizontal="left" vertical="center"/>
    </xf>
    <xf numFmtId="210" fontId="41" fillId="0" borderId="13">
      <alignment horizontal="left" vertical="center"/>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210" fontId="78" fillId="0" borderId="15" applyNumberFormat="0" applyFill="0" applyAlignment="0" applyProtection="0"/>
    <xf numFmtId="210" fontId="78" fillId="0" borderId="0" applyNumberFormat="0" applyFill="0" applyBorder="0" applyAlignment="0" applyProtection="0"/>
    <xf numFmtId="210" fontId="42" fillId="0" borderId="0"/>
    <xf numFmtId="3" fontId="43" fillId="0" borderId="0">
      <alignment vertical="top"/>
    </xf>
    <xf numFmtId="2" fontId="44" fillId="1" borderId="16">
      <alignment horizontal="left"/>
      <protection locked="0"/>
    </xf>
    <xf numFmtId="210" fontId="45" fillId="0" borderId="0"/>
    <xf numFmtId="210" fontId="46" fillId="0" borderId="17">
      <alignment horizontal="center"/>
    </xf>
    <xf numFmtId="210" fontId="46" fillId="0" borderId="0">
      <alignment horizontal="center"/>
    </xf>
    <xf numFmtId="210" fontId="47" fillId="0" borderId="0" applyNumberFormat="0" applyFill="0" applyBorder="0" applyAlignment="0" applyProtection="0">
      <alignment vertical="top"/>
      <protection locked="0"/>
    </xf>
    <xf numFmtId="210" fontId="47" fillId="0" borderId="0" applyNumberFormat="0" applyFill="0" applyBorder="0" applyAlignment="0" applyProtection="0">
      <alignment vertical="top"/>
      <protection locked="0"/>
    </xf>
    <xf numFmtId="2" fontId="48" fillId="0" borderId="1">
      <alignment horizontal="center" vertical="center"/>
    </xf>
    <xf numFmtId="210" fontId="49" fillId="0" borderId="0" applyNumberFormat="0" applyFill="0" applyBorder="0" applyAlignment="0" applyProtection="0">
      <alignment vertical="top"/>
      <protection locked="0"/>
    </xf>
    <xf numFmtId="1" fontId="50" fillId="0" borderId="0"/>
    <xf numFmtId="210" fontId="20" fillId="0" borderId="0"/>
    <xf numFmtId="210" fontId="79" fillId="39" borderId="11" applyNumberFormat="0" applyAlignment="0" applyProtection="0"/>
    <xf numFmtId="10" fontId="21" fillId="56" borderId="1" applyNumberFormat="0" applyBorder="0" applyAlignment="0" applyProtection="0"/>
    <xf numFmtId="10" fontId="21" fillId="56" borderId="1" applyNumberFormat="0" applyBorder="0" applyAlignment="0" applyProtection="0"/>
    <xf numFmtId="10" fontId="21" fillId="56" borderId="1" applyNumberFormat="0" applyBorder="0" applyAlignment="0" applyProtection="0"/>
    <xf numFmtId="10" fontId="21" fillId="56" borderId="1" applyNumberFormat="0" applyBorder="0" applyAlignment="0" applyProtection="0"/>
    <xf numFmtId="200" fontId="51" fillId="57" borderId="0"/>
    <xf numFmtId="178" fontId="20" fillId="0" borderId="0" applyFont="0" applyFill="0" applyBorder="0" applyAlignment="0" applyProtection="0"/>
    <xf numFmtId="179" fontId="20" fillId="0" borderId="0" applyFont="0" applyFill="0" applyBorder="0" applyAlignment="0" applyProtection="0"/>
    <xf numFmtId="210" fontId="20" fillId="0" borderId="0" applyFill="0" applyBorder="0" applyAlignment="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210" fontId="80" fillId="0" borderId="18" applyNumberFormat="0" applyFill="0" applyAlignment="0" applyProtection="0"/>
    <xf numFmtId="200" fontId="51" fillId="58" borderId="0"/>
    <xf numFmtId="210" fontId="52" fillId="59" borderId="19" applyAlignment="0">
      <alignment vertical="top"/>
      <protection hidden="1"/>
    </xf>
    <xf numFmtId="196" fontId="20" fillId="0" borderId="0" applyFont="0" applyFill="0" applyBorder="0" applyAlignment="0" applyProtection="0"/>
    <xf numFmtId="195" fontId="20" fillId="0" borderId="0" applyFont="0" applyFill="0" applyBorder="0" applyAlignment="0" applyProtection="0"/>
    <xf numFmtId="38" fontId="53" fillId="0" borderId="0" applyFont="0" applyFill="0" applyBorder="0" applyAlignment="0" applyProtection="0"/>
    <xf numFmtId="40" fontId="53" fillId="0" borderId="0" applyFont="0" applyFill="0" applyBorder="0" applyAlignment="0" applyProtection="0"/>
    <xf numFmtId="201" fontId="51" fillId="0" borderId="0" applyFont="0" applyFill="0" applyBorder="0" applyAlignment="0" applyProtection="0"/>
    <xf numFmtId="180" fontId="53" fillId="0" borderId="0" applyFont="0" applyFill="0" applyBorder="0" applyAlignment="0" applyProtection="0"/>
    <xf numFmtId="202" fontId="51" fillId="0" borderId="0" applyFont="0" applyFill="0" applyBorder="0" applyAlignment="0" applyProtection="0"/>
    <xf numFmtId="181" fontId="53" fillId="0" borderId="0" applyFont="0" applyFill="0" applyBorder="0" applyAlignment="0" applyProtection="0"/>
    <xf numFmtId="44" fontId="54" fillId="60" borderId="0">
      <alignment vertical="top"/>
    </xf>
    <xf numFmtId="210" fontId="81" fillId="61" borderId="0" applyNumberFormat="0" applyBorder="0" applyAlignment="0" applyProtection="0"/>
    <xf numFmtId="167" fontId="20" fillId="0" borderId="0" applyNumberFormat="0" applyFont="0" applyFill="0" applyAlignment="0" applyProtection="0"/>
    <xf numFmtId="167" fontId="20" fillId="0" borderId="0" applyNumberFormat="0" applyFont="0" applyFill="0" applyAlignment="0" applyProtection="0"/>
    <xf numFmtId="167" fontId="20" fillId="0" borderId="0" applyNumberFormat="0" applyFont="0" applyFill="0" applyAlignment="0" applyProtection="0"/>
    <xf numFmtId="37" fontId="55" fillId="0" borderId="0"/>
    <xf numFmtId="182" fontId="20" fillId="0" borderId="0"/>
    <xf numFmtId="182" fontId="20" fillId="0" borderId="0"/>
    <xf numFmtId="182" fontId="20" fillId="0" borderId="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xf numFmtId="210" fontId="20" fillId="0" borderId="0"/>
    <xf numFmtId="210" fontId="20" fillId="0" borderId="0"/>
    <xf numFmtId="210" fontId="85" fillId="0" borderId="0">
      <alignment vertical="center"/>
    </xf>
    <xf numFmtId="210" fontId="20" fillId="0" borderId="0"/>
    <xf numFmtId="210" fontId="28" fillId="0" borderId="0"/>
    <xf numFmtId="210" fontId="37" fillId="0" borderId="0"/>
    <xf numFmtId="3" fontId="44" fillId="0" borderId="0" applyNumberFormat="0">
      <alignment horizontal="center"/>
    </xf>
    <xf numFmtId="183" fontId="20" fillId="0" borderId="0" applyFont="0" applyFill="0" applyBorder="0" applyAlignment="0" applyProtection="0"/>
    <xf numFmtId="184" fontId="20" fillId="0" borderId="0" applyFont="0" applyFill="0" applyBorder="0" applyAlignment="0" applyProtection="0"/>
    <xf numFmtId="210" fontId="56" fillId="0" borderId="1">
      <alignment horizontal="centerContinuous" vertical="center" wrapText="1"/>
    </xf>
    <xf numFmtId="185" fontId="56" fillId="0" borderId="0">
      <alignment horizontal="left"/>
    </xf>
    <xf numFmtId="3" fontId="57" fillId="0" borderId="0">
      <alignment vertical="top"/>
    </xf>
    <xf numFmtId="186" fontId="50" fillId="0" borderId="0" applyFont="0" applyFill="0" applyBorder="0" applyAlignment="0" applyProtection="0"/>
    <xf numFmtId="3" fontId="58" fillId="0" borderId="1" applyFont="0" applyFill="0" applyBorder="0" applyAlignment="0" applyProtection="0">
      <alignment horizontal="center" vertical="center"/>
      <protection locked="0"/>
    </xf>
    <xf numFmtId="187" fontId="50" fillId="0" borderId="0" applyFont="0" applyFill="0" applyBorder="0" applyAlignment="0" applyProtection="0"/>
    <xf numFmtId="210" fontId="82" fillId="53" borderId="20" applyNumberFormat="0" applyAlignment="0" applyProtection="0"/>
    <xf numFmtId="14" fontId="31" fillId="0" borderId="0">
      <alignment horizontal="center" wrapText="1"/>
      <protection locked="0"/>
    </xf>
    <xf numFmtId="9"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210" fontId="20" fillId="0" borderId="0"/>
    <xf numFmtId="210" fontId="20" fillId="0" borderId="0" applyFill="0" applyBorder="0" applyAlignment="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171" fontId="20" fillId="0" borderId="0" applyFill="0" applyBorder="0" applyAlignment="0"/>
    <xf numFmtId="189" fontId="31" fillId="0" borderId="0"/>
    <xf numFmtId="5" fontId="59" fillId="0" borderId="0"/>
    <xf numFmtId="210" fontId="60" fillId="55" borderId="19">
      <alignment vertical="top"/>
    </xf>
    <xf numFmtId="21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210" fontId="33" fillId="0" borderId="17">
      <alignment horizontal="center"/>
    </xf>
    <xf numFmtId="3" fontId="53" fillId="0" borderId="0" applyFont="0" applyFill="0" applyBorder="0" applyAlignment="0" applyProtection="0"/>
    <xf numFmtId="210" fontId="53" fillId="62" borderId="0" applyNumberFormat="0" applyFont="0" applyBorder="0" applyAlignment="0" applyProtection="0"/>
    <xf numFmtId="210" fontId="61" fillId="0" borderId="0" applyNumberFormat="0" applyFont="0" applyFill="0" applyBorder="0" applyAlignment="0"/>
    <xf numFmtId="210" fontId="62" fillId="63" borderId="0" applyNumberFormat="0" applyFont="0" applyBorder="0" applyAlignment="0">
      <alignment horizontal="center"/>
    </xf>
    <xf numFmtId="203" fontId="56" fillId="0" borderId="0" applyNumberFormat="0" applyFill="0" applyBorder="0" applyAlignment="0" applyProtection="0">
      <alignment horizontal="left"/>
    </xf>
    <xf numFmtId="210" fontId="23" fillId="55" borderId="0">
      <alignment horizontal="center" wrapText="1"/>
    </xf>
    <xf numFmtId="210" fontId="63" fillId="0" borderId="21"/>
    <xf numFmtId="210" fontId="64" fillId="64" borderId="22"/>
    <xf numFmtId="210" fontId="62" fillId="1" borderId="13" applyNumberFormat="0" applyFont="0" applyAlignment="0">
      <alignment horizontal="center"/>
    </xf>
    <xf numFmtId="210" fontId="65" fillId="0" borderId="0" applyNumberFormat="0" applyFill="0" applyBorder="0" applyAlignment="0">
      <alignment horizontal="center"/>
    </xf>
    <xf numFmtId="181" fontId="53" fillId="0" borderId="0">
      <alignment horizontal="center"/>
    </xf>
    <xf numFmtId="210" fontId="26" fillId="0" borderId="0"/>
    <xf numFmtId="210" fontId="66" fillId="0" borderId="17">
      <alignment vertical="top"/>
      <protection hidden="1"/>
    </xf>
    <xf numFmtId="210" fontId="30" fillId="0" borderId="23"/>
    <xf numFmtId="210" fontId="30" fillId="0" borderId="23"/>
    <xf numFmtId="210" fontId="30" fillId="0" borderId="23"/>
    <xf numFmtId="210" fontId="30" fillId="0" borderId="23"/>
    <xf numFmtId="210" fontId="41" fillId="0" borderId="0"/>
    <xf numFmtId="210" fontId="41" fillId="0" borderId="0"/>
    <xf numFmtId="210" fontId="41" fillId="0" borderId="0"/>
    <xf numFmtId="210" fontId="41" fillId="0" borderId="0"/>
    <xf numFmtId="40" fontId="67" fillId="0" borderId="0" applyBorder="0">
      <alignment horizontal="right"/>
    </xf>
    <xf numFmtId="49" fontId="22" fillId="0" borderId="0" applyFill="0" applyBorder="0" applyAlignment="0"/>
    <xf numFmtId="190" fontId="20" fillId="0" borderId="0" applyFill="0" applyBorder="0" applyAlignment="0"/>
    <xf numFmtId="190" fontId="20" fillId="0" borderId="0" applyFill="0" applyBorder="0" applyAlignment="0"/>
    <xf numFmtId="190" fontId="20" fillId="0" borderId="0" applyFill="0" applyBorder="0" applyAlignment="0"/>
    <xf numFmtId="191" fontId="20" fillId="0" borderId="0" applyFill="0" applyBorder="0" applyAlignment="0"/>
    <xf numFmtId="191" fontId="20" fillId="0" borderId="0" applyFill="0" applyBorder="0" applyAlignment="0"/>
    <xf numFmtId="191" fontId="20" fillId="0" borderId="0" applyFill="0" applyBorder="0" applyAlignment="0"/>
    <xf numFmtId="210" fontId="83" fillId="0" borderId="0" applyNumberFormat="0" applyFill="0" applyBorder="0" applyAlignment="0" applyProtection="0"/>
    <xf numFmtId="176" fontId="20" fillId="0" borderId="24">
      <protection locked="0"/>
    </xf>
    <xf numFmtId="176" fontId="20" fillId="0" borderId="24">
      <protection locked="0"/>
    </xf>
    <xf numFmtId="176" fontId="20" fillId="0" borderId="24">
      <protection locked="0"/>
    </xf>
    <xf numFmtId="176" fontId="20" fillId="0" borderId="24">
      <protection locked="0"/>
    </xf>
    <xf numFmtId="210" fontId="68" fillId="0" borderId="0"/>
    <xf numFmtId="185" fontId="56" fillId="0" borderId="0">
      <alignment horizontal="left"/>
    </xf>
    <xf numFmtId="204" fontId="51" fillId="0" borderId="0" applyFont="0" applyFill="0" applyBorder="0" applyAlignment="0" applyProtection="0"/>
    <xf numFmtId="192" fontId="20" fillId="0" borderId="0" applyFont="0" applyFill="0" applyBorder="0" applyAlignment="0" applyProtection="0"/>
    <xf numFmtId="193" fontId="20" fillId="0" borderId="0" applyFont="0" applyFill="0" applyBorder="0" applyAlignment="0" applyProtection="0"/>
    <xf numFmtId="210" fontId="43" fillId="0" borderId="22"/>
    <xf numFmtId="210" fontId="43" fillId="0" borderId="22"/>
    <xf numFmtId="210" fontId="43" fillId="0" borderId="22"/>
    <xf numFmtId="210" fontId="43" fillId="0" borderId="22"/>
    <xf numFmtId="194" fontId="20" fillId="0" borderId="0" applyFont="0" applyFill="0" applyBorder="0" applyAlignment="0" applyProtection="0"/>
    <xf numFmtId="42" fontId="20" fillId="0" borderId="0" applyFont="0" applyFill="0" applyBorder="0" applyAlignment="0" applyProtection="0"/>
    <xf numFmtId="44" fontId="20" fillId="0" borderId="0" applyFont="0" applyFill="0" applyBorder="0" applyAlignment="0" applyProtection="0"/>
    <xf numFmtId="205" fontId="37" fillId="0" borderId="0" applyFont="0" applyFill="0" applyBorder="0" applyAlignment="0" applyProtection="0"/>
    <xf numFmtId="206" fontId="37" fillId="0" borderId="0" applyFont="0" applyFill="0" applyBorder="0" applyAlignment="0" applyProtection="0"/>
    <xf numFmtId="210" fontId="84" fillId="0" borderId="0" applyNumberFormat="0" applyFill="0" applyBorder="0" applyAlignment="0" applyProtection="0"/>
    <xf numFmtId="166" fontId="69" fillId="0" borderId="0" applyFont="0" applyFill="0" applyBorder="0" applyAlignment="0" applyProtection="0"/>
    <xf numFmtId="167" fontId="69" fillId="0" borderId="0" applyFont="0" applyFill="0" applyBorder="0" applyAlignment="0" applyProtection="0"/>
    <xf numFmtId="210" fontId="22" fillId="0" borderId="0"/>
    <xf numFmtId="210" fontId="53" fillId="0" borderId="0" applyFont="0" applyFill="0" applyBorder="0" applyAlignment="0" applyProtection="0"/>
    <xf numFmtId="207" fontId="69" fillId="0" borderId="0" applyFont="0" applyFill="0" applyBorder="0" applyAlignment="0" applyProtection="0"/>
    <xf numFmtId="40" fontId="69" fillId="0" borderId="0" applyFont="0" applyFill="0" applyBorder="0" applyAlignment="0" applyProtection="0"/>
    <xf numFmtId="210" fontId="20" fillId="0" borderId="0"/>
    <xf numFmtId="38" fontId="70" fillId="0" borderId="0" applyFont="0" applyFill="0" applyBorder="0" applyAlignment="0" applyProtection="0"/>
    <xf numFmtId="40" fontId="70" fillId="0" borderId="0" applyFont="0" applyFill="0" applyBorder="0" applyAlignment="0" applyProtection="0"/>
    <xf numFmtId="208" fontId="70" fillId="0" borderId="0" applyFont="0" applyFill="0" applyBorder="0" applyAlignment="0" applyProtection="0"/>
    <xf numFmtId="208" fontId="70" fillId="0" borderId="0" applyFont="0" applyFill="0" applyBorder="0" applyAlignment="0" applyProtection="0"/>
    <xf numFmtId="210" fontId="49" fillId="0" borderId="0" applyNumberFormat="0" applyFill="0" applyBorder="0" applyAlignment="0" applyProtection="0">
      <alignment vertical="top"/>
      <protection locked="0"/>
    </xf>
    <xf numFmtId="210" fontId="2" fillId="0" borderId="0"/>
    <xf numFmtId="210" fontId="20" fillId="0" borderId="0">
      <alignment vertical="center"/>
    </xf>
    <xf numFmtId="210" fontId="20" fillId="0" borderId="0" applyNumberFormat="0" applyFill="0" applyBorder="0" applyAlignment="0" applyProtection="0"/>
    <xf numFmtId="210" fontId="20" fillId="0" borderId="0" applyNumberFormat="0" applyFill="0" applyBorder="0" applyAlignment="0" applyProtection="0"/>
    <xf numFmtId="210" fontId="20" fillId="0" borderId="0"/>
    <xf numFmtId="210" fontId="20" fillId="0" borderId="0" applyNumberFormat="0" applyFill="0" applyBorder="0" applyAlignment="0" applyProtection="0"/>
    <xf numFmtId="210" fontId="20" fillId="0" borderId="0" applyNumberFormat="0" applyFill="0" applyBorder="0" applyAlignment="0" applyProtection="0"/>
    <xf numFmtId="210" fontId="71" fillId="35" borderId="0" applyNumberFormat="0" applyBorder="0" applyAlignment="0" applyProtection="0"/>
    <xf numFmtId="210" fontId="71" fillId="36" borderId="0" applyNumberFormat="0" applyBorder="0" applyAlignment="0" applyProtection="0"/>
    <xf numFmtId="210" fontId="71" fillId="3" borderId="0" applyNumberFormat="0" applyBorder="0" applyAlignment="0" applyProtection="0"/>
    <xf numFmtId="210" fontId="71" fillId="37" borderId="0" applyNumberFormat="0" applyBorder="0" applyAlignment="0" applyProtection="0"/>
    <xf numFmtId="210" fontId="71" fillId="38" borderId="0" applyNumberFormat="0" applyBorder="0" applyAlignment="0" applyProtection="0"/>
    <xf numFmtId="210" fontId="71" fillId="39" borderId="0" applyNumberFormat="0" applyBorder="0" applyAlignment="0" applyProtection="0"/>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20" fillId="0" borderId="0">
      <alignment vertical="center"/>
    </xf>
    <xf numFmtId="210" fontId="71" fillId="40" borderId="0" applyNumberFormat="0" applyBorder="0" applyAlignment="0" applyProtection="0"/>
    <xf numFmtId="210" fontId="71" fillId="41" borderId="0" applyNumberFormat="0" applyBorder="0" applyAlignment="0" applyProtection="0"/>
    <xf numFmtId="210" fontId="71" fillId="42" borderId="0" applyNumberFormat="0" applyBorder="0" applyAlignment="0" applyProtection="0"/>
    <xf numFmtId="210" fontId="71" fillId="37" borderId="0" applyNumberFormat="0" applyBorder="0" applyAlignment="0" applyProtection="0"/>
    <xf numFmtId="210" fontId="71" fillId="40" borderId="0" applyNumberFormat="0" applyBorder="0" applyAlignment="0" applyProtection="0"/>
    <xf numFmtId="210" fontId="71" fillId="43" borderId="0" applyNumberFormat="0" applyBorder="0" applyAlignment="0" applyProtection="0"/>
    <xf numFmtId="210" fontId="72" fillId="44" borderId="0" applyNumberFormat="0" applyBorder="0" applyAlignment="0" applyProtection="0"/>
    <xf numFmtId="210" fontId="72" fillId="41" borderId="0" applyNumberFormat="0" applyBorder="0" applyAlignment="0" applyProtection="0"/>
    <xf numFmtId="210" fontId="72" fillId="42" borderId="0" applyNumberFormat="0" applyBorder="0" applyAlignment="0" applyProtection="0"/>
    <xf numFmtId="210" fontId="72" fillId="45" borderId="0" applyNumberFormat="0" applyBorder="0" applyAlignment="0" applyProtection="0"/>
    <xf numFmtId="210" fontId="72" fillId="46" borderId="0" applyNumberFormat="0" applyBorder="0" applyAlignment="0" applyProtection="0"/>
    <xf numFmtId="210" fontId="72" fillId="47" borderId="0" applyNumberFormat="0" applyBorder="0" applyAlignment="0" applyProtection="0"/>
    <xf numFmtId="210" fontId="72" fillId="49" borderId="0" applyNumberFormat="0" applyBorder="0" applyAlignment="0" applyProtection="0"/>
    <xf numFmtId="210" fontId="72" fillId="50" borderId="0" applyNumberFormat="0" applyBorder="0" applyAlignment="0" applyProtection="0"/>
    <xf numFmtId="210" fontId="72" fillId="51" borderId="0" applyNumberFormat="0" applyBorder="0" applyAlignment="0" applyProtection="0"/>
    <xf numFmtId="210" fontId="72" fillId="45" borderId="0" applyNumberFormat="0" applyBorder="0" applyAlignment="0" applyProtection="0"/>
    <xf numFmtId="210" fontId="72" fillId="46" borderId="0" applyNumberFormat="0" applyBorder="0" applyAlignment="0" applyProtection="0"/>
    <xf numFmtId="210" fontId="72" fillId="52" borderId="0" applyNumberFormat="0" applyBorder="0" applyAlignment="0" applyProtection="0"/>
    <xf numFmtId="210" fontId="73" fillId="36" borderId="0" applyNumberFormat="0" applyBorder="0" applyAlignment="0" applyProtection="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172" fontId="20" fillId="0" borderId="0" applyFill="0" applyBorder="0" applyAlignment="0"/>
    <xf numFmtId="172" fontId="20" fillId="0" borderId="0" applyFill="0" applyBorder="0" applyAlignment="0"/>
    <xf numFmtId="173" fontId="20" fillId="0" borderId="0" applyFill="0" applyBorder="0" applyAlignment="0"/>
    <xf numFmtId="173" fontId="20" fillId="0" borderId="0" applyFill="0" applyBorder="0" applyAlignment="0"/>
    <xf numFmtId="174" fontId="20" fillId="0" borderId="0" applyFill="0" applyBorder="0" applyAlignment="0"/>
    <xf numFmtId="174"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210" fontId="74" fillId="53" borderId="11" applyNumberFormat="0" applyAlignment="0" applyProtection="0"/>
    <xf numFmtId="210" fontId="75" fillId="54" borderId="12" applyNumberFormat="0" applyAlignment="0" applyProtection="0"/>
    <xf numFmtId="168" fontId="20" fillId="0" borderId="0" applyFont="0" applyFill="0" applyBorder="0" applyAlignment="0" applyProtection="0"/>
    <xf numFmtId="210" fontId="20" fillId="0" borderId="0" applyFont="0" applyFill="0" applyBorder="0" applyAlignment="0" applyProtection="0"/>
    <xf numFmtId="210" fontId="20" fillId="0" borderId="0" applyFont="0" applyFill="0" applyBorder="0" applyAlignment="0" applyProtection="0"/>
    <xf numFmtId="176" fontId="20" fillId="0" borderId="0">
      <protection locked="0"/>
    </xf>
    <xf numFmtId="176" fontId="20" fillId="0" borderId="0">
      <protection locked="0"/>
    </xf>
    <xf numFmtId="171" fontId="20" fillId="0" borderId="0" applyFont="0" applyFill="0" applyBorder="0" applyAlignment="0" applyProtection="0"/>
    <xf numFmtId="171" fontId="20" fillId="0" borderId="0" applyFont="0" applyFill="0" applyBorder="0" applyAlignment="0" applyProtection="0"/>
    <xf numFmtId="176" fontId="20" fillId="0" borderId="0">
      <protection locked="0"/>
    </xf>
    <xf numFmtId="176" fontId="20" fillId="0" borderId="0">
      <protection locked="0"/>
    </xf>
    <xf numFmtId="176" fontId="20" fillId="0" borderId="0">
      <protection locked="0"/>
    </xf>
    <xf numFmtId="176" fontId="20" fillId="0" borderId="0">
      <protection locked="0"/>
    </xf>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ont="0" applyFill="0" applyBorder="0" applyAlignment="0" applyProtection="0"/>
    <xf numFmtId="210" fontId="20" fillId="0" borderId="0" applyFont="0" applyFill="0" applyBorder="0" applyAlignment="0" applyProtection="0"/>
    <xf numFmtId="210" fontId="76" fillId="0" borderId="0" applyNumberFormat="0" applyFill="0" applyBorder="0" applyAlignment="0" applyProtection="0"/>
    <xf numFmtId="176" fontId="20" fillId="0" borderId="0">
      <protection locked="0"/>
    </xf>
    <xf numFmtId="176" fontId="20" fillId="0" borderId="0">
      <protection locked="0"/>
    </xf>
    <xf numFmtId="210" fontId="77" fillId="3" borderId="0" applyNumberFormat="0" applyBorder="0" applyAlignment="0" applyProtection="0"/>
    <xf numFmtId="167" fontId="20" fillId="0" borderId="1" applyNumberFormat="0" applyFont="0" applyFill="0" applyProtection="0">
      <alignment wrapText="1"/>
    </xf>
    <xf numFmtId="167" fontId="20" fillId="0" borderId="1" applyNumberFormat="0" applyFont="0" applyFill="0" applyProtection="0">
      <alignment wrapText="1"/>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176" fontId="20" fillId="0" borderId="0">
      <protection locked="0"/>
    </xf>
    <xf numFmtId="210" fontId="78" fillId="0" borderId="15" applyNumberFormat="0" applyFill="0" applyAlignment="0" applyProtection="0"/>
    <xf numFmtId="210" fontId="78" fillId="0" borderId="0" applyNumberFormat="0" applyFill="0" applyBorder="0" applyAlignment="0" applyProtection="0"/>
    <xf numFmtId="210" fontId="46" fillId="0" borderId="17">
      <alignment horizontal="center"/>
    </xf>
    <xf numFmtId="210" fontId="79" fillId="39" borderId="11" applyNumberFormat="0" applyAlignment="0" applyProtection="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210" fontId="80" fillId="0" borderId="18" applyNumberFormat="0" applyFill="0" applyAlignment="0" applyProtection="0"/>
    <xf numFmtId="210" fontId="81" fillId="61" borderId="0" applyNumberFormat="0" applyBorder="0" applyAlignment="0" applyProtection="0"/>
    <xf numFmtId="167" fontId="20" fillId="0" borderId="0" applyNumberFormat="0" applyFont="0" applyFill="0" applyAlignment="0" applyProtection="0"/>
    <xf numFmtId="167" fontId="20" fillId="0" borderId="0" applyNumberFormat="0" applyFont="0" applyFill="0" applyAlignment="0" applyProtection="0"/>
    <xf numFmtId="182" fontId="20" fillId="0" borderId="0"/>
    <xf numFmtId="182" fontId="20" fillId="0" borderId="0"/>
    <xf numFmtId="210" fontId="20" fillId="0" borderId="0" applyNumberFormat="0" applyFill="0" applyBorder="0" applyAlignment="0" applyProtection="0"/>
    <xf numFmtId="210" fontId="20" fillId="0" borderId="0" applyNumberFormat="0" applyFill="0" applyBorder="0" applyAlignment="0" applyProtection="0"/>
    <xf numFmtId="210" fontId="20" fillId="0" borderId="0"/>
    <xf numFmtId="210" fontId="20" fillId="0" borderId="0"/>
    <xf numFmtId="210" fontId="20" fillId="0" borderId="0"/>
    <xf numFmtId="3" fontId="44" fillId="0" borderId="0" applyNumberFormat="0">
      <alignment horizontal="center"/>
    </xf>
    <xf numFmtId="210" fontId="82" fillId="53" borderId="20" applyNumberFormat="0" applyAlignment="0" applyProtection="0"/>
    <xf numFmtId="9"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210" fontId="20" fillId="0" borderId="0"/>
    <xf numFmtId="210" fontId="20" fillId="0" borderId="0" applyFill="0" applyBorder="0" applyAlignment="0"/>
    <xf numFmtId="210" fontId="20" fillId="0" borderId="0" applyFill="0" applyBorder="0" applyAlignment="0"/>
    <xf numFmtId="171" fontId="20" fillId="0" borderId="0" applyFill="0" applyBorder="0" applyAlignment="0"/>
    <xf numFmtId="171" fontId="20" fillId="0" borderId="0" applyFill="0" applyBorder="0" applyAlignment="0"/>
    <xf numFmtId="210" fontId="20" fillId="0" borderId="0" applyFill="0" applyBorder="0" applyAlignment="0"/>
    <xf numFmtId="210" fontId="20" fillId="0" borderId="0" applyFill="0" applyBorder="0" applyAlignment="0"/>
    <xf numFmtId="175" fontId="20" fillId="0" borderId="0" applyFill="0" applyBorder="0" applyAlignment="0"/>
    <xf numFmtId="175" fontId="20" fillId="0" borderId="0" applyFill="0" applyBorder="0" applyAlignment="0"/>
    <xf numFmtId="171" fontId="20" fillId="0" borderId="0" applyFill="0" applyBorder="0" applyAlignment="0"/>
    <xf numFmtId="171" fontId="20" fillId="0" borderId="0" applyFill="0" applyBorder="0" applyAlignment="0"/>
    <xf numFmtId="210" fontId="33" fillId="0" borderId="17">
      <alignment horizontal="center"/>
    </xf>
    <xf numFmtId="210" fontId="66" fillId="0" borderId="17">
      <alignment vertical="top"/>
      <protection hidden="1"/>
    </xf>
    <xf numFmtId="190" fontId="20" fillId="0" borderId="0" applyFill="0" applyBorder="0" applyAlignment="0"/>
    <xf numFmtId="190" fontId="20" fillId="0" borderId="0" applyFill="0" applyBorder="0" applyAlignment="0"/>
    <xf numFmtId="191" fontId="20" fillId="0" borderId="0" applyFill="0" applyBorder="0" applyAlignment="0"/>
    <xf numFmtId="191" fontId="20" fillId="0" borderId="0" applyFill="0" applyBorder="0" applyAlignment="0"/>
    <xf numFmtId="210" fontId="83" fillId="0" borderId="0" applyNumberFormat="0" applyFill="0" applyBorder="0" applyAlignment="0" applyProtection="0"/>
    <xf numFmtId="176" fontId="20" fillId="0" borderId="24">
      <protection locked="0"/>
    </xf>
    <xf numFmtId="176" fontId="20" fillId="0" borderId="24">
      <protection locked="0"/>
    </xf>
    <xf numFmtId="176" fontId="20" fillId="0" borderId="24">
      <protection locked="0"/>
    </xf>
    <xf numFmtId="176" fontId="20" fillId="0" borderId="24">
      <protection locked="0"/>
    </xf>
    <xf numFmtId="210" fontId="84" fillId="0" borderId="0" applyNumberFormat="0" applyFill="0" applyBorder="0" applyAlignment="0" applyProtection="0"/>
    <xf numFmtId="210" fontId="2" fillId="0" borderId="0"/>
    <xf numFmtId="0" fontId="20" fillId="0" borderId="0"/>
    <xf numFmtId="210" fontId="2" fillId="0" borderId="0"/>
    <xf numFmtId="210" fontId="2" fillId="0" borderId="0"/>
    <xf numFmtId="0" fontId="2" fillId="0" borderId="0"/>
    <xf numFmtId="0" fontId="2" fillId="0" borderId="0"/>
    <xf numFmtId="164" fontId="20" fillId="0" borderId="0">
      <alignment vertical="center"/>
    </xf>
    <xf numFmtId="164" fontId="25" fillId="0" borderId="0"/>
    <xf numFmtId="164" fontId="26" fillId="0" borderId="0"/>
    <xf numFmtId="164" fontId="27" fillId="0" borderId="0"/>
    <xf numFmtId="164" fontId="26" fillId="0" borderId="0"/>
    <xf numFmtId="164" fontId="26" fillId="0" borderId="0"/>
    <xf numFmtId="164" fontId="26" fillId="0" borderId="0"/>
    <xf numFmtId="164" fontId="20" fillId="0" borderId="0" applyNumberFormat="0" applyFill="0" applyBorder="0" applyAlignment="0" applyProtection="0"/>
    <xf numFmtId="164" fontId="20" fillId="0" borderId="0" applyNumberFormat="0" applyFill="0" applyBorder="0" applyAlignment="0" applyProtection="0"/>
    <xf numFmtId="164" fontId="20" fillId="0" borderId="0" applyNumberFormat="0" applyFill="0" applyBorder="0" applyAlignment="0" applyProtection="0"/>
    <xf numFmtId="164" fontId="26" fillId="0" borderId="0"/>
    <xf numFmtId="164" fontId="26" fillId="0" borderId="0"/>
    <xf numFmtId="164" fontId="26" fillId="0" borderId="0"/>
    <xf numFmtId="164" fontId="26" fillId="0" borderId="0"/>
    <xf numFmtId="164" fontId="27" fillId="0" borderId="0"/>
    <xf numFmtId="164" fontId="20" fillId="0" borderId="0"/>
    <xf numFmtId="164" fontId="27" fillId="0" borderId="0"/>
    <xf numFmtId="164" fontId="27" fillId="0" borderId="0"/>
    <xf numFmtId="164" fontId="25" fillId="0" borderId="0"/>
    <xf numFmtId="164" fontId="25" fillId="0" borderId="0"/>
    <xf numFmtId="164" fontId="25" fillId="0" borderId="0"/>
    <xf numFmtId="164" fontId="25" fillId="0" borderId="0"/>
    <xf numFmtId="164" fontId="25" fillId="0" borderId="0"/>
    <xf numFmtId="164" fontId="25" fillId="0" borderId="0"/>
    <xf numFmtId="164" fontId="25" fillId="0" borderId="0"/>
    <xf numFmtId="164" fontId="28"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8" fillId="0" borderId="0"/>
    <xf numFmtId="164" fontId="28" fillId="0" borderId="0"/>
    <xf numFmtId="164" fontId="27" fillId="0" borderId="0"/>
    <xf numFmtId="164" fontId="20" fillId="0" borderId="0" applyNumberFormat="0" applyFill="0" applyBorder="0" applyAlignment="0" applyProtection="0"/>
    <xf numFmtId="164" fontId="20" fillId="0" borderId="0" applyNumberFormat="0" applyFill="0" applyBorder="0" applyAlignment="0" applyProtection="0"/>
    <xf numFmtId="164" fontId="20" fillId="0" borderId="0" applyNumberFormat="0" applyFill="0" applyBorder="0" applyAlignment="0" applyProtection="0"/>
    <xf numFmtId="164" fontId="28" fillId="0" borderId="0"/>
    <xf numFmtId="164" fontId="24" fillId="0" borderId="0"/>
    <xf numFmtId="164" fontId="27" fillId="0" borderId="0"/>
    <xf numFmtId="164" fontId="28" fillId="0" borderId="0"/>
    <xf numFmtId="164" fontId="26" fillId="0" borderId="0"/>
    <xf numFmtId="164" fontId="27" fillId="0" borderId="0"/>
    <xf numFmtId="164" fontId="27" fillId="0" borderId="0"/>
    <xf numFmtId="164" fontId="27" fillId="0" borderId="0"/>
    <xf numFmtId="164" fontId="26" fillId="0" borderId="0"/>
    <xf numFmtId="164" fontId="27" fillId="0" borderId="0"/>
    <xf numFmtId="164" fontId="26" fillId="0" borderId="0"/>
    <xf numFmtId="164" fontId="26" fillId="0" borderId="0"/>
    <xf numFmtId="164" fontId="27" fillId="0" borderId="0"/>
    <xf numFmtId="164" fontId="29" fillId="0" borderId="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5"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6"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7"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8" borderId="0" applyNumberFormat="0" applyBorder="0" applyAlignment="0" applyProtection="0"/>
    <xf numFmtId="164" fontId="71" fillId="39" borderId="0" applyNumberFormat="0" applyBorder="0" applyAlignment="0" applyProtection="0"/>
    <xf numFmtId="164" fontId="20" fillId="0" borderId="0">
      <alignment vertical="center"/>
    </xf>
    <xf numFmtId="164" fontId="20" fillId="0" borderId="0">
      <alignment vertical="center"/>
    </xf>
    <xf numFmtId="164" fontId="20" fillId="0" borderId="0">
      <alignment vertical="center"/>
    </xf>
    <xf numFmtId="164" fontId="20" fillId="0" borderId="0">
      <alignment vertical="center"/>
    </xf>
    <xf numFmtId="164" fontId="20" fillId="0" borderId="0">
      <alignment vertical="center"/>
    </xf>
    <xf numFmtId="164" fontId="20" fillId="0" borderId="0">
      <alignment vertical="center"/>
    </xf>
    <xf numFmtId="164" fontId="20" fillId="0" borderId="0">
      <alignment vertical="center"/>
    </xf>
    <xf numFmtId="164" fontId="71" fillId="40" borderId="0" applyNumberFormat="0" applyBorder="0" applyAlignment="0" applyProtection="0"/>
    <xf numFmtId="164" fontId="71" fillId="41" borderId="0" applyNumberFormat="0" applyBorder="0" applyAlignment="0" applyProtection="0"/>
    <xf numFmtId="164" fontId="71" fillId="42" borderId="0" applyNumberFormat="0" applyBorder="0" applyAlignment="0" applyProtection="0"/>
    <xf numFmtId="164" fontId="71" fillId="37" borderId="0" applyNumberFormat="0" applyBorder="0" applyAlignment="0" applyProtection="0"/>
    <xf numFmtId="164" fontId="71" fillId="40" borderId="0" applyNumberFormat="0" applyBorder="0" applyAlignment="0" applyProtection="0"/>
    <xf numFmtId="164" fontId="71" fillId="43" borderId="0" applyNumberFormat="0" applyBorder="0" applyAlignment="0" applyProtection="0"/>
    <xf numFmtId="164" fontId="72" fillId="44" borderId="0" applyNumberFormat="0" applyBorder="0" applyAlignment="0" applyProtection="0"/>
    <xf numFmtId="164" fontId="72" fillId="41" borderId="0" applyNumberFormat="0" applyBorder="0" applyAlignment="0" applyProtection="0"/>
    <xf numFmtId="164" fontId="72" fillId="42"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47" borderId="0" applyNumberFormat="0" applyBorder="0" applyAlignment="0" applyProtection="0"/>
    <xf numFmtId="164" fontId="30" fillId="48" borderId="1" applyNumberFormat="0" applyFont="0" applyAlignment="0" applyProtection="0">
      <alignment horizontal="left" vertical="top"/>
    </xf>
    <xf numFmtId="164" fontId="72" fillId="49" borderId="0" applyNumberFormat="0" applyBorder="0" applyAlignment="0" applyProtection="0"/>
    <xf numFmtId="164" fontId="72" fillId="50" borderId="0" applyNumberFormat="0" applyBorder="0" applyAlignment="0" applyProtection="0"/>
    <xf numFmtId="164" fontId="72" fillId="51"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52" borderId="0" applyNumberFormat="0" applyBorder="0" applyAlignment="0" applyProtection="0"/>
    <xf numFmtId="164" fontId="31" fillId="0" borderId="0">
      <alignment horizontal="center" wrapText="1"/>
      <protection locked="0"/>
    </xf>
    <xf numFmtId="164" fontId="73" fillId="36" borderId="0" applyNumberFormat="0" applyBorder="0" applyAlignment="0" applyProtection="0"/>
    <xf numFmtId="164" fontId="21" fillId="0" borderId="0">
      <alignment vertical="top"/>
    </xf>
    <xf numFmtId="164" fontId="21" fillId="0" borderId="0">
      <alignment vertical="top"/>
    </xf>
    <xf numFmtId="164" fontId="21" fillId="0" borderId="0">
      <alignment vertical="top"/>
    </xf>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74" fillId="53" borderId="11" applyNumberFormat="0" applyAlignment="0" applyProtection="0"/>
    <xf numFmtId="164" fontId="75" fillId="54" borderId="12"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34" fillId="0" borderId="0" applyNumberFormat="0" applyAlignment="0">
      <alignment horizontal="left"/>
    </xf>
    <xf numFmtId="164" fontId="35" fillId="0" borderId="0" applyNumberFormat="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38" fillId="0" borderId="0" applyNumberFormat="0" applyAlignment="0">
      <alignment horizontal="left"/>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76" fillId="0" borderId="0" applyNumberFormat="0" applyFill="0" applyBorder="0" applyAlignment="0" applyProtection="0"/>
    <xf numFmtId="164" fontId="39" fillId="0" borderId="0"/>
    <xf numFmtId="164" fontId="77" fillId="3" borderId="0" applyNumberFormat="0" applyBorder="0" applyAlignment="0" applyProtection="0"/>
    <xf numFmtId="164" fontId="40" fillId="48" borderId="13" applyNumberFormat="0" applyFont="0" applyFill="0" applyProtection="0">
      <alignment wrapText="1"/>
    </xf>
    <xf numFmtId="164" fontId="41" fillId="0" borderId="14" applyNumberFormat="0" applyAlignment="0" applyProtection="0">
      <alignment horizontal="left" vertical="center"/>
    </xf>
    <xf numFmtId="164" fontId="41" fillId="0" borderId="13">
      <alignment horizontal="left" vertical="center"/>
    </xf>
    <xf numFmtId="164" fontId="78" fillId="0" borderId="15" applyNumberFormat="0" applyFill="0" applyAlignment="0" applyProtection="0"/>
    <xf numFmtId="164" fontId="78" fillId="0" borderId="0" applyNumberFormat="0" applyFill="0" applyBorder="0" applyAlignment="0" applyProtection="0"/>
    <xf numFmtId="164" fontId="42" fillId="0" borderId="0"/>
    <xf numFmtId="164" fontId="45" fillId="0" borderId="0"/>
    <xf numFmtId="164" fontId="46" fillId="0" borderId="17">
      <alignment horizontal="center"/>
    </xf>
    <xf numFmtId="164" fontId="46" fillId="0" borderId="0">
      <alignment horizontal="center"/>
    </xf>
    <xf numFmtId="164" fontId="47" fillId="0" borderId="0" applyNumberFormat="0" applyFill="0" applyBorder="0" applyAlignment="0" applyProtection="0">
      <alignment vertical="top"/>
      <protection locked="0"/>
    </xf>
    <xf numFmtId="164" fontId="47" fillId="0" borderId="0" applyNumberFormat="0" applyFill="0" applyBorder="0" applyAlignment="0" applyProtection="0">
      <alignment vertical="top"/>
      <protection locked="0"/>
    </xf>
    <xf numFmtId="164" fontId="49" fillId="0" borderId="0" applyNumberFormat="0" applyFill="0" applyBorder="0" applyAlignment="0" applyProtection="0">
      <alignment vertical="top"/>
      <protection locked="0"/>
    </xf>
    <xf numFmtId="164" fontId="79" fillId="39" borderId="11" applyNumberFormat="0" applyAlignment="0" applyProtection="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80" fillId="0" borderId="18" applyNumberFormat="0" applyFill="0" applyAlignment="0" applyProtection="0"/>
    <xf numFmtId="164" fontId="52" fillId="59" borderId="19" applyAlignment="0">
      <alignment vertical="top"/>
      <protection hidden="1"/>
    </xf>
    <xf numFmtId="164" fontId="81" fillId="61" borderId="0" applyNumberFormat="0" applyBorder="0" applyAlignment="0" applyProtection="0"/>
    <xf numFmtId="164" fontId="20" fillId="0" borderId="0" applyNumberFormat="0" applyFill="0" applyBorder="0" applyAlignment="0" applyProtection="0"/>
    <xf numFmtId="164" fontId="20" fillId="0" borderId="0" applyNumberFormat="0" applyFill="0" applyBorder="0" applyAlignment="0" applyProtection="0"/>
    <xf numFmtId="164" fontId="20" fillId="0" borderId="0" applyNumberFormat="0" applyFill="0" applyBorder="0" applyAlignment="0" applyProtection="0"/>
    <xf numFmtId="164" fontId="20" fillId="0" borderId="0"/>
    <xf numFmtId="164" fontId="20" fillId="0" borderId="0"/>
    <xf numFmtId="164" fontId="20" fillId="0" borderId="0"/>
    <xf numFmtId="164" fontId="56" fillId="0" borderId="1">
      <alignment horizontal="centerContinuous" vertical="center" wrapText="1"/>
    </xf>
    <xf numFmtId="164" fontId="82" fillId="53" borderId="20" applyNumberFormat="0" applyAlignment="0" applyProtection="0"/>
    <xf numFmtId="164" fontId="20" fillId="0" borderId="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20" fillId="0" borderId="0" applyFill="0" applyBorder="0" applyAlignment="0"/>
    <xf numFmtId="164" fontId="60" fillId="55" borderId="19">
      <alignment vertical="top"/>
    </xf>
    <xf numFmtId="164" fontId="53" fillId="0" borderId="0" applyNumberFormat="0" applyFont="0" applyFill="0" applyBorder="0" applyAlignment="0" applyProtection="0">
      <alignment horizontal="left"/>
    </xf>
    <xf numFmtId="164" fontId="33" fillId="0" borderId="17">
      <alignment horizontal="center"/>
    </xf>
    <xf numFmtId="164" fontId="53" fillId="62" borderId="0" applyNumberFormat="0" applyFont="0" applyBorder="0" applyAlignment="0" applyProtection="0"/>
    <xf numFmtId="164" fontId="61" fillId="0" borderId="0" applyNumberFormat="0" applyFont="0" applyFill="0" applyBorder="0" applyAlignment="0"/>
    <xf numFmtId="164" fontId="62" fillId="63" borderId="0" applyNumberFormat="0" applyFont="0" applyBorder="0" applyAlignment="0">
      <alignment horizontal="center"/>
    </xf>
    <xf numFmtId="164" fontId="23" fillId="55" borderId="0">
      <alignment horizontal="center" wrapText="1"/>
    </xf>
    <xf numFmtId="164" fontId="63" fillId="0" borderId="21"/>
    <xf numFmtId="164" fontId="64" fillId="64" borderId="22"/>
    <xf numFmtId="164" fontId="62" fillId="1" borderId="13" applyNumberFormat="0" applyFont="0" applyAlignment="0">
      <alignment horizontal="center"/>
    </xf>
    <xf numFmtId="164" fontId="65" fillId="0" borderId="0" applyNumberFormat="0" applyFill="0" applyBorder="0" applyAlignment="0">
      <alignment horizontal="center"/>
    </xf>
    <xf numFmtId="164" fontId="26" fillId="0" borderId="0"/>
    <xf numFmtId="164" fontId="66" fillId="0" borderId="17">
      <alignment vertical="top"/>
      <protection hidden="1"/>
    </xf>
    <xf numFmtId="164" fontId="30" fillId="0" borderId="23"/>
    <xf numFmtId="164" fontId="30" fillId="0" borderId="23"/>
    <xf numFmtId="164" fontId="30" fillId="0" borderId="23"/>
    <xf numFmtId="164" fontId="41" fillId="0" borderId="0"/>
    <xf numFmtId="164" fontId="41" fillId="0" borderId="0"/>
    <xf numFmtId="164" fontId="41" fillId="0" borderId="0"/>
    <xf numFmtId="164" fontId="83" fillId="0" borderId="0" applyNumberFormat="0" applyFill="0" applyBorder="0" applyAlignment="0" applyProtection="0"/>
    <xf numFmtId="164" fontId="68" fillId="0" borderId="0"/>
    <xf numFmtId="164" fontId="43" fillId="0" borderId="22"/>
    <xf numFmtId="164" fontId="43" fillId="0" borderId="22"/>
    <xf numFmtId="164" fontId="43" fillId="0" borderId="22"/>
    <xf numFmtId="164" fontId="84" fillId="0" borderId="0" applyNumberFormat="0" applyFill="0" applyBorder="0" applyAlignment="0" applyProtection="0"/>
    <xf numFmtId="164" fontId="86" fillId="0" borderId="0">
      <alignment vertical="center"/>
    </xf>
    <xf numFmtId="164" fontId="8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71" fillId="35" borderId="0" applyNumberFormat="0" applyBorder="0" applyAlignment="0" applyProtection="0"/>
    <xf numFmtId="164" fontId="71" fillId="36" borderId="0" applyNumberFormat="0" applyBorder="0" applyAlignment="0" applyProtection="0"/>
    <xf numFmtId="164" fontId="71" fillId="3" borderId="0" applyNumberFormat="0" applyBorder="0" applyAlignment="0" applyProtection="0"/>
    <xf numFmtId="164" fontId="71" fillId="37" borderId="0" applyNumberFormat="0" applyBorder="0" applyAlignment="0" applyProtection="0"/>
    <xf numFmtId="164" fontId="71" fillId="38" borderId="0" applyNumberFormat="0" applyBorder="0" applyAlignment="0" applyProtection="0"/>
    <xf numFmtId="164" fontId="71" fillId="39" borderId="0" applyNumberFormat="0" applyBorder="0" applyAlignment="0" applyProtection="0"/>
    <xf numFmtId="164" fontId="71" fillId="40" borderId="0" applyNumberFormat="0" applyBorder="0" applyAlignment="0" applyProtection="0"/>
    <xf numFmtId="164" fontId="71" fillId="41" borderId="0" applyNumberFormat="0" applyBorder="0" applyAlignment="0" applyProtection="0"/>
    <xf numFmtId="164" fontId="71" fillId="42" borderId="0" applyNumberFormat="0" applyBorder="0" applyAlignment="0" applyProtection="0"/>
    <xf numFmtId="164" fontId="71" fillId="37" borderId="0" applyNumberFormat="0" applyBorder="0" applyAlignment="0" applyProtection="0"/>
    <xf numFmtId="164" fontId="71" fillId="40" borderId="0" applyNumberFormat="0" applyBorder="0" applyAlignment="0" applyProtection="0"/>
    <xf numFmtId="164" fontId="71" fillId="43" borderId="0" applyNumberFormat="0" applyBorder="0" applyAlignment="0" applyProtection="0"/>
    <xf numFmtId="164" fontId="72" fillId="44" borderId="0" applyNumberFormat="0" applyBorder="0" applyAlignment="0" applyProtection="0"/>
    <xf numFmtId="164" fontId="72" fillId="41" borderId="0" applyNumberFormat="0" applyBorder="0" applyAlignment="0" applyProtection="0"/>
    <xf numFmtId="164" fontId="72" fillId="42"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47" borderId="0" applyNumberFormat="0" applyBorder="0" applyAlignment="0" applyProtection="0"/>
    <xf numFmtId="164" fontId="91" fillId="0" borderId="0">
      <alignment horizontal="center" wrapText="1"/>
      <protection locked="0"/>
    </xf>
    <xf numFmtId="212" fontId="88" fillId="0" borderId="0" applyFill="0" applyBorder="0" applyAlignment="0"/>
    <xf numFmtId="213" fontId="88" fillId="0" borderId="0" applyFill="0" applyBorder="0" applyAlignment="0"/>
    <xf numFmtId="214" fontId="88" fillId="0" borderId="0" applyFill="0" applyBorder="0" applyAlignment="0"/>
    <xf numFmtId="215" fontId="88" fillId="0" borderId="0" applyFill="0" applyBorder="0" applyAlignment="0"/>
    <xf numFmtId="216"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217" fontId="88" fillId="0" borderId="0" applyFont="0" applyFill="0" applyBorder="0" applyAlignment="0" applyProtection="0"/>
    <xf numFmtId="164" fontId="34" fillId="0" borderId="0" applyNumberFormat="0" applyAlignment="0">
      <alignment horizontal="left"/>
    </xf>
    <xf numFmtId="164" fontId="35" fillId="0" borderId="0" applyNumberFormat="0" applyAlignment="0"/>
    <xf numFmtId="211" fontId="92" fillId="0" borderId="1"/>
    <xf numFmtId="213" fontId="88" fillId="0" borderId="0" applyFont="0" applyFill="0" applyBorder="0" applyAlignment="0" applyProtection="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38" fillId="0" borderId="0" applyNumberFormat="0" applyAlignment="0">
      <alignment horizontal="left"/>
    </xf>
    <xf numFmtId="164" fontId="41" fillId="0" borderId="14" applyNumberFormat="0" applyAlignment="0" applyProtection="0">
      <alignment horizontal="left" vertical="center"/>
    </xf>
    <xf numFmtId="164" fontId="41" fillId="0" borderId="13">
      <alignment horizontal="left" vertical="center"/>
    </xf>
    <xf numFmtId="164" fontId="46" fillId="0" borderId="17">
      <alignment horizontal="center"/>
    </xf>
    <xf numFmtId="164" fontId="46" fillId="0" borderId="0">
      <alignment horizontal="center"/>
    </xf>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164" fontId="89" fillId="0" borderId="0" applyNumberFormat="0" applyFill="0" applyBorder="0" applyAlignment="0" applyProtection="0">
      <alignment vertical="top"/>
      <protection locked="0"/>
    </xf>
    <xf numFmtId="200" fontId="88" fillId="57" borderId="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200" fontId="88" fillId="58" borderId="0"/>
    <xf numFmtId="201" fontId="88" fillId="0" borderId="0" applyFont="0" applyFill="0" applyBorder="0" applyAlignment="0" applyProtection="0"/>
    <xf numFmtId="209" fontId="88" fillId="0" borderId="0" applyFont="0" applyFill="0" applyBorder="0" applyAlignment="0" applyProtection="0"/>
    <xf numFmtId="167" fontId="54" fillId="60" borderId="0">
      <alignment vertical="top"/>
    </xf>
    <xf numFmtId="219" fontId="88" fillId="0" borderId="0"/>
    <xf numFmtId="14" fontId="91" fillId="0" borderId="0">
      <alignment horizontal="center" wrapText="1"/>
      <protection locked="0"/>
    </xf>
    <xf numFmtId="216" fontId="88" fillId="0" borderId="0" applyFont="0" applyFill="0" applyBorder="0" applyAlignment="0" applyProtection="0"/>
    <xf numFmtId="220" fontId="88" fillId="0" borderId="0" applyFont="0" applyFill="0" applyBorder="0" applyAlignment="0" applyProtection="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5" fontId="94" fillId="0" borderId="0"/>
    <xf numFmtId="164" fontId="33" fillId="0" borderId="17">
      <alignment horizontal="center"/>
    </xf>
    <xf numFmtId="164" fontId="53" fillId="0" borderId="0" applyNumberFormat="0" applyFont="0" applyFill="0" applyBorder="0" applyAlignment="0" applyProtection="0">
      <alignment horizontal="left"/>
    </xf>
    <xf numFmtId="164" fontId="53" fillId="62" borderId="0" applyNumberFormat="0" applyFont="0" applyBorder="0" applyAlignment="0" applyProtection="0"/>
    <xf numFmtId="164" fontId="62" fillId="63" borderId="0" applyNumberFormat="0" applyFont="0" applyBorder="0" applyAlignment="0">
      <alignment horizontal="center"/>
    </xf>
    <xf numFmtId="203" fontId="95" fillId="0" borderId="0" applyNumberFormat="0" applyFill="0" applyBorder="0" applyAlignment="0" applyProtection="0">
      <alignment horizontal="left"/>
    </xf>
    <xf numFmtId="164" fontId="96" fillId="0" borderId="21"/>
    <xf numFmtId="164" fontId="62" fillId="1" borderId="13" applyNumberFormat="0" applyFont="0" applyAlignment="0">
      <alignment horizontal="center"/>
    </xf>
    <xf numFmtId="164" fontId="65" fillId="0" borderId="0" applyNumberFormat="0" applyFill="0" applyBorder="0" applyAlignment="0">
      <alignment horizontal="center"/>
    </xf>
    <xf numFmtId="164" fontId="20" fillId="0" borderId="0"/>
    <xf numFmtId="164" fontId="97" fillId="0" borderId="23"/>
    <xf numFmtId="40" fontId="98" fillId="0" borderId="0" applyBorder="0">
      <alignment horizontal="right"/>
    </xf>
    <xf numFmtId="221" fontId="88" fillId="0" borderId="0" applyFill="0" applyBorder="0" applyAlignment="0"/>
    <xf numFmtId="222" fontId="88" fillId="0" borderId="0" applyFill="0" applyBorder="0" applyAlignment="0"/>
    <xf numFmtId="164" fontId="72" fillId="49" borderId="0" applyNumberFormat="0" applyBorder="0" applyAlignment="0" applyProtection="0"/>
    <xf numFmtId="164" fontId="72" fillId="50" borderId="0" applyNumberFormat="0" applyBorder="0" applyAlignment="0" applyProtection="0"/>
    <xf numFmtId="164" fontId="72" fillId="51"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52" borderId="0" applyNumberFormat="0" applyBorder="0" applyAlignment="0" applyProtection="0"/>
    <xf numFmtId="164" fontId="79" fillId="39" borderId="11" applyNumberFormat="0" applyAlignment="0" applyProtection="0"/>
    <xf numFmtId="164" fontId="82" fillId="53" borderId="20" applyNumberFormat="0" applyAlignment="0" applyProtection="0"/>
    <xf numFmtId="164" fontId="74" fillId="53" borderId="11" applyNumberFormat="0" applyAlignment="0" applyProtection="0"/>
    <xf numFmtId="164" fontId="99" fillId="0" borderId="25" applyNumberFormat="0" applyFill="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101" fillId="0" borderId="28" applyNumberFormat="0" applyFill="0" applyAlignment="0" applyProtection="0"/>
    <xf numFmtId="164" fontId="75" fillId="54" borderId="12" applyNumberFormat="0" applyAlignment="0" applyProtection="0"/>
    <xf numFmtId="164" fontId="102" fillId="0" borderId="0" applyNumberFormat="0" applyFill="0" applyBorder="0" applyAlignment="0" applyProtection="0"/>
    <xf numFmtId="164" fontId="81" fillId="61" borderId="0" applyNumberFormat="0" applyBorder="0" applyAlignment="0" applyProtection="0"/>
    <xf numFmtId="164" fontId="73" fillId="36" borderId="0" applyNumberFormat="0" applyBorder="0" applyAlignment="0" applyProtection="0"/>
    <xf numFmtId="164" fontId="76" fillId="0" borderId="0" applyNumberFormat="0" applyFill="0" applyBorder="0" applyAlignment="0" applyProtection="0"/>
    <xf numFmtId="164" fontId="90" fillId="65" borderId="27" applyNumberFormat="0" applyFont="0" applyAlignment="0" applyProtection="0"/>
    <xf numFmtId="164" fontId="80" fillId="0" borderId="18" applyNumberFormat="0" applyFill="0" applyAlignment="0" applyProtection="0"/>
    <xf numFmtId="164" fontId="27" fillId="0" borderId="0"/>
    <xf numFmtId="164" fontId="84" fillId="0" borderId="0" applyNumberFormat="0" applyFill="0" applyBorder="0" applyAlignment="0" applyProtection="0"/>
    <xf numFmtId="164" fontId="77" fillId="3" borderId="0" applyNumberFormat="0" applyBorder="0" applyAlignment="0" applyProtection="0"/>
    <xf numFmtId="164" fontId="103" fillId="0" borderId="0">
      <alignment vertical="center"/>
    </xf>
    <xf numFmtId="164" fontId="90"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164" fontId="27" fillId="0" borderId="0"/>
    <xf numFmtId="9" fontId="90" fillId="0" borderId="0" applyFont="0" applyFill="0" applyBorder="0" applyAlignment="0" applyProtection="0"/>
    <xf numFmtId="164" fontId="87" fillId="0" borderId="0"/>
    <xf numFmtId="164" fontId="87" fillId="0" borderId="0"/>
    <xf numFmtId="164" fontId="105" fillId="0" borderId="0" applyNumberFormat="0" applyFill="0" applyBorder="0" applyAlignment="0" applyProtection="0">
      <alignment vertical="top"/>
      <protection locked="0"/>
    </xf>
    <xf numFmtId="167" fontId="90" fillId="0" borderId="0" applyFont="0" applyFill="0" applyBorder="0" applyAlignment="0" applyProtection="0"/>
    <xf numFmtId="167" fontId="90" fillId="0" borderId="0" applyFont="0" applyFill="0" applyBorder="0" applyAlignment="0" applyProtection="0"/>
    <xf numFmtId="164" fontId="27" fillId="0" borderId="0"/>
    <xf numFmtId="164" fontId="20" fillId="0" borderId="0"/>
    <xf numFmtId="164" fontId="122" fillId="39" borderId="0" applyNumberFormat="0" applyBorder="0" applyAlignment="0" applyProtection="0">
      <alignment vertical="center"/>
    </xf>
    <xf numFmtId="164" fontId="122" fillId="41" borderId="0" applyNumberFormat="0" applyBorder="0" applyAlignment="0" applyProtection="0">
      <alignment vertical="center"/>
    </xf>
    <xf numFmtId="164" fontId="122" fillId="65"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65" borderId="0" applyNumberFormat="0" applyBorder="0" applyAlignment="0" applyProtection="0">
      <alignment vertical="center"/>
    </xf>
    <xf numFmtId="164" fontId="122" fillId="53" borderId="0" applyNumberFormat="0" applyBorder="0" applyAlignment="0" applyProtection="0">
      <alignment vertical="center"/>
    </xf>
    <xf numFmtId="164" fontId="122" fillId="41" borderId="0" applyNumberFormat="0" applyBorder="0" applyAlignment="0" applyProtection="0">
      <alignment vertical="center"/>
    </xf>
    <xf numFmtId="164" fontId="122" fillId="61" borderId="0" applyNumberFormat="0" applyBorder="0" applyAlignment="0" applyProtection="0">
      <alignment vertical="center"/>
    </xf>
    <xf numFmtId="164" fontId="122" fillId="53" borderId="0" applyNumberFormat="0" applyBorder="0" applyAlignment="0" applyProtection="0">
      <alignment vertical="center"/>
    </xf>
    <xf numFmtId="164" fontId="122" fillId="40" borderId="0" applyNumberFormat="0" applyBorder="0" applyAlignment="0" applyProtection="0">
      <alignment vertical="center"/>
    </xf>
    <xf numFmtId="164" fontId="122" fillId="61" borderId="0" applyNumberFormat="0" applyBorder="0" applyAlignment="0" applyProtection="0">
      <alignment vertical="center"/>
    </xf>
    <xf numFmtId="164" fontId="123" fillId="46" borderId="0" applyNumberFormat="0" applyBorder="0" applyAlignment="0" applyProtection="0">
      <alignment vertical="center"/>
    </xf>
    <xf numFmtId="164" fontId="123" fillId="41" borderId="0" applyNumberFormat="0" applyBorder="0" applyAlignment="0" applyProtection="0">
      <alignment vertical="center"/>
    </xf>
    <xf numFmtId="164" fontId="123" fillId="61" borderId="0" applyNumberFormat="0" applyBorder="0" applyAlignment="0" applyProtection="0">
      <alignment vertical="center"/>
    </xf>
    <xf numFmtId="164" fontId="123" fillId="53" borderId="0" applyNumberFormat="0" applyBorder="0" applyAlignment="0" applyProtection="0">
      <alignment vertical="center"/>
    </xf>
    <xf numFmtId="164" fontId="123" fillId="46" borderId="0" applyNumberFormat="0" applyBorder="0" applyAlignment="0" applyProtection="0">
      <alignment vertical="center"/>
    </xf>
    <xf numFmtId="164" fontId="123" fillId="41" borderId="0" applyNumberFormat="0" applyBorder="0" applyAlignment="0" applyProtection="0">
      <alignment vertical="center"/>
    </xf>
    <xf numFmtId="164" fontId="124" fillId="61" borderId="0" applyNumberFormat="0" applyBorder="0" applyAlignment="0" applyProtection="0">
      <alignment vertical="center"/>
    </xf>
    <xf numFmtId="164" fontId="125" fillId="0" borderId="29" applyNumberFormat="0" applyFill="0" applyAlignment="0" applyProtection="0">
      <alignment vertical="center"/>
    </xf>
    <xf numFmtId="164" fontId="126" fillId="3" borderId="0" applyNumberFormat="0" applyBorder="0" applyAlignment="0" applyProtection="0">
      <alignment vertical="center"/>
    </xf>
    <xf numFmtId="164" fontId="127" fillId="66" borderId="11" applyNumberFormat="0" applyAlignment="0" applyProtection="0">
      <alignment vertical="center"/>
    </xf>
    <xf numFmtId="167" fontId="20" fillId="0" borderId="0" applyFont="0" applyFill="0" applyBorder="0" applyAlignment="0" applyProtection="0"/>
    <xf numFmtId="164" fontId="128" fillId="0" borderId="18" applyNumberFormat="0" applyFill="0" applyAlignment="0" applyProtection="0">
      <alignment vertical="center"/>
    </xf>
    <xf numFmtId="164" fontId="103" fillId="65" borderId="27" applyNumberFormat="0" applyFont="0" applyAlignment="0" applyProtection="0">
      <alignment vertical="center"/>
    </xf>
    <xf numFmtId="164" fontId="129" fillId="0" borderId="0" applyNumberFormat="0" applyFill="0" applyBorder="0" applyAlignment="0" applyProtection="0">
      <alignment vertical="center"/>
    </xf>
    <xf numFmtId="164" fontId="123" fillId="46"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67"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30" fillId="0" borderId="0" applyNumberFormat="0" applyFill="0" applyBorder="0" applyAlignment="0" applyProtection="0">
      <alignment vertical="center"/>
    </xf>
    <xf numFmtId="164" fontId="131" fillId="0" borderId="30" applyNumberFormat="0" applyFill="0" applyAlignment="0" applyProtection="0">
      <alignment vertical="center"/>
    </xf>
    <xf numFmtId="164" fontId="132" fillId="0" borderId="26" applyNumberFormat="0" applyFill="0" applyAlignment="0" applyProtection="0">
      <alignment vertical="center"/>
    </xf>
    <xf numFmtId="164" fontId="133" fillId="0" borderId="31" applyNumberFormat="0" applyFill="0" applyAlignment="0" applyProtection="0">
      <alignment vertical="center"/>
    </xf>
    <xf numFmtId="164" fontId="133" fillId="0" borderId="0" applyNumberFormat="0" applyFill="0" applyBorder="0" applyAlignment="0" applyProtection="0">
      <alignment vertical="center"/>
    </xf>
    <xf numFmtId="164" fontId="134" fillId="61" borderId="11" applyNumberFormat="0" applyAlignment="0" applyProtection="0">
      <alignment vertical="center"/>
    </xf>
    <xf numFmtId="164" fontId="135" fillId="66" borderId="20"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38" fillId="0" borderId="0" applyNumberFormat="0" applyFill="0" applyBorder="0" applyAlignment="0" applyProtection="0">
      <alignment vertical="center"/>
    </xf>
    <xf numFmtId="164" fontId="104" fillId="0" borderId="0">
      <alignment vertical="center"/>
    </xf>
    <xf numFmtId="164" fontId="106" fillId="0" borderId="0" applyNumberFormat="0" applyFill="0" applyBorder="0" applyAlignment="0" applyProtection="0">
      <alignment vertical="center"/>
    </xf>
    <xf numFmtId="164" fontId="107" fillId="0" borderId="2" applyNumberFormat="0" applyFill="0" applyAlignment="0" applyProtection="0">
      <alignment vertical="center"/>
    </xf>
    <xf numFmtId="164" fontId="108" fillId="0" borderId="3" applyNumberFormat="0" applyFill="0" applyAlignment="0" applyProtection="0">
      <alignment vertical="center"/>
    </xf>
    <xf numFmtId="164" fontId="109" fillId="0" borderId="4" applyNumberFormat="0" applyFill="0" applyAlignment="0" applyProtection="0">
      <alignment vertical="center"/>
    </xf>
    <xf numFmtId="164" fontId="109" fillId="0" borderId="0" applyNumberFormat="0" applyFill="0" applyBorder="0" applyAlignment="0" applyProtection="0">
      <alignment vertical="center"/>
    </xf>
    <xf numFmtId="164" fontId="110" fillId="4" borderId="0" applyNumberFormat="0" applyBorder="0" applyAlignment="0" applyProtection="0">
      <alignment vertical="center"/>
    </xf>
    <xf numFmtId="164" fontId="111" fillId="5" borderId="0" applyNumberFormat="0" applyBorder="0" applyAlignment="0" applyProtection="0">
      <alignment vertical="center"/>
    </xf>
    <xf numFmtId="164" fontId="112" fillId="6" borderId="0" applyNumberFormat="0" applyBorder="0" applyAlignment="0" applyProtection="0">
      <alignment vertical="center"/>
    </xf>
    <xf numFmtId="164" fontId="113" fillId="7" borderId="5" applyNumberFormat="0" applyAlignment="0" applyProtection="0">
      <alignment vertical="center"/>
    </xf>
    <xf numFmtId="164" fontId="114" fillId="8" borderId="6" applyNumberFormat="0" applyAlignment="0" applyProtection="0">
      <alignment vertical="center"/>
    </xf>
    <xf numFmtId="164" fontId="115" fillId="8" borderId="5" applyNumberFormat="0" applyAlignment="0" applyProtection="0">
      <alignment vertical="center"/>
    </xf>
    <xf numFmtId="164" fontId="116" fillId="0" borderId="7" applyNumberFormat="0" applyFill="0" applyAlignment="0" applyProtection="0">
      <alignment vertical="center"/>
    </xf>
    <xf numFmtId="164" fontId="117" fillId="9" borderId="8" applyNumberFormat="0" applyAlignment="0" applyProtection="0">
      <alignment vertical="center"/>
    </xf>
    <xf numFmtId="164" fontId="118" fillId="0" borderId="0" applyNumberFormat="0" applyFill="0" applyBorder="0" applyAlignment="0" applyProtection="0">
      <alignment vertical="center"/>
    </xf>
    <xf numFmtId="164" fontId="104" fillId="10" borderId="9" applyNumberFormat="0" applyFont="0" applyAlignment="0" applyProtection="0">
      <alignment vertical="center"/>
    </xf>
    <xf numFmtId="164" fontId="119" fillId="0" borderId="0" applyNumberFormat="0" applyFill="0" applyBorder="0" applyAlignment="0" applyProtection="0">
      <alignment vertical="center"/>
    </xf>
    <xf numFmtId="164" fontId="120" fillId="0" borderId="10" applyNumberFormat="0" applyFill="0" applyAlignment="0" applyProtection="0">
      <alignment vertical="center"/>
    </xf>
    <xf numFmtId="164" fontId="121" fillId="11" borderId="0" applyNumberFormat="0" applyBorder="0" applyAlignment="0" applyProtection="0">
      <alignment vertical="center"/>
    </xf>
    <xf numFmtId="164" fontId="104" fillId="12" borderId="0" applyNumberFormat="0" applyBorder="0" applyAlignment="0" applyProtection="0">
      <alignment vertical="center"/>
    </xf>
    <xf numFmtId="164" fontId="104" fillId="13" borderId="0" applyNumberFormat="0" applyBorder="0" applyAlignment="0" applyProtection="0">
      <alignment vertical="center"/>
    </xf>
    <xf numFmtId="164" fontId="121" fillId="14" borderId="0" applyNumberFormat="0" applyBorder="0" applyAlignment="0" applyProtection="0">
      <alignment vertical="center"/>
    </xf>
    <xf numFmtId="164" fontId="121" fillId="15" borderId="0" applyNumberFormat="0" applyBorder="0" applyAlignment="0" applyProtection="0">
      <alignment vertical="center"/>
    </xf>
    <xf numFmtId="164" fontId="104" fillId="16" borderId="0" applyNumberFormat="0" applyBorder="0" applyAlignment="0" applyProtection="0">
      <alignment vertical="center"/>
    </xf>
    <xf numFmtId="164" fontId="104" fillId="17" borderId="0" applyNumberFormat="0" applyBorder="0" applyAlignment="0" applyProtection="0">
      <alignment vertical="center"/>
    </xf>
    <xf numFmtId="164" fontId="121" fillId="18" borderId="0" applyNumberFormat="0" applyBorder="0" applyAlignment="0" applyProtection="0">
      <alignment vertical="center"/>
    </xf>
    <xf numFmtId="164" fontId="121" fillId="19" borderId="0" applyNumberFormat="0" applyBorder="0" applyAlignment="0" applyProtection="0">
      <alignment vertical="center"/>
    </xf>
    <xf numFmtId="164" fontId="104" fillId="20" borderId="0" applyNumberFormat="0" applyBorder="0" applyAlignment="0" applyProtection="0">
      <alignment vertical="center"/>
    </xf>
    <xf numFmtId="164" fontId="104" fillId="21" borderId="0" applyNumberFormat="0" applyBorder="0" applyAlignment="0" applyProtection="0">
      <alignment vertical="center"/>
    </xf>
    <xf numFmtId="164" fontId="121" fillId="22" borderId="0" applyNumberFormat="0" applyBorder="0" applyAlignment="0" applyProtection="0">
      <alignment vertical="center"/>
    </xf>
    <xf numFmtId="164" fontId="121" fillId="23" borderId="0" applyNumberFormat="0" applyBorder="0" applyAlignment="0" applyProtection="0">
      <alignment vertical="center"/>
    </xf>
    <xf numFmtId="164" fontId="104" fillId="24" borderId="0" applyNumberFormat="0" applyBorder="0" applyAlignment="0" applyProtection="0">
      <alignment vertical="center"/>
    </xf>
    <xf numFmtId="164" fontId="104" fillId="25" borderId="0" applyNumberFormat="0" applyBorder="0" applyAlignment="0" applyProtection="0">
      <alignment vertical="center"/>
    </xf>
    <xf numFmtId="164" fontId="121" fillId="26" borderId="0" applyNumberFormat="0" applyBorder="0" applyAlignment="0" applyProtection="0">
      <alignment vertical="center"/>
    </xf>
    <xf numFmtId="164" fontId="121" fillId="27" borderId="0" applyNumberFormat="0" applyBorder="0" applyAlignment="0" applyProtection="0">
      <alignment vertical="center"/>
    </xf>
    <xf numFmtId="164" fontId="104" fillId="28" borderId="0" applyNumberFormat="0" applyBorder="0" applyAlignment="0" applyProtection="0">
      <alignment vertical="center"/>
    </xf>
    <xf numFmtId="164" fontId="104" fillId="29" borderId="0" applyNumberFormat="0" applyBorder="0" applyAlignment="0" applyProtection="0">
      <alignment vertical="center"/>
    </xf>
    <xf numFmtId="164" fontId="121" fillId="30" borderId="0" applyNumberFormat="0" applyBorder="0" applyAlignment="0" applyProtection="0">
      <alignment vertical="center"/>
    </xf>
    <xf numFmtId="164" fontId="121" fillId="31" borderId="0" applyNumberFormat="0" applyBorder="0" applyAlignment="0" applyProtection="0">
      <alignment vertical="center"/>
    </xf>
    <xf numFmtId="164" fontId="104" fillId="32" borderId="0" applyNumberFormat="0" applyBorder="0" applyAlignment="0" applyProtection="0">
      <alignment vertical="center"/>
    </xf>
    <xf numFmtId="164" fontId="104" fillId="33" borderId="0" applyNumberFormat="0" applyBorder="0" applyAlignment="0" applyProtection="0">
      <alignment vertical="center"/>
    </xf>
    <xf numFmtId="164" fontId="121" fillId="34" borderId="0" applyNumberFormat="0" applyBorder="0" applyAlignment="0" applyProtection="0">
      <alignment vertical="center"/>
    </xf>
    <xf numFmtId="164" fontId="20" fillId="0" borderId="0"/>
    <xf numFmtId="164" fontId="122" fillId="53" borderId="0" applyNumberFormat="0" applyBorder="0" applyAlignment="0" applyProtection="0">
      <alignment vertical="center"/>
    </xf>
    <xf numFmtId="164" fontId="122" fillId="39" borderId="0" applyNumberFormat="0" applyBorder="0" applyAlignment="0" applyProtection="0">
      <alignment vertical="center"/>
    </xf>
    <xf numFmtId="164" fontId="122" fillId="65"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65" borderId="0" applyNumberFormat="0" applyBorder="0" applyAlignment="0" applyProtection="0">
      <alignment vertical="center"/>
    </xf>
    <xf numFmtId="164" fontId="122" fillId="41"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22" fillId="41" borderId="0" applyNumberFormat="0" applyBorder="0" applyAlignment="0" applyProtection="0">
      <alignment vertical="center"/>
    </xf>
    <xf numFmtId="164" fontId="122" fillId="61" borderId="0" applyNumberFormat="0" applyBorder="0" applyAlignment="0" applyProtection="0">
      <alignment vertical="center"/>
    </xf>
    <xf numFmtId="164" fontId="122" fillId="53" borderId="0" applyNumberFormat="0" applyBorder="0" applyAlignment="0" applyProtection="0">
      <alignment vertical="center"/>
    </xf>
    <xf numFmtId="164" fontId="122" fillId="40" borderId="0" applyNumberFormat="0" applyBorder="0" applyAlignment="0" applyProtection="0">
      <alignment vertical="center"/>
    </xf>
    <xf numFmtId="164" fontId="122" fillId="61" borderId="0" applyNumberFormat="0" applyBorder="0" applyAlignment="0" applyProtection="0">
      <alignment vertical="center"/>
    </xf>
    <xf numFmtId="164" fontId="123" fillId="46" borderId="0" applyNumberFormat="0" applyBorder="0" applyAlignment="0" applyProtection="0">
      <alignment vertical="center"/>
    </xf>
    <xf numFmtId="164" fontId="123" fillId="41" borderId="0" applyNumberFormat="0" applyBorder="0" applyAlignment="0" applyProtection="0">
      <alignment vertical="center"/>
    </xf>
    <xf numFmtId="164" fontId="123" fillId="61" borderId="0" applyNumberFormat="0" applyBorder="0" applyAlignment="0" applyProtection="0">
      <alignment vertical="center"/>
    </xf>
    <xf numFmtId="164" fontId="123" fillId="53" borderId="0" applyNumberFormat="0" applyBorder="0" applyAlignment="0" applyProtection="0">
      <alignment vertical="center"/>
    </xf>
    <xf numFmtId="164" fontId="123" fillId="46" borderId="0" applyNumberFormat="0" applyBorder="0" applyAlignment="0" applyProtection="0">
      <alignment vertical="center"/>
    </xf>
    <xf numFmtId="164" fontId="123" fillId="41" borderId="0" applyNumberFormat="0" applyBorder="0" applyAlignment="0" applyProtection="0">
      <alignment vertical="center"/>
    </xf>
    <xf numFmtId="164" fontId="124" fillId="61" borderId="0" applyNumberFormat="0" applyBorder="0" applyAlignment="0" applyProtection="0">
      <alignment vertical="center"/>
    </xf>
    <xf numFmtId="164" fontId="125" fillId="0" borderId="29" applyNumberFormat="0" applyFill="0" applyAlignment="0" applyProtection="0">
      <alignment vertical="center"/>
    </xf>
    <xf numFmtId="164" fontId="126" fillId="3" borderId="0" applyNumberFormat="0" applyBorder="0" applyAlignment="0" applyProtection="0">
      <alignment vertical="center"/>
    </xf>
    <xf numFmtId="164" fontId="127" fillId="66" borderId="11" applyNumberFormat="0" applyAlignment="0" applyProtection="0">
      <alignment vertical="center"/>
    </xf>
    <xf numFmtId="167" fontId="20" fillId="0" borderId="0" applyFont="0" applyFill="0" applyBorder="0" applyAlignment="0" applyProtection="0"/>
    <xf numFmtId="164" fontId="128" fillId="0" borderId="18" applyNumberFormat="0" applyFill="0" applyAlignment="0" applyProtection="0">
      <alignment vertical="center"/>
    </xf>
    <xf numFmtId="164" fontId="103" fillId="65" borderId="27" applyNumberFormat="0" applyFont="0" applyAlignment="0" applyProtection="0">
      <alignment vertical="center"/>
    </xf>
    <xf numFmtId="164" fontId="129" fillId="0" borderId="0" applyNumberFormat="0" applyFill="0" applyBorder="0" applyAlignment="0" applyProtection="0">
      <alignment vertical="center"/>
    </xf>
    <xf numFmtId="164" fontId="123" fillId="46"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67"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30" fillId="0" borderId="0" applyNumberFormat="0" applyFill="0" applyBorder="0" applyAlignment="0" applyProtection="0">
      <alignment vertical="center"/>
    </xf>
    <xf numFmtId="164" fontId="131" fillId="0" borderId="30" applyNumberFormat="0" applyFill="0" applyAlignment="0" applyProtection="0">
      <alignment vertical="center"/>
    </xf>
    <xf numFmtId="164" fontId="132" fillId="0" borderId="26" applyNumberFormat="0" applyFill="0" applyAlignment="0" applyProtection="0">
      <alignment vertical="center"/>
    </xf>
    <xf numFmtId="164" fontId="133" fillId="0" borderId="31" applyNumberFormat="0" applyFill="0" applyAlignment="0" applyProtection="0">
      <alignment vertical="center"/>
    </xf>
    <xf numFmtId="164" fontId="133" fillId="0" borderId="0" applyNumberFormat="0" applyFill="0" applyBorder="0" applyAlignment="0" applyProtection="0">
      <alignment vertical="center"/>
    </xf>
    <xf numFmtId="164" fontId="134" fillId="61" borderId="11" applyNumberFormat="0" applyAlignment="0" applyProtection="0">
      <alignment vertical="center"/>
    </xf>
    <xf numFmtId="164" fontId="135" fillId="66" borderId="20"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38" fillId="0" borderId="0" applyNumberFormat="0" applyFill="0" applyBorder="0" applyAlignment="0" applyProtection="0">
      <alignment vertical="center"/>
    </xf>
    <xf numFmtId="164" fontId="103" fillId="0" borderId="0">
      <alignment vertical="center"/>
    </xf>
    <xf numFmtId="164" fontId="156" fillId="35" borderId="0" applyNumberFormat="0" applyBorder="0" applyAlignment="0" applyProtection="0">
      <alignment vertical="center"/>
    </xf>
    <xf numFmtId="164" fontId="156" fillId="36" borderId="0" applyNumberFormat="0" applyBorder="0" applyAlignment="0" applyProtection="0">
      <alignment vertical="center"/>
    </xf>
    <xf numFmtId="164" fontId="156" fillId="3"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56"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9" borderId="0" applyNumberFormat="0" applyBorder="0" applyAlignment="0" applyProtection="0">
      <alignment vertical="center"/>
    </xf>
    <xf numFmtId="164" fontId="156" fillId="40" borderId="0" applyNumberFormat="0" applyBorder="0" applyAlignment="0" applyProtection="0">
      <alignment vertical="center"/>
    </xf>
    <xf numFmtId="164" fontId="156"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40" borderId="0" applyNumberFormat="0" applyBorder="0" applyAlignment="0" applyProtection="0">
      <alignment vertical="center"/>
    </xf>
    <xf numFmtId="164" fontId="156"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57" fillId="44" borderId="0" applyNumberFormat="0" applyBorder="0" applyAlignment="0" applyProtection="0">
      <alignment vertical="center"/>
    </xf>
    <xf numFmtId="164" fontId="157" fillId="41" borderId="0" applyNumberFormat="0" applyBorder="0" applyAlignment="0" applyProtection="0">
      <alignment vertical="center"/>
    </xf>
    <xf numFmtId="164" fontId="157" fillId="42"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47" borderId="0" applyNumberFormat="0" applyBorder="0" applyAlignment="0" applyProtection="0">
      <alignment vertical="center"/>
    </xf>
    <xf numFmtId="164" fontId="123" fillId="44"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7" borderId="0" applyNumberFormat="0" applyBorder="0" applyAlignment="0" applyProtection="0">
      <alignment vertical="center"/>
    </xf>
    <xf numFmtId="164" fontId="157" fillId="49" borderId="0" applyNumberFormat="0" applyBorder="0" applyAlignment="0" applyProtection="0">
      <alignment vertical="center"/>
    </xf>
    <xf numFmtId="164" fontId="157" fillId="50" borderId="0" applyNumberFormat="0" applyBorder="0" applyAlignment="0" applyProtection="0">
      <alignment vertical="center"/>
    </xf>
    <xf numFmtId="164" fontId="157" fillId="51"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52" borderId="0" applyNumberFormat="0" applyBorder="0" applyAlignment="0" applyProtection="0">
      <alignment vertical="center"/>
    </xf>
    <xf numFmtId="164" fontId="158" fillId="36" borderId="0" applyNumberFormat="0" applyBorder="0" applyAlignment="0" applyProtection="0">
      <alignment vertical="center"/>
    </xf>
    <xf numFmtId="164" fontId="159" fillId="53" borderId="11" applyNumberFormat="0" applyAlignment="0" applyProtection="0">
      <alignment vertical="center"/>
    </xf>
    <xf numFmtId="164" fontId="160" fillId="54" borderId="12" applyNumberFormat="0" applyAlignment="0" applyProtection="0">
      <alignment vertical="center"/>
    </xf>
    <xf numFmtId="164" fontId="161" fillId="0" borderId="0" applyNumberFormat="0" applyFill="0" applyBorder="0" applyAlignment="0" applyProtection="0">
      <alignment vertical="center"/>
    </xf>
    <xf numFmtId="164" fontId="162" fillId="3" borderId="0" applyNumberFormat="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66" fillId="39" borderId="11" applyNumberFormat="0" applyAlignment="0" applyProtection="0">
      <alignment vertical="center"/>
    </xf>
    <xf numFmtId="164" fontId="167" fillId="0" borderId="18" applyNumberFormat="0" applyFill="0" applyAlignment="0" applyProtection="0">
      <alignment vertical="center"/>
    </xf>
    <xf numFmtId="164" fontId="168" fillId="61" borderId="0" applyNumberFormat="0" applyBorder="0" applyAlignment="0" applyProtection="0">
      <alignment vertical="center"/>
    </xf>
    <xf numFmtId="164" fontId="156" fillId="65" borderId="27" applyNumberFormat="0" applyFont="0" applyAlignment="0" applyProtection="0">
      <alignment vertical="center"/>
    </xf>
    <xf numFmtId="164" fontId="169" fillId="53" borderId="20" applyNumberFormat="0" applyAlignment="0" applyProtection="0">
      <alignment vertical="center"/>
    </xf>
    <xf numFmtId="164" fontId="27" fillId="0" borderId="0"/>
    <xf numFmtId="164" fontId="170" fillId="0" borderId="0" applyNumberFormat="0" applyFill="0" applyBorder="0" applyAlignment="0" applyProtection="0">
      <alignment vertical="center"/>
    </xf>
    <xf numFmtId="164" fontId="171" fillId="0" borderId="28" applyNumberFormat="0" applyFill="0" applyAlignment="0" applyProtection="0">
      <alignment vertical="center"/>
    </xf>
    <xf numFmtId="164" fontId="172"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23" fillId="49" borderId="0" applyNumberFormat="0" applyBorder="0" applyAlignment="0" applyProtection="0">
      <alignment vertical="center"/>
    </xf>
    <xf numFmtId="164" fontId="123" fillId="45" borderId="0" applyNumberFormat="0" applyBorder="0" applyAlignment="0" applyProtection="0">
      <alignment vertical="center"/>
    </xf>
    <xf numFmtId="164" fontId="170"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34" fillId="39" borderId="11" applyNumberFormat="0" applyAlignment="0" applyProtection="0">
      <alignment vertical="center"/>
    </xf>
    <xf numFmtId="164" fontId="135" fillId="53" borderId="20" applyNumberFormat="0" applyAlignment="0" applyProtection="0">
      <alignment vertical="center"/>
    </xf>
    <xf numFmtId="164" fontId="182" fillId="0" borderId="25" applyNumberFormat="0" applyFill="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213" fontId="51" fillId="0" borderId="0" applyFill="0" applyBorder="0" applyAlignment="0"/>
    <xf numFmtId="218" fontId="51" fillId="0" borderId="0" applyFill="0" applyBorder="0" applyAlignment="0"/>
    <xf numFmtId="217" fontId="51" fillId="0" borderId="0" applyFill="0" applyBorder="0" applyAlignment="0"/>
    <xf numFmtId="164" fontId="173" fillId="35" borderId="0" applyNumberFormat="0" applyBorder="0" applyAlignment="0" applyProtection="0">
      <alignment vertical="center"/>
    </xf>
    <xf numFmtId="164" fontId="173" fillId="36" borderId="0" applyNumberFormat="0" applyBorder="0" applyAlignment="0" applyProtection="0">
      <alignment vertical="center"/>
    </xf>
    <xf numFmtId="164" fontId="173" fillId="3" borderId="0" applyNumberFormat="0" applyBorder="0" applyAlignment="0" applyProtection="0">
      <alignment vertical="center"/>
    </xf>
    <xf numFmtId="164" fontId="173" fillId="37" borderId="0" applyNumberFormat="0" applyBorder="0" applyAlignment="0" applyProtection="0">
      <alignment vertical="center"/>
    </xf>
    <xf numFmtId="164" fontId="173" fillId="38" borderId="0" applyNumberFormat="0" applyBorder="0" applyAlignment="0" applyProtection="0">
      <alignment vertical="center"/>
    </xf>
    <xf numFmtId="164" fontId="173" fillId="39" borderId="0" applyNumberFormat="0" applyBorder="0" applyAlignment="0" applyProtection="0">
      <alignment vertical="center"/>
    </xf>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164" fontId="173" fillId="40" borderId="0" applyNumberFormat="0" applyBorder="0" applyAlignment="0" applyProtection="0">
      <alignment vertical="center"/>
    </xf>
    <xf numFmtId="164" fontId="173" fillId="41" borderId="0" applyNumberFormat="0" applyBorder="0" applyAlignment="0" applyProtection="0">
      <alignment vertical="center"/>
    </xf>
    <xf numFmtId="164" fontId="173" fillId="42" borderId="0" applyNumberFormat="0" applyBorder="0" applyAlignment="0" applyProtection="0">
      <alignment vertical="center"/>
    </xf>
    <xf numFmtId="164" fontId="173" fillId="37" borderId="0" applyNumberFormat="0" applyBorder="0" applyAlignment="0" applyProtection="0">
      <alignment vertical="center"/>
    </xf>
    <xf numFmtId="164" fontId="173" fillId="40" borderId="0" applyNumberFormat="0" applyBorder="0" applyAlignment="0" applyProtection="0">
      <alignment vertical="center"/>
    </xf>
    <xf numFmtId="164" fontId="173" fillId="43" borderId="0" applyNumberFormat="0" applyBorder="0" applyAlignment="0" applyProtection="0">
      <alignment vertical="center"/>
    </xf>
    <xf numFmtId="213" fontId="51" fillId="0" borderId="0" applyFont="0" applyFill="0" applyBorder="0" applyAlignment="0" applyProtection="0"/>
    <xf numFmtId="213" fontId="51" fillId="0" borderId="0" applyFont="0" applyFill="0" applyBorder="0" applyAlignment="0" applyProtection="0"/>
    <xf numFmtId="213" fontId="51" fillId="0" borderId="0" applyFont="0" applyFill="0" applyBorder="0" applyAlignment="0" applyProtection="0"/>
    <xf numFmtId="213" fontId="51" fillId="0" borderId="0" applyFont="0" applyFill="0" applyBorder="0" applyAlignment="0" applyProtection="0"/>
    <xf numFmtId="217" fontId="51" fillId="0" borderId="0" applyFont="0" applyFill="0" applyBorder="0" applyAlignment="0" applyProtection="0"/>
    <xf numFmtId="164" fontId="174" fillId="44" borderId="0" applyNumberFormat="0" applyBorder="0" applyAlignment="0" applyProtection="0">
      <alignment vertical="center"/>
    </xf>
    <xf numFmtId="164" fontId="174"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47"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164" fontId="174" fillId="49" borderId="0" applyNumberFormat="0" applyBorder="0" applyAlignment="0" applyProtection="0">
      <alignment vertical="center"/>
    </xf>
    <xf numFmtId="164" fontId="174" fillId="50" borderId="0" applyNumberFormat="0" applyBorder="0" applyAlignment="0" applyProtection="0">
      <alignment vertical="center"/>
    </xf>
    <xf numFmtId="164" fontId="174" fillId="51"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52" borderId="0" applyNumberFormat="0" applyBorder="0" applyAlignment="0" applyProtection="0">
      <alignment vertical="center"/>
    </xf>
    <xf numFmtId="164" fontId="31" fillId="0" borderId="0">
      <alignment horizontal="center" wrapText="1"/>
      <protection locked="0"/>
    </xf>
    <xf numFmtId="164" fontId="188" fillId="36" borderId="0" applyNumberFormat="0" applyBorder="0" applyAlignment="0" applyProtection="0">
      <alignment vertical="center"/>
    </xf>
    <xf numFmtId="215" fontId="51" fillId="0" borderId="0" applyFill="0" applyBorder="0" applyAlignment="0"/>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217" fontId="51" fillId="0" borderId="0" applyFont="0" applyFill="0" applyBorder="0" applyAlignment="0" applyProtection="0"/>
    <xf numFmtId="214" fontId="51" fillId="0" borderId="0" applyFill="0" applyBorder="0" applyAlignment="0"/>
    <xf numFmtId="213" fontId="51" fillId="0" borderId="0" applyFill="0" applyBorder="0" applyAlignment="0"/>
    <xf numFmtId="212" fontId="51" fillId="0" borderId="0" applyFill="0" applyBorder="0" applyAlignment="0"/>
    <xf numFmtId="213"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52"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ill="0" applyBorder="0" applyAlignment="0"/>
    <xf numFmtId="164" fontId="185" fillId="39" borderId="11" applyNumberFormat="0" applyAlignment="0" applyProtection="0">
      <alignment vertical="center"/>
    </xf>
    <xf numFmtId="213" fontId="51" fillId="0" borderId="0" applyFill="0" applyBorder="0" applyAlignment="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217" fontId="51" fillId="0" borderId="0" applyFill="0" applyBorder="0" applyAlignment="0"/>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3" fontId="51" fillId="0" borderId="0" applyFill="0" applyBorder="0" applyAlignment="0"/>
    <xf numFmtId="217" fontId="51" fillId="0" borderId="0" applyFont="0" applyFill="0" applyBorder="0" applyAlignment="0" applyProtection="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3" fontId="51" fillId="0" borderId="0" applyFill="0" applyBorder="0" applyAlignment="0"/>
    <xf numFmtId="164" fontId="189" fillId="0" borderId="0" applyNumberFormat="0" applyFill="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8"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85" fillId="39" borderId="11" applyNumberFormat="0" applyAlignment="0" applyProtection="0">
      <alignment vertical="center"/>
    </xf>
    <xf numFmtId="164" fontId="20" fillId="65" borderId="27" applyNumberFormat="0" applyFont="0" applyAlignment="0" applyProtection="0"/>
    <xf numFmtId="213" fontId="51" fillId="0" borderId="0" applyFill="0" applyBorder="0" applyAlignment="0"/>
    <xf numFmtId="200" fontId="51" fillId="57" borderId="0"/>
    <xf numFmtId="217" fontId="51" fillId="0" borderId="0" applyFill="0" applyBorder="0" applyAlignment="0"/>
    <xf numFmtId="164" fontId="20" fillId="0" borderId="0"/>
    <xf numFmtId="213" fontId="51" fillId="0" borderId="0" applyFill="0" applyBorder="0" applyAlignment="0"/>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85" fillId="39" borderId="11" applyNumberFormat="0" applyAlignment="0" applyProtection="0">
      <alignment vertical="center"/>
    </xf>
    <xf numFmtId="213" fontId="51" fillId="0" borderId="0" applyFill="0" applyBorder="0" applyAlignment="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212" fontId="51" fillId="0" borderId="0" applyFill="0" applyBorder="0" applyAlignment="0"/>
    <xf numFmtId="164" fontId="175" fillId="61" borderId="0" applyNumberFormat="0" applyBorder="0" applyAlignment="0" applyProtection="0">
      <alignment vertical="center"/>
    </xf>
    <xf numFmtId="219" fontId="51" fillId="0" borderId="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3" fontId="51" fillId="0" borderId="0" applyFill="0" applyBorder="0" applyAlignment="0"/>
    <xf numFmtId="217" fontId="51" fillId="0" borderId="0" applyFont="0" applyFill="0" applyBorder="0" applyAlignment="0" applyProtection="0"/>
    <xf numFmtId="164" fontId="63" fillId="0" borderId="21"/>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87" fillId="54" borderId="12" applyNumberFormat="0" applyAlignment="0" applyProtection="0">
      <alignment vertical="center"/>
    </xf>
    <xf numFmtId="164" fontId="30" fillId="0" borderId="23"/>
    <xf numFmtId="164" fontId="178" fillId="53" borderId="11" applyNumberFormat="0" applyAlignment="0" applyProtection="0">
      <alignment vertical="center"/>
    </xf>
    <xf numFmtId="164" fontId="173" fillId="4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13"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8"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7" fontId="51" fillId="0" borderId="0" applyFill="0" applyBorder="0" applyAlignment="0"/>
    <xf numFmtId="164" fontId="20" fillId="65" borderId="27" applyNumberFormat="0" applyFont="0" applyAlignment="0" applyProtection="0"/>
    <xf numFmtId="216" fontId="51" fillId="0" borderId="0" applyFill="0" applyBorder="0" applyAlignment="0"/>
    <xf numFmtId="215" fontId="51" fillId="0" borderId="0" applyFill="0" applyBorder="0" applyAlignment="0"/>
    <xf numFmtId="214" fontId="51" fillId="0" borderId="0" applyFill="0" applyBorder="0" applyAlignment="0"/>
    <xf numFmtId="164" fontId="185" fillId="39" borderId="11" applyNumberFormat="0" applyAlignment="0" applyProtection="0">
      <alignment vertical="center"/>
    </xf>
    <xf numFmtId="164" fontId="20" fillId="0" borderId="0"/>
    <xf numFmtId="213" fontId="51" fillId="0" borderId="0" applyFill="0" applyBorder="0" applyAlignment="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212" fontId="51" fillId="0" borderId="0" applyFill="0" applyBorder="0" applyAlignment="0"/>
    <xf numFmtId="164" fontId="175" fillId="61" borderId="0" applyNumberFormat="0" applyBorder="0" applyAlignment="0" applyProtection="0">
      <alignment vertical="center"/>
    </xf>
    <xf numFmtId="219" fontId="51" fillId="0" borderId="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3" fontId="51" fillId="0" borderId="0" applyFill="0" applyBorder="0" applyAlignment="0"/>
    <xf numFmtId="217" fontId="51" fillId="0" borderId="0" applyFont="0" applyFill="0" applyBorder="0" applyAlignment="0" applyProtection="0"/>
    <xf numFmtId="164" fontId="63" fillId="0" borderId="21"/>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87" fillId="54" borderId="12" applyNumberFormat="0" applyAlignment="0" applyProtection="0">
      <alignment vertical="center"/>
    </xf>
    <xf numFmtId="164" fontId="30" fillId="0" borderId="23"/>
    <xf numFmtId="164" fontId="178" fillId="53" borderId="11" applyNumberFormat="0" applyAlignment="0" applyProtection="0">
      <alignment vertical="center"/>
    </xf>
    <xf numFmtId="164" fontId="173" fillId="4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13"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8"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7" fontId="51" fillId="0" borderId="0" applyFill="0" applyBorder="0" applyAlignment="0"/>
    <xf numFmtId="164" fontId="20" fillId="65" borderId="27" applyNumberFormat="0" applyFont="0" applyAlignment="0" applyProtection="0"/>
    <xf numFmtId="216" fontId="51" fillId="0" borderId="0" applyFill="0" applyBorder="0" applyAlignment="0"/>
    <xf numFmtId="215" fontId="51" fillId="0" borderId="0" applyFill="0" applyBorder="0" applyAlignment="0"/>
    <xf numFmtId="214" fontId="51" fillId="0" borderId="0" applyFill="0" applyBorder="0" applyAlignment="0"/>
    <xf numFmtId="164" fontId="185" fillId="39" borderId="11" applyNumberFormat="0" applyAlignment="0" applyProtection="0">
      <alignment vertical="center"/>
    </xf>
    <xf numFmtId="164" fontId="20" fillId="0" borderId="0"/>
    <xf numFmtId="213" fontId="51" fillId="0" borderId="0" applyFill="0" applyBorder="0" applyAlignment="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212" fontId="51" fillId="0" borderId="0" applyFill="0" applyBorder="0" applyAlignment="0"/>
    <xf numFmtId="164" fontId="175" fillId="61" borderId="0" applyNumberFormat="0" applyBorder="0" applyAlignment="0" applyProtection="0">
      <alignment vertical="center"/>
    </xf>
    <xf numFmtId="219" fontId="51" fillId="0" borderId="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3" fontId="51" fillId="0" borderId="0" applyFill="0" applyBorder="0" applyAlignment="0"/>
    <xf numFmtId="164" fontId="63" fillId="0" borderId="21"/>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30" fillId="0" borderId="23"/>
    <xf numFmtId="164" fontId="173" fillId="4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20" fillId="65" borderId="27" applyNumberFormat="0" applyFont="0" applyAlignment="0" applyProtection="0"/>
    <xf numFmtId="164" fontId="185" fillId="39" borderId="11" applyNumberFormat="0" applyAlignment="0" applyProtection="0">
      <alignment vertical="center"/>
    </xf>
    <xf numFmtId="164" fontId="20" fillId="0" borderId="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212" fontId="51" fillId="0" borderId="0" applyFill="0" applyBorder="0" applyAlignment="0"/>
    <xf numFmtId="164" fontId="175" fillId="61" borderId="0" applyNumberFormat="0" applyBorder="0" applyAlignment="0" applyProtection="0">
      <alignment vertical="center"/>
    </xf>
    <xf numFmtId="219" fontId="51" fillId="0" borderId="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63" fillId="0" borderId="21"/>
    <xf numFmtId="164" fontId="30" fillId="0" borderId="23"/>
    <xf numFmtId="164" fontId="173" fillId="4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20" fillId="65" borderId="27" applyNumberFormat="0" applyFont="0" applyAlignment="0" applyProtection="0"/>
    <xf numFmtId="164" fontId="20" fillId="0" borderId="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164" fontId="20" fillId="65" borderId="27" applyNumberFormat="0" applyFont="0" applyAlignment="0" applyProtection="0"/>
    <xf numFmtId="164" fontId="104" fillId="0" borderId="0">
      <alignment vertical="center"/>
    </xf>
    <xf numFmtId="164" fontId="106" fillId="0" borderId="0" applyNumberFormat="0" applyFill="0" applyBorder="0" applyAlignment="0" applyProtection="0">
      <alignment vertical="center"/>
    </xf>
    <xf numFmtId="164" fontId="107" fillId="0" borderId="2" applyNumberFormat="0" applyFill="0" applyAlignment="0" applyProtection="0">
      <alignment vertical="center"/>
    </xf>
    <xf numFmtId="164" fontId="108" fillId="0" borderId="3" applyNumberFormat="0" applyFill="0" applyAlignment="0" applyProtection="0">
      <alignment vertical="center"/>
    </xf>
    <xf numFmtId="164" fontId="109" fillId="0" borderId="4" applyNumberFormat="0" applyFill="0" applyAlignment="0" applyProtection="0">
      <alignment vertical="center"/>
    </xf>
    <xf numFmtId="164" fontId="109" fillId="0" borderId="0" applyNumberFormat="0" applyFill="0" applyBorder="0" applyAlignment="0" applyProtection="0">
      <alignment vertical="center"/>
    </xf>
    <xf numFmtId="164" fontId="110" fillId="4" borderId="0" applyNumberFormat="0" applyBorder="0" applyAlignment="0" applyProtection="0">
      <alignment vertical="center"/>
    </xf>
    <xf numFmtId="164" fontId="111" fillId="5" borderId="0" applyNumberFormat="0" applyBorder="0" applyAlignment="0" applyProtection="0">
      <alignment vertical="center"/>
    </xf>
    <xf numFmtId="164" fontId="112" fillId="6" borderId="0" applyNumberFormat="0" applyBorder="0" applyAlignment="0" applyProtection="0">
      <alignment vertical="center"/>
    </xf>
    <xf numFmtId="164" fontId="113" fillId="7" borderId="5" applyNumberFormat="0" applyAlignment="0" applyProtection="0">
      <alignment vertical="center"/>
    </xf>
    <xf numFmtId="164" fontId="114" fillId="8" borderId="6" applyNumberFormat="0" applyAlignment="0" applyProtection="0">
      <alignment vertical="center"/>
    </xf>
    <xf numFmtId="164" fontId="115" fillId="8" borderId="5" applyNumberFormat="0" applyAlignment="0" applyProtection="0">
      <alignment vertical="center"/>
    </xf>
    <xf numFmtId="164" fontId="116" fillId="0" borderId="7" applyNumberFormat="0" applyFill="0" applyAlignment="0" applyProtection="0">
      <alignment vertical="center"/>
    </xf>
    <xf numFmtId="164" fontId="117" fillId="9" borderId="8" applyNumberFormat="0" applyAlignment="0" applyProtection="0">
      <alignment vertical="center"/>
    </xf>
    <xf numFmtId="164" fontId="118" fillId="0" borderId="0" applyNumberFormat="0" applyFill="0" applyBorder="0" applyAlignment="0" applyProtection="0">
      <alignment vertical="center"/>
    </xf>
    <xf numFmtId="164" fontId="104" fillId="10" borderId="9" applyNumberFormat="0" applyFont="0" applyAlignment="0" applyProtection="0">
      <alignment vertical="center"/>
    </xf>
    <xf numFmtId="164" fontId="119" fillId="0" borderId="0" applyNumberFormat="0" applyFill="0" applyBorder="0" applyAlignment="0" applyProtection="0">
      <alignment vertical="center"/>
    </xf>
    <xf numFmtId="164" fontId="120" fillId="0" borderId="10" applyNumberFormat="0" applyFill="0" applyAlignment="0" applyProtection="0">
      <alignment vertical="center"/>
    </xf>
    <xf numFmtId="164" fontId="121" fillId="11" borderId="0" applyNumberFormat="0" applyBorder="0" applyAlignment="0" applyProtection="0">
      <alignment vertical="center"/>
    </xf>
    <xf numFmtId="164" fontId="104" fillId="12" borderId="0" applyNumberFormat="0" applyBorder="0" applyAlignment="0" applyProtection="0">
      <alignment vertical="center"/>
    </xf>
    <xf numFmtId="164" fontId="104" fillId="13" borderId="0" applyNumberFormat="0" applyBorder="0" applyAlignment="0" applyProtection="0">
      <alignment vertical="center"/>
    </xf>
    <xf numFmtId="164" fontId="121" fillId="14" borderId="0" applyNumberFormat="0" applyBorder="0" applyAlignment="0" applyProtection="0">
      <alignment vertical="center"/>
    </xf>
    <xf numFmtId="164" fontId="121" fillId="15" borderId="0" applyNumberFormat="0" applyBorder="0" applyAlignment="0" applyProtection="0">
      <alignment vertical="center"/>
    </xf>
    <xf numFmtId="164" fontId="104" fillId="16" borderId="0" applyNumberFormat="0" applyBorder="0" applyAlignment="0" applyProtection="0">
      <alignment vertical="center"/>
    </xf>
    <xf numFmtId="164" fontId="104" fillId="17" borderId="0" applyNumberFormat="0" applyBorder="0" applyAlignment="0" applyProtection="0">
      <alignment vertical="center"/>
    </xf>
    <xf numFmtId="164" fontId="121" fillId="18" borderId="0" applyNumberFormat="0" applyBorder="0" applyAlignment="0" applyProtection="0">
      <alignment vertical="center"/>
    </xf>
    <xf numFmtId="164" fontId="121" fillId="19" borderId="0" applyNumberFormat="0" applyBorder="0" applyAlignment="0" applyProtection="0">
      <alignment vertical="center"/>
    </xf>
    <xf numFmtId="164" fontId="104" fillId="20" borderId="0" applyNumberFormat="0" applyBorder="0" applyAlignment="0" applyProtection="0">
      <alignment vertical="center"/>
    </xf>
    <xf numFmtId="164" fontId="104" fillId="21" borderId="0" applyNumberFormat="0" applyBorder="0" applyAlignment="0" applyProtection="0">
      <alignment vertical="center"/>
    </xf>
    <xf numFmtId="164" fontId="121" fillId="22" borderId="0" applyNumberFormat="0" applyBorder="0" applyAlignment="0" applyProtection="0">
      <alignment vertical="center"/>
    </xf>
    <xf numFmtId="164" fontId="121" fillId="23" borderId="0" applyNumberFormat="0" applyBorder="0" applyAlignment="0" applyProtection="0">
      <alignment vertical="center"/>
    </xf>
    <xf numFmtId="164" fontId="104" fillId="24" borderId="0" applyNumberFormat="0" applyBorder="0" applyAlignment="0" applyProtection="0">
      <alignment vertical="center"/>
    </xf>
    <xf numFmtId="164" fontId="104" fillId="25" borderId="0" applyNumberFormat="0" applyBorder="0" applyAlignment="0" applyProtection="0">
      <alignment vertical="center"/>
    </xf>
    <xf numFmtId="164" fontId="121" fillId="26" borderId="0" applyNumberFormat="0" applyBorder="0" applyAlignment="0" applyProtection="0">
      <alignment vertical="center"/>
    </xf>
    <xf numFmtId="164" fontId="121" fillId="27" borderId="0" applyNumberFormat="0" applyBorder="0" applyAlignment="0" applyProtection="0">
      <alignment vertical="center"/>
    </xf>
    <xf numFmtId="164" fontId="104" fillId="28" borderId="0" applyNumberFormat="0" applyBorder="0" applyAlignment="0" applyProtection="0">
      <alignment vertical="center"/>
    </xf>
    <xf numFmtId="164" fontId="104" fillId="29" borderId="0" applyNumberFormat="0" applyBorder="0" applyAlignment="0" applyProtection="0">
      <alignment vertical="center"/>
    </xf>
    <xf numFmtId="164" fontId="121" fillId="30" borderId="0" applyNumberFormat="0" applyBorder="0" applyAlignment="0" applyProtection="0">
      <alignment vertical="center"/>
    </xf>
    <xf numFmtId="164" fontId="121" fillId="31" borderId="0" applyNumberFormat="0" applyBorder="0" applyAlignment="0" applyProtection="0">
      <alignment vertical="center"/>
    </xf>
    <xf numFmtId="164" fontId="104" fillId="32" borderId="0" applyNumberFormat="0" applyBorder="0" applyAlignment="0" applyProtection="0">
      <alignment vertical="center"/>
    </xf>
    <xf numFmtId="164" fontId="104" fillId="33" borderId="0" applyNumberFormat="0" applyBorder="0" applyAlignment="0" applyProtection="0">
      <alignment vertical="center"/>
    </xf>
    <xf numFmtId="164" fontId="121" fillId="34" borderId="0" applyNumberFormat="0" applyBorder="0" applyAlignment="0" applyProtection="0">
      <alignment vertical="center"/>
    </xf>
    <xf numFmtId="164" fontId="104" fillId="0" borderId="0">
      <alignment vertical="center"/>
    </xf>
    <xf numFmtId="164" fontId="106" fillId="0" borderId="0" applyNumberFormat="0" applyFill="0" applyBorder="0" applyAlignment="0" applyProtection="0">
      <alignment vertical="center"/>
    </xf>
    <xf numFmtId="164" fontId="107" fillId="0" borderId="2" applyNumberFormat="0" applyFill="0" applyAlignment="0" applyProtection="0">
      <alignment vertical="center"/>
    </xf>
    <xf numFmtId="164" fontId="108" fillId="0" borderId="3" applyNumberFormat="0" applyFill="0" applyAlignment="0" applyProtection="0">
      <alignment vertical="center"/>
    </xf>
    <xf numFmtId="164" fontId="109" fillId="0" borderId="4" applyNumberFormat="0" applyFill="0" applyAlignment="0" applyProtection="0">
      <alignment vertical="center"/>
    </xf>
    <xf numFmtId="164" fontId="109" fillId="0" borderId="0" applyNumberFormat="0" applyFill="0" applyBorder="0" applyAlignment="0" applyProtection="0">
      <alignment vertical="center"/>
    </xf>
    <xf numFmtId="164" fontId="110" fillId="4" borderId="0" applyNumberFormat="0" applyBorder="0" applyAlignment="0" applyProtection="0">
      <alignment vertical="center"/>
    </xf>
    <xf numFmtId="164" fontId="111" fillId="5" borderId="0" applyNumberFormat="0" applyBorder="0" applyAlignment="0" applyProtection="0">
      <alignment vertical="center"/>
    </xf>
    <xf numFmtId="164" fontId="112" fillId="6" borderId="0" applyNumberFormat="0" applyBorder="0" applyAlignment="0" applyProtection="0">
      <alignment vertical="center"/>
    </xf>
    <xf numFmtId="164" fontId="113" fillId="7" borderId="5" applyNumberFormat="0" applyAlignment="0" applyProtection="0">
      <alignment vertical="center"/>
    </xf>
    <xf numFmtId="164" fontId="114" fillId="8" borderId="6" applyNumberFormat="0" applyAlignment="0" applyProtection="0">
      <alignment vertical="center"/>
    </xf>
    <xf numFmtId="164" fontId="115" fillId="8" borderId="5" applyNumberFormat="0" applyAlignment="0" applyProtection="0">
      <alignment vertical="center"/>
    </xf>
    <xf numFmtId="164" fontId="116" fillId="0" borderId="7" applyNumberFormat="0" applyFill="0" applyAlignment="0" applyProtection="0">
      <alignment vertical="center"/>
    </xf>
    <xf numFmtId="164" fontId="117" fillId="9" borderId="8" applyNumberFormat="0" applyAlignment="0" applyProtection="0">
      <alignment vertical="center"/>
    </xf>
    <xf numFmtId="164" fontId="118" fillId="0" borderId="0" applyNumberFormat="0" applyFill="0" applyBorder="0" applyAlignment="0" applyProtection="0">
      <alignment vertical="center"/>
    </xf>
    <xf numFmtId="164" fontId="104" fillId="10" borderId="9" applyNumberFormat="0" applyFont="0" applyAlignment="0" applyProtection="0">
      <alignment vertical="center"/>
    </xf>
    <xf numFmtId="164" fontId="119" fillId="0" borderId="0" applyNumberFormat="0" applyFill="0" applyBorder="0" applyAlignment="0" applyProtection="0">
      <alignment vertical="center"/>
    </xf>
    <xf numFmtId="164" fontId="120" fillId="0" borderId="10" applyNumberFormat="0" applyFill="0" applyAlignment="0" applyProtection="0">
      <alignment vertical="center"/>
    </xf>
    <xf numFmtId="164" fontId="121" fillId="11" borderId="0" applyNumberFormat="0" applyBorder="0" applyAlignment="0" applyProtection="0">
      <alignment vertical="center"/>
    </xf>
    <xf numFmtId="164" fontId="104" fillId="12" borderId="0" applyNumberFormat="0" applyBorder="0" applyAlignment="0" applyProtection="0">
      <alignment vertical="center"/>
    </xf>
    <xf numFmtId="164" fontId="104" fillId="13" borderId="0" applyNumberFormat="0" applyBorder="0" applyAlignment="0" applyProtection="0">
      <alignment vertical="center"/>
    </xf>
    <xf numFmtId="164" fontId="121" fillId="14" borderId="0" applyNumberFormat="0" applyBorder="0" applyAlignment="0" applyProtection="0">
      <alignment vertical="center"/>
    </xf>
    <xf numFmtId="164" fontId="121" fillId="15" borderId="0" applyNumberFormat="0" applyBorder="0" applyAlignment="0" applyProtection="0">
      <alignment vertical="center"/>
    </xf>
    <xf numFmtId="164" fontId="104" fillId="16" borderId="0" applyNumberFormat="0" applyBorder="0" applyAlignment="0" applyProtection="0">
      <alignment vertical="center"/>
    </xf>
    <xf numFmtId="164" fontId="104" fillId="17" borderId="0" applyNumberFormat="0" applyBorder="0" applyAlignment="0" applyProtection="0">
      <alignment vertical="center"/>
    </xf>
    <xf numFmtId="164" fontId="121" fillId="18" borderId="0" applyNumberFormat="0" applyBorder="0" applyAlignment="0" applyProtection="0">
      <alignment vertical="center"/>
    </xf>
    <xf numFmtId="164" fontId="121" fillId="19" borderId="0" applyNumberFormat="0" applyBorder="0" applyAlignment="0" applyProtection="0">
      <alignment vertical="center"/>
    </xf>
    <xf numFmtId="164" fontId="104" fillId="20" borderId="0" applyNumberFormat="0" applyBorder="0" applyAlignment="0" applyProtection="0">
      <alignment vertical="center"/>
    </xf>
    <xf numFmtId="164" fontId="104" fillId="21" borderId="0" applyNumberFormat="0" applyBorder="0" applyAlignment="0" applyProtection="0">
      <alignment vertical="center"/>
    </xf>
    <xf numFmtId="164" fontId="121" fillId="22" borderId="0" applyNumberFormat="0" applyBorder="0" applyAlignment="0" applyProtection="0">
      <alignment vertical="center"/>
    </xf>
    <xf numFmtId="164" fontId="121" fillId="23" borderId="0" applyNumberFormat="0" applyBorder="0" applyAlignment="0" applyProtection="0">
      <alignment vertical="center"/>
    </xf>
    <xf numFmtId="164" fontId="104" fillId="24" borderId="0" applyNumberFormat="0" applyBorder="0" applyAlignment="0" applyProtection="0">
      <alignment vertical="center"/>
    </xf>
    <xf numFmtId="164" fontId="104" fillId="25" borderId="0" applyNumberFormat="0" applyBorder="0" applyAlignment="0" applyProtection="0">
      <alignment vertical="center"/>
    </xf>
    <xf numFmtId="164" fontId="121" fillId="26" borderId="0" applyNumberFormat="0" applyBorder="0" applyAlignment="0" applyProtection="0">
      <alignment vertical="center"/>
    </xf>
    <xf numFmtId="164" fontId="121" fillId="27" borderId="0" applyNumberFormat="0" applyBorder="0" applyAlignment="0" applyProtection="0">
      <alignment vertical="center"/>
    </xf>
    <xf numFmtId="164" fontId="104" fillId="28" borderId="0" applyNumberFormat="0" applyBorder="0" applyAlignment="0" applyProtection="0">
      <alignment vertical="center"/>
    </xf>
    <xf numFmtId="164" fontId="104" fillId="29" borderId="0" applyNumberFormat="0" applyBorder="0" applyAlignment="0" applyProtection="0">
      <alignment vertical="center"/>
    </xf>
    <xf numFmtId="164" fontId="121" fillId="30" borderId="0" applyNumberFormat="0" applyBorder="0" applyAlignment="0" applyProtection="0">
      <alignment vertical="center"/>
    </xf>
    <xf numFmtId="164" fontId="121" fillId="31" borderId="0" applyNumberFormat="0" applyBorder="0" applyAlignment="0" applyProtection="0">
      <alignment vertical="center"/>
    </xf>
    <xf numFmtId="164" fontId="104" fillId="32" borderId="0" applyNumberFormat="0" applyBorder="0" applyAlignment="0" applyProtection="0">
      <alignment vertical="center"/>
    </xf>
    <xf numFmtId="164" fontId="104" fillId="33" borderId="0" applyNumberFormat="0" applyBorder="0" applyAlignment="0" applyProtection="0">
      <alignment vertical="center"/>
    </xf>
    <xf numFmtId="164" fontId="121" fillId="34" borderId="0" applyNumberFormat="0" applyBorder="0" applyAlignment="0" applyProtection="0">
      <alignment vertical="center"/>
    </xf>
    <xf numFmtId="164" fontId="173" fillId="35" borderId="0" applyNumberFormat="0" applyBorder="0" applyAlignment="0" applyProtection="0">
      <alignment vertical="center"/>
    </xf>
    <xf numFmtId="164" fontId="173" fillId="36" borderId="0" applyNumberFormat="0" applyBorder="0" applyAlignment="0" applyProtection="0">
      <alignment vertical="center"/>
    </xf>
    <xf numFmtId="164" fontId="173" fillId="3" borderId="0" applyNumberFormat="0" applyBorder="0" applyAlignment="0" applyProtection="0">
      <alignment vertical="center"/>
    </xf>
    <xf numFmtId="164" fontId="173" fillId="37" borderId="0" applyNumberFormat="0" applyBorder="0" applyAlignment="0" applyProtection="0">
      <alignment vertical="center"/>
    </xf>
    <xf numFmtId="164" fontId="173" fillId="38" borderId="0" applyNumberFormat="0" applyBorder="0" applyAlignment="0" applyProtection="0">
      <alignment vertical="center"/>
    </xf>
    <xf numFmtId="164" fontId="173" fillId="39" borderId="0" applyNumberFormat="0" applyBorder="0" applyAlignment="0" applyProtection="0">
      <alignment vertical="center"/>
    </xf>
    <xf numFmtId="164" fontId="173" fillId="40" borderId="0" applyNumberFormat="0" applyBorder="0" applyAlignment="0" applyProtection="0">
      <alignment vertical="center"/>
    </xf>
    <xf numFmtId="164" fontId="173" fillId="41" borderId="0" applyNumberFormat="0" applyBorder="0" applyAlignment="0" applyProtection="0">
      <alignment vertical="center"/>
    </xf>
    <xf numFmtId="164" fontId="173" fillId="42" borderId="0" applyNumberFormat="0" applyBorder="0" applyAlignment="0" applyProtection="0">
      <alignment vertical="center"/>
    </xf>
    <xf numFmtId="164" fontId="173" fillId="37" borderId="0" applyNumberFormat="0" applyBorder="0" applyAlignment="0" applyProtection="0">
      <alignment vertical="center"/>
    </xf>
    <xf numFmtId="164" fontId="173" fillId="40" borderId="0" applyNumberFormat="0" applyBorder="0" applyAlignment="0" applyProtection="0">
      <alignment vertical="center"/>
    </xf>
    <xf numFmtId="164" fontId="173" fillId="43" borderId="0" applyNumberFormat="0" applyBorder="0" applyAlignment="0" applyProtection="0">
      <alignment vertical="center"/>
    </xf>
    <xf numFmtId="164" fontId="174" fillId="44" borderId="0" applyNumberFormat="0" applyBorder="0" applyAlignment="0" applyProtection="0">
      <alignment vertical="center"/>
    </xf>
    <xf numFmtId="164" fontId="174"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47" borderId="0" applyNumberFormat="0" applyBorder="0" applyAlignment="0" applyProtection="0">
      <alignment vertical="center"/>
    </xf>
    <xf numFmtId="164" fontId="174" fillId="49" borderId="0" applyNumberFormat="0" applyBorder="0" applyAlignment="0" applyProtection="0">
      <alignment vertical="center"/>
    </xf>
    <xf numFmtId="164" fontId="174" fillId="50" borderId="0" applyNumberFormat="0" applyBorder="0" applyAlignment="0" applyProtection="0">
      <alignment vertical="center"/>
    </xf>
    <xf numFmtId="164" fontId="174" fillId="51"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52" borderId="0" applyNumberFormat="0" applyBorder="0" applyAlignment="0" applyProtection="0">
      <alignment vertical="center"/>
    </xf>
    <xf numFmtId="164" fontId="31" fillId="0" borderId="0">
      <alignment horizontal="center" wrapText="1"/>
      <protection locked="0"/>
    </xf>
    <xf numFmtId="164" fontId="188"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97" fillId="0" borderId="23"/>
    <xf numFmtId="164" fontId="97" fillId="0" borderId="23"/>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74" fillId="41" borderId="0" applyNumberFormat="0" applyBorder="0" applyAlignment="0" applyProtection="0">
      <alignment vertical="center"/>
    </xf>
    <xf numFmtId="164" fontId="156" fillId="37"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164" fontId="156" fillId="35" borderId="0" applyNumberFormat="0" applyBorder="0" applyAlignment="0" applyProtection="0">
      <alignment vertical="center"/>
    </xf>
    <xf numFmtId="164" fontId="156" fillId="36" borderId="0" applyNumberFormat="0" applyBorder="0" applyAlignment="0" applyProtection="0">
      <alignment vertical="center"/>
    </xf>
    <xf numFmtId="164" fontId="156" fillId="3"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56" fillId="39" borderId="0" applyNumberFormat="0" applyBorder="0" applyAlignment="0" applyProtection="0">
      <alignment vertical="center"/>
    </xf>
    <xf numFmtId="164" fontId="123" fillId="41"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56" fillId="40" borderId="0" applyNumberFormat="0" applyBorder="0" applyAlignment="0" applyProtection="0">
      <alignment vertical="center"/>
    </xf>
    <xf numFmtId="164" fontId="156"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40" borderId="0" applyNumberFormat="0" applyBorder="0" applyAlignment="0" applyProtection="0">
      <alignment vertical="center"/>
    </xf>
    <xf numFmtId="164" fontId="156" fillId="43" borderId="0" applyNumberFormat="0" applyBorder="0" applyAlignment="0" applyProtection="0">
      <alignment vertical="center"/>
    </xf>
    <xf numFmtId="217" fontId="88" fillId="0" borderId="0" applyFill="0" applyBorder="0" applyAlignment="0"/>
    <xf numFmtId="164" fontId="157" fillId="51" borderId="0" applyNumberFormat="0" applyBorder="0" applyAlignment="0" applyProtection="0">
      <alignment vertical="center"/>
    </xf>
    <xf numFmtId="213" fontId="88" fillId="0" borderId="0" applyFont="0" applyFill="0" applyBorder="0" applyAlignment="0" applyProtection="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57" fillId="44" borderId="0" applyNumberFormat="0" applyBorder="0" applyAlignment="0" applyProtection="0">
      <alignment vertical="center"/>
    </xf>
    <xf numFmtId="164" fontId="157" fillId="41" borderId="0" applyNumberFormat="0" applyBorder="0" applyAlignment="0" applyProtection="0">
      <alignment vertical="center"/>
    </xf>
    <xf numFmtId="164" fontId="157" fillId="42"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47" borderId="0" applyNumberFormat="0" applyBorder="0" applyAlignment="0" applyProtection="0">
      <alignment vertical="center"/>
    </xf>
    <xf numFmtId="164" fontId="122" fillId="40" borderId="0" applyNumberFormat="0" applyBorder="0" applyAlignment="0" applyProtection="0">
      <alignment vertical="center"/>
    </xf>
    <xf numFmtId="164" fontId="173" fillId="40" borderId="0" applyNumberFormat="0" applyBorder="0" applyAlignment="0" applyProtection="0">
      <alignment vertical="center"/>
    </xf>
    <xf numFmtId="200" fontId="51" fillId="57" borderId="0"/>
    <xf numFmtId="217" fontId="88" fillId="0" borderId="0" applyFont="0" applyFill="0" applyBorder="0" applyAlignment="0" applyProtection="0"/>
    <xf numFmtId="164" fontId="160" fillId="54" borderId="12" applyNumberFormat="0" applyAlignment="0" applyProtection="0">
      <alignment vertical="center"/>
    </xf>
    <xf numFmtId="164" fontId="159" fillId="53" borderId="11" applyNumberFormat="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57" fillId="49" borderId="0" applyNumberFormat="0" applyBorder="0" applyAlignment="0" applyProtection="0">
      <alignment vertical="center"/>
    </xf>
    <xf numFmtId="164" fontId="157" fillId="50" borderId="0" applyNumberFormat="0" applyBorder="0" applyAlignment="0" applyProtection="0">
      <alignment vertical="center"/>
    </xf>
    <xf numFmtId="164" fontId="157" fillId="51"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52" borderId="0" applyNumberFormat="0" applyBorder="0" applyAlignment="0" applyProtection="0">
      <alignment vertical="center"/>
    </xf>
    <xf numFmtId="164" fontId="91" fillId="0" borderId="0">
      <alignment horizontal="center" wrapText="1"/>
      <protection locked="0"/>
    </xf>
    <xf numFmtId="164" fontId="158" fillId="36" borderId="0" applyNumberFormat="0" applyBorder="0" applyAlignment="0" applyProtection="0">
      <alignment vertical="center"/>
    </xf>
    <xf numFmtId="213" fontId="88" fillId="0" borderId="0" applyFill="0" applyBorder="0" applyAlignment="0"/>
    <xf numFmtId="212" fontId="88" fillId="0" borderId="0" applyFill="0" applyBorder="0" applyAlignment="0"/>
    <xf numFmtId="213" fontId="88" fillId="0" borderId="0" applyFill="0" applyBorder="0" applyAlignment="0"/>
    <xf numFmtId="214" fontId="88" fillId="0" borderId="0" applyFill="0" applyBorder="0" applyAlignment="0"/>
    <xf numFmtId="215" fontId="88" fillId="0" borderId="0" applyFill="0" applyBorder="0" applyAlignment="0"/>
    <xf numFmtId="216"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59" fillId="53" borderId="11" applyNumberFormat="0" applyAlignment="0" applyProtection="0">
      <alignment vertical="center"/>
    </xf>
    <xf numFmtId="164" fontId="160" fillId="54" borderId="12" applyNumberFormat="0" applyAlignment="0" applyProtection="0">
      <alignment vertical="center"/>
    </xf>
    <xf numFmtId="217" fontId="88" fillId="0" borderId="0" applyFont="0" applyFill="0" applyBorder="0" applyAlignment="0" applyProtection="0"/>
    <xf numFmtId="218" fontId="88" fillId="0" borderId="0" applyFill="0" applyBorder="0" applyAlignment="0"/>
    <xf numFmtId="217" fontId="88" fillId="0" borderId="0" applyFill="0" applyBorder="0" applyAlignment="0"/>
    <xf numFmtId="216" fontId="88" fillId="0" borderId="0" applyFill="0" applyBorder="0" applyAlignment="0"/>
    <xf numFmtId="213" fontId="88" fillId="0" borderId="0" applyFont="0" applyFill="0" applyBorder="0" applyAlignment="0" applyProtection="0"/>
    <xf numFmtId="215" fontId="88" fillId="0" borderId="0" applyFill="0" applyBorder="0" applyAlignment="0"/>
    <xf numFmtId="214" fontId="88" fillId="0" borderId="0" applyFill="0" applyBorder="0" applyAlignment="0"/>
    <xf numFmtId="213"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212" fontId="88" fillId="0" borderId="0" applyFill="0" applyBorder="0" applyAlignment="0"/>
    <xf numFmtId="164" fontId="161" fillId="0" borderId="0" applyNumberFormat="0" applyFill="0" applyBorder="0" applyAlignment="0" applyProtection="0">
      <alignment vertical="center"/>
    </xf>
    <xf numFmtId="164" fontId="162" fillId="3" borderId="0" applyNumberFormat="0" applyBorder="0" applyAlignment="0" applyProtection="0">
      <alignment vertical="center"/>
    </xf>
    <xf numFmtId="164" fontId="136" fillId="54" borderId="12" applyNumberFormat="0" applyAlignment="0" applyProtection="0">
      <alignment vertical="center"/>
    </xf>
    <xf numFmtId="164" fontId="158" fillId="36" borderId="0" applyNumberFormat="0" applyBorder="0" applyAlignment="0" applyProtection="0">
      <alignment vertical="center"/>
    </xf>
    <xf numFmtId="164" fontId="91" fillId="0" borderId="0">
      <alignment horizontal="center" wrapText="1"/>
      <protection locked="0"/>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57" fillId="52" borderId="0" applyNumberFormat="0" applyBorder="0" applyAlignment="0" applyProtection="0">
      <alignment vertical="center"/>
    </xf>
    <xf numFmtId="164" fontId="157" fillId="46" borderId="0" applyNumberFormat="0" applyBorder="0" applyAlignment="0" applyProtection="0">
      <alignment vertical="center"/>
    </xf>
    <xf numFmtId="164" fontId="157" fillId="45" borderId="0" applyNumberFormat="0" applyBorder="0" applyAlignment="0" applyProtection="0">
      <alignment vertical="center"/>
    </xf>
    <xf numFmtId="164" fontId="157" fillId="51" borderId="0" applyNumberFormat="0" applyBorder="0" applyAlignment="0" applyProtection="0">
      <alignment vertical="center"/>
    </xf>
    <xf numFmtId="164" fontId="157" fillId="50" borderId="0" applyNumberFormat="0" applyBorder="0" applyAlignment="0" applyProtection="0">
      <alignment vertical="center"/>
    </xf>
    <xf numFmtId="164" fontId="166" fillId="39" borderId="11" applyNumberFormat="0" applyAlignment="0" applyProtection="0">
      <alignment vertical="center"/>
    </xf>
    <xf numFmtId="164" fontId="157" fillId="49" borderId="0" applyNumberFormat="0" applyBorder="0" applyAlignment="0" applyProtection="0">
      <alignment vertical="center"/>
    </xf>
    <xf numFmtId="200" fontId="88" fillId="57" borderId="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67" fillId="0" borderId="18" applyNumberFormat="0" applyFill="0" applyAlignment="0" applyProtection="0">
      <alignment vertical="center"/>
    </xf>
    <xf numFmtId="200" fontId="88" fillId="58" borderId="0"/>
    <xf numFmtId="164" fontId="123" fillId="47" borderId="0" applyNumberFormat="0" applyBorder="0" applyAlignment="0" applyProtection="0">
      <alignment vertical="center"/>
    </xf>
    <xf numFmtId="164" fontId="168" fillId="61" borderId="0" applyNumberFormat="0" applyBorder="0" applyAlignment="0" applyProtection="0">
      <alignment vertical="center"/>
    </xf>
    <xf numFmtId="219" fontId="88" fillId="0" borderId="0"/>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22" fontId="88" fillId="0" borderId="0" applyFill="0" applyBorder="0" applyAlignment="0"/>
    <xf numFmtId="164" fontId="170" fillId="0" borderId="0" applyNumberFormat="0" applyFill="0" applyBorder="0" applyAlignment="0" applyProtection="0">
      <alignment vertical="center"/>
    </xf>
    <xf numFmtId="213" fontId="51" fillId="0" borderId="0" applyFill="0" applyBorder="0" applyAlignment="0"/>
    <xf numFmtId="164" fontId="174" fillId="49" borderId="0" applyNumberFormat="0" applyBorder="0" applyAlignment="0" applyProtection="0">
      <alignment vertical="center"/>
    </xf>
    <xf numFmtId="164" fontId="156" fillId="37" borderId="0" applyNumberFormat="0" applyBorder="0" applyAlignment="0" applyProtection="0">
      <alignment vertical="center"/>
    </xf>
    <xf numFmtId="164" fontId="157" fillId="47" borderId="0" applyNumberFormat="0" applyBorder="0" applyAlignment="0" applyProtection="0">
      <alignment vertical="center"/>
    </xf>
    <xf numFmtId="164" fontId="156" fillId="65" borderId="27" applyNumberFormat="0" applyFont="0" applyAlignment="0" applyProtection="0">
      <alignment vertical="center"/>
    </xf>
    <xf numFmtId="164" fontId="169" fillId="53" borderId="20" applyNumberFormat="0" applyAlignment="0" applyProtection="0">
      <alignment vertical="center"/>
    </xf>
    <xf numFmtId="14" fontId="91" fillId="0" borderId="0">
      <alignment horizontal="center" wrapText="1"/>
      <protection locked="0"/>
    </xf>
    <xf numFmtId="216" fontId="88" fillId="0" borderId="0" applyFont="0" applyFill="0" applyBorder="0" applyAlignment="0" applyProtection="0"/>
    <xf numFmtId="220" fontId="88" fillId="0" borderId="0" applyFont="0" applyFill="0" applyBorder="0" applyAlignment="0" applyProtection="0"/>
    <xf numFmtId="164" fontId="157" fillId="46" borderId="0" applyNumberFormat="0" applyBorder="0" applyAlignment="0" applyProtection="0">
      <alignment vertical="center"/>
    </xf>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57" fillId="45" borderId="0" applyNumberFormat="0" applyBorder="0" applyAlignment="0" applyProtection="0">
      <alignment vertical="center"/>
    </xf>
    <xf numFmtId="164" fontId="157" fillId="42" borderId="0" applyNumberFormat="0" applyBorder="0" applyAlignment="0" applyProtection="0">
      <alignment vertical="center"/>
    </xf>
    <xf numFmtId="164" fontId="157" fillId="41" borderId="0" applyNumberFormat="0" applyBorder="0" applyAlignment="0" applyProtection="0">
      <alignment vertical="center"/>
    </xf>
    <xf numFmtId="164" fontId="157"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96" fillId="0" borderId="21"/>
    <xf numFmtId="164" fontId="122" fillId="40" borderId="0" applyNumberFormat="0" applyBorder="0" applyAlignment="0" applyProtection="0">
      <alignment vertical="center"/>
    </xf>
    <xf numFmtId="164" fontId="184" fillId="0" borderId="0" applyNumberFormat="0" applyFill="0" applyBorder="0" applyAlignment="0" applyProtection="0">
      <alignment vertical="center"/>
    </xf>
    <xf numFmtId="164" fontId="97" fillId="0" borderId="23"/>
    <xf numFmtId="164" fontId="171" fillId="0" borderId="28" applyNumberFormat="0" applyFill="0" applyAlignment="0" applyProtection="0">
      <alignment vertical="center"/>
    </xf>
    <xf numFmtId="164" fontId="30" fillId="0" borderId="23"/>
    <xf numFmtId="221" fontId="88" fillId="0" borderId="0" applyFill="0" applyBorder="0" applyAlignment="0"/>
    <xf numFmtId="222" fontId="88" fillId="0" borderId="0" applyFill="0" applyBorder="0" applyAlignment="0"/>
    <xf numFmtId="164" fontId="170" fillId="0" borderId="0" applyNumberFormat="0" applyFill="0" applyBorder="0" applyAlignment="0" applyProtection="0">
      <alignment vertical="center"/>
    </xf>
    <xf numFmtId="164" fontId="171" fillId="0" borderId="28" applyNumberFormat="0" applyFill="0" applyAlignment="0" applyProtection="0">
      <alignment vertical="center"/>
    </xf>
    <xf numFmtId="164" fontId="156" fillId="41" borderId="0" applyNumberFormat="0" applyBorder="0" applyAlignment="0" applyProtection="0">
      <alignment vertical="center"/>
    </xf>
    <xf numFmtId="164" fontId="173" fillId="42" borderId="0" applyNumberFormat="0" applyBorder="0" applyAlignment="0" applyProtection="0">
      <alignment vertical="center"/>
    </xf>
    <xf numFmtId="164" fontId="172" fillId="0" borderId="0" applyNumberFormat="0" applyFill="0" applyBorder="0" applyAlignment="0" applyProtection="0">
      <alignment vertical="center"/>
    </xf>
    <xf numFmtId="164" fontId="156"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36" fillId="54" borderId="12" applyNumberFormat="0" applyAlignment="0" applyProtection="0">
      <alignment vertical="center"/>
    </xf>
    <xf numFmtId="164" fontId="123" fillId="50" borderId="0" applyNumberFormat="0" applyBorder="0" applyAlignment="0" applyProtection="0">
      <alignment vertical="center"/>
    </xf>
    <xf numFmtId="164" fontId="157" fillId="42" borderId="0" applyNumberFormat="0" applyBorder="0" applyAlignment="0" applyProtection="0">
      <alignment vertical="center"/>
    </xf>
    <xf numFmtId="164" fontId="122" fillId="3" borderId="0" applyNumberFormat="0" applyBorder="0" applyAlignment="0" applyProtection="0">
      <alignment vertical="center"/>
    </xf>
    <xf numFmtId="164" fontId="172" fillId="0" borderId="0" applyNumberFormat="0" applyFill="0" applyBorder="0" applyAlignment="0" applyProtection="0">
      <alignment vertical="center"/>
    </xf>
    <xf numFmtId="164" fontId="161"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90" fillId="65" borderId="27" applyNumberFormat="0" applyFont="0" applyAlignment="0" applyProtection="0"/>
    <xf numFmtId="164" fontId="122" fillId="37" borderId="0" applyNumberFormat="0" applyBorder="0" applyAlignment="0" applyProtection="0">
      <alignment vertical="center"/>
    </xf>
    <xf numFmtId="164" fontId="157" fillId="42" borderId="0" applyNumberFormat="0" applyBorder="0" applyAlignment="0" applyProtection="0">
      <alignment vertical="center"/>
    </xf>
    <xf numFmtId="164" fontId="97" fillId="0" borderId="23"/>
    <xf numFmtId="213" fontId="51" fillId="0" borderId="0" applyFill="0" applyBorder="0" applyAlignment="0"/>
    <xf numFmtId="164" fontId="124" fillId="61" borderId="0" applyNumberFormat="0" applyBorder="0" applyAlignment="0" applyProtection="0">
      <alignment vertical="center"/>
    </xf>
    <xf numFmtId="164" fontId="125" fillId="0" borderId="28" applyNumberFormat="0" applyFill="0" applyAlignment="0" applyProtection="0">
      <alignment vertical="center"/>
    </xf>
    <xf numFmtId="164" fontId="126" fillId="3" borderId="0" applyNumberFormat="0" applyBorder="0" applyAlignment="0" applyProtection="0">
      <alignment vertical="center"/>
    </xf>
    <xf numFmtId="164" fontId="127" fillId="53" borderId="11" applyNumberFormat="0" applyAlignment="0" applyProtection="0">
      <alignment vertical="center"/>
    </xf>
    <xf numFmtId="164" fontId="128" fillId="0" borderId="18" applyNumberFormat="0" applyFill="0" applyAlignment="0" applyProtection="0">
      <alignment vertical="center"/>
    </xf>
    <xf numFmtId="164" fontId="103" fillId="65" borderId="27" applyNumberFormat="0" applyFont="0" applyAlignment="0" applyProtection="0">
      <alignment vertical="center"/>
    </xf>
    <xf numFmtId="164" fontId="129" fillId="0" borderId="0" applyNumberFormat="0" applyFill="0" applyBorder="0" applyAlignment="0" applyProtection="0">
      <alignment vertical="center"/>
    </xf>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70"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34" fillId="39" borderId="11" applyNumberFormat="0" applyAlignment="0" applyProtection="0">
      <alignment vertical="center"/>
    </xf>
    <xf numFmtId="164" fontId="135" fillId="53" borderId="20"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38"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73" fillId="36" borderId="0" applyNumberFormat="0" applyBorder="0" applyAlignment="0" applyProtection="0">
      <alignment vertical="center"/>
    </xf>
    <xf numFmtId="164" fontId="173" fillId="3" borderId="0" applyNumberFormat="0" applyBorder="0" applyAlignment="0" applyProtection="0">
      <alignment vertical="center"/>
    </xf>
    <xf numFmtId="164" fontId="173" fillId="37" borderId="0" applyNumberFormat="0" applyBorder="0" applyAlignment="0" applyProtection="0">
      <alignment vertical="center"/>
    </xf>
    <xf numFmtId="164" fontId="173" fillId="38" borderId="0" applyNumberFormat="0" applyBorder="0" applyAlignment="0" applyProtection="0">
      <alignment vertical="center"/>
    </xf>
    <xf numFmtId="164" fontId="173" fillId="39" borderId="0" applyNumberFormat="0" applyBorder="0" applyAlignment="0" applyProtection="0">
      <alignment vertical="center"/>
    </xf>
    <xf numFmtId="164" fontId="173" fillId="40" borderId="0" applyNumberFormat="0" applyBorder="0" applyAlignment="0" applyProtection="0">
      <alignment vertical="center"/>
    </xf>
    <xf numFmtId="164" fontId="173" fillId="41" borderId="0" applyNumberFormat="0" applyBorder="0" applyAlignment="0" applyProtection="0">
      <alignment vertical="center"/>
    </xf>
    <xf numFmtId="164" fontId="173" fillId="42" borderId="0" applyNumberFormat="0" applyBorder="0" applyAlignment="0" applyProtection="0">
      <alignment vertical="center"/>
    </xf>
    <xf numFmtId="164" fontId="173" fillId="37" borderId="0" applyNumberFormat="0" applyBorder="0" applyAlignment="0" applyProtection="0">
      <alignment vertical="center"/>
    </xf>
    <xf numFmtId="164" fontId="173" fillId="40" borderId="0" applyNumberFormat="0" applyBorder="0" applyAlignment="0" applyProtection="0">
      <alignment vertical="center"/>
    </xf>
    <xf numFmtId="164" fontId="173" fillId="43" borderId="0" applyNumberFormat="0" applyBorder="0" applyAlignment="0" applyProtection="0">
      <alignment vertical="center"/>
    </xf>
    <xf numFmtId="164" fontId="174" fillId="44" borderId="0" applyNumberFormat="0" applyBorder="0" applyAlignment="0" applyProtection="0">
      <alignment vertical="center"/>
    </xf>
    <xf numFmtId="164" fontId="174"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47" borderId="0" applyNumberFormat="0" applyBorder="0" applyAlignment="0" applyProtection="0">
      <alignment vertical="center"/>
    </xf>
    <xf numFmtId="164" fontId="174" fillId="49" borderId="0" applyNumberFormat="0" applyBorder="0" applyAlignment="0" applyProtection="0">
      <alignment vertical="center"/>
    </xf>
    <xf numFmtId="164" fontId="174" fillId="50" borderId="0" applyNumberFormat="0" applyBorder="0" applyAlignment="0" applyProtection="0">
      <alignment vertical="center"/>
    </xf>
    <xf numFmtId="164" fontId="174" fillId="51"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52" borderId="0" applyNumberFormat="0" applyBorder="0" applyAlignment="0" applyProtection="0">
      <alignment vertical="center"/>
    </xf>
    <xf numFmtId="164" fontId="31" fillId="0" borderId="0">
      <alignment horizontal="center" wrapText="1"/>
      <protection locked="0"/>
    </xf>
    <xf numFmtId="164" fontId="188"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213" fontId="51" fillId="0" borderId="0" applyFill="0" applyBorder="0" applyAlignment="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217" fontId="51" fillId="0" borderId="0" applyFont="0" applyFill="0" applyBorder="0" applyAlignment="0" applyProtection="0"/>
    <xf numFmtId="10" fontId="20" fillId="0" borderId="0" applyFont="0" applyFill="0" applyBorder="0" applyAlignment="0" applyProtection="0"/>
    <xf numFmtId="217" fontId="88"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164" fontId="20" fillId="0" borderId="0"/>
    <xf numFmtId="164" fontId="20" fillId="0" borderId="0"/>
    <xf numFmtId="164" fontId="20" fillId="0" borderId="0"/>
    <xf numFmtId="164" fontId="20" fillId="0" borderId="0"/>
    <xf numFmtId="164" fontId="20" fillId="0" borderId="0"/>
    <xf numFmtId="164" fontId="20" fillId="0" borderId="0"/>
    <xf numFmtId="10" fontId="20" fillId="0" borderId="0" applyFont="0" applyFill="0" applyBorder="0" applyAlignment="0" applyProtection="0"/>
    <xf numFmtId="164" fontId="122" fillId="41" borderId="0" applyNumberFormat="0" applyBorder="0" applyAlignment="0" applyProtection="0">
      <alignment vertical="center"/>
    </xf>
    <xf numFmtId="212" fontId="51" fillId="0" borderId="0" applyFill="0" applyBorder="0" applyAlignment="0"/>
    <xf numFmtId="164" fontId="20" fillId="0" borderId="0"/>
    <xf numFmtId="164" fontId="20" fillId="0" borderId="0"/>
    <xf numFmtId="164" fontId="20" fillId="0" borderId="0"/>
    <xf numFmtId="164" fontId="20" fillId="0" borderId="0"/>
    <xf numFmtId="164" fontId="20" fillId="0" borderId="0"/>
    <xf numFmtId="164" fontId="20" fillId="0" borderId="0"/>
    <xf numFmtId="164" fontId="178" fillId="53" borderId="11" applyNumberFormat="0" applyAlignment="0" applyProtection="0">
      <alignment vertical="center"/>
    </xf>
    <xf numFmtId="10" fontId="20" fillId="0" borderId="0" applyFont="0" applyFill="0" applyBorder="0" applyAlignment="0" applyProtection="0"/>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35" fillId="53" borderId="20" applyNumberFormat="0" applyAlignment="0" applyProtection="0">
      <alignment vertical="center"/>
    </xf>
    <xf numFmtId="213" fontId="51" fillId="0" borderId="0" applyFill="0" applyBorder="0" applyAlignment="0"/>
    <xf numFmtId="214" fontId="51" fillId="0" borderId="0" applyFill="0" applyBorder="0" applyAlignment="0"/>
    <xf numFmtId="218" fontId="51" fillId="0" borderId="0" applyFill="0" applyBorder="0" applyAlignment="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20" fillId="0" borderId="0"/>
    <xf numFmtId="164" fontId="20" fillId="0" borderId="0"/>
    <xf numFmtId="164" fontId="20" fillId="0" borderId="0"/>
    <xf numFmtId="164" fontId="20" fillId="0" borderId="0"/>
    <xf numFmtId="164" fontId="20" fillId="0" borderId="0"/>
    <xf numFmtId="164" fontId="20" fillId="0" borderId="0"/>
    <xf numFmtId="217" fontId="51" fillId="0" borderId="0" applyFont="0" applyFill="0" applyBorder="0" applyAlignment="0" applyProtection="0"/>
    <xf numFmtId="213" fontId="51" fillId="0" borderId="0" applyFont="0" applyFill="0" applyBorder="0" applyAlignment="0" applyProtection="0"/>
    <xf numFmtId="10" fontId="20"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8"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164" fontId="123" fillId="49"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74" fillId="5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185" fillId="39" borderId="11" applyNumberFormat="0" applyAlignment="0" applyProtection="0">
      <alignment vertical="center"/>
    </xf>
    <xf numFmtId="164" fontId="174" fillId="46" borderId="0" applyNumberFormat="0" applyBorder="0" applyAlignment="0" applyProtection="0">
      <alignment vertical="center"/>
    </xf>
    <xf numFmtId="164" fontId="20" fillId="0" borderId="0"/>
    <xf numFmtId="164" fontId="20" fillId="0" borderId="0"/>
    <xf numFmtId="164" fontId="20" fillId="0" borderId="0"/>
    <xf numFmtId="164" fontId="20" fillId="0" borderId="0"/>
    <xf numFmtId="164" fontId="20" fillId="0" borderId="0"/>
    <xf numFmtId="164" fontId="20" fillId="0" borderId="0"/>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217" fontId="51" fillId="0" borderId="0" applyFill="0" applyBorder="0" applyAlignment="0"/>
    <xf numFmtId="10" fontId="20" fillId="0" borderId="0" applyFont="0" applyFill="0" applyBorder="0" applyAlignment="0" applyProtection="0"/>
    <xf numFmtId="216" fontId="51" fillId="0" borderId="0" applyFill="0" applyBorder="0" applyAlignment="0"/>
    <xf numFmtId="215"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4"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6" fontId="51" fillId="0" borderId="0" applyFill="0" applyBorder="0" applyAlignment="0"/>
    <xf numFmtId="164" fontId="182" fillId="0" borderId="25" applyNumberFormat="0" applyFill="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22"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164" fontId="183" fillId="0" borderId="26" applyNumberFormat="0" applyFill="0" applyAlignment="0" applyProtection="0">
      <alignment vertical="center"/>
    </xf>
    <xf numFmtId="164" fontId="183" fillId="0" borderId="26" applyNumberFormat="0" applyFill="0" applyAlignment="0" applyProtection="0">
      <alignment vertical="center"/>
    </xf>
    <xf numFmtId="164" fontId="31" fillId="0" borderId="0">
      <alignment horizontal="center" wrapText="1"/>
      <protection locked="0"/>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2"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215" fontId="51"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0" fontId="20"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4" fontId="51" fillId="0" borderId="0" applyFill="0" applyBorder="0" applyAlignment="0"/>
    <xf numFmtId="213" fontId="51" fillId="0" borderId="0" applyFill="0" applyBorder="0" applyAlignment="0"/>
    <xf numFmtId="213" fontId="51" fillId="0" borderId="0" applyFont="0" applyFill="0" applyBorder="0" applyAlignment="0" applyProtection="0"/>
    <xf numFmtId="212"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63" fillId="0" borderId="21"/>
    <xf numFmtId="164" fontId="174" fillId="44" borderId="0" applyNumberFormat="0" applyBorder="0" applyAlignment="0" applyProtection="0">
      <alignment vertical="center"/>
    </xf>
    <xf numFmtId="164" fontId="30" fillId="0" borderId="23"/>
    <xf numFmtId="216" fontId="51" fillId="0" borderId="0" applyFill="0" applyBorder="0" applyAlignment="0"/>
    <xf numFmtId="164" fontId="188" fillId="36"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7"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218" fontId="51" fillId="0" borderId="0" applyFill="0" applyBorder="0" applyAlignment="0"/>
    <xf numFmtId="213" fontId="51" fillId="0" borderId="0" applyFill="0" applyBorder="0" applyAlignment="0"/>
    <xf numFmtId="164" fontId="31" fillId="0" borderId="0">
      <alignment horizontal="center" wrapText="1"/>
      <protection locked="0"/>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56" fillId="38"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2" fillId="0" borderId="25" applyNumberFormat="0" applyFill="0" applyAlignment="0" applyProtection="0">
      <alignment vertical="center"/>
    </xf>
    <xf numFmtId="164" fontId="182" fillId="0" borderId="25"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174" fillId="49" borderId="0" applyNumberFormat="0" applyBorder="0" applyAlignment="0" applyProtection="0">
      <alignment vertical="center"/>
    </xf>
    <xf numFmtId="217" fontId="51" fillId="0" borderId="0" applyFill="0" applyBorder="0" applyAlignment="0"/>
    <xf numFmtId="218"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217" fontId="51" fillId="0" borderId="0" applyFont="0" applyFill="0" applyBorder="0" applyAlignment="0" applyProtection="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0" fontId="20"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5" fontId="51" fillId="0" borderId="0" applyFill="0" applyBorder="0" applyAlignment="0"/>
    <xf numFmtId="214" fontId="51" fillId="0" borderId="0" applyFill="0" applyBorder="0" applyAlignment="0"/>
    <xf numFmtId="213" fontId="51" fillId="0" borderId="0" applyFill="0" applyBorder="0" applyAlignment="0"/>
    <xf numFmtId="164" fontId="63" fillId="0" borderId="21"/>
    <xf numFmtId="213" fontId="51" fillId="0" borderId="0" applyFont="0" applyFill="0" applyBorder="0" applyAlignment="0" applyProtection="0"/>
    <xf numFmtId="212" fontId="51" fillId="0" borderId="0" applyFill="0" applyBorder="0" applyAlignment="0"/>
    <xf numFmtId="164" fontId="30" fillId="0" borderId="23"/>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16" fontId="51" fillId="0" borderId="0" applyFill="0" applyBorder="0" applyAlignment="0"/>
    <xf numFmtId="164" fontId="188" fillId="36"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8" fontId="51" fillId="0" borderId="0" applyFill="0" applyBorder="0" applyAlignment="0"/>
    <xf numFmtId="213" fontId="51" fillId="0" borderId="0" applyFill="0" applyBorder="0" applyAlignment="0"/>
    <xf numFmtId="164" fontId="156" fillId="37" borderId="0" applyNumberFormat="0" applyBorder="0" applyAlignment="0" applyProtection="0">
      <alignment vertical="center"/>
    </xf>
    <xf numFmtId="164" fontId="177" fillId="3"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3" fillId="0" borderId="26" applyNumberFormat="0" applyFill="0" applyAlignment="0" applyProtection="0">
      <alignment vertical="center"/>
    </xf>
    <xf numFmtId="164" fontId="183" fillId="0" borderId="26" applyNumberFormat="0" applyFill="0" applyAlignment="0" applyProtection="0">
      <alignment vertical="center"/>
    </xf>
    <xf numFmtId="164" fontId="31" fillId="0" borderId="0">
      <alignment horizontal="center" wrapText="1"/>
      <protection locked="0"/>
    </xf>
    <xf numFmtId="164" fontId="180" fillId="0" borderId="0" applyNumberFormat="0" applyFill="0" applyBorder="0" applyAlignment="0" applyProtection="0">
      <alignment vertical="center"/>
    </xf>
    <xf numFmtId="217" fontId="51" fillId="0" borderId="0" applyFill="0" applyBorder="0" applyAlignment="0"/>
    <xf numFmtId="218" fontId="51" fillId="0" borderId="0" applyFill="0" applyBorder="0" applyAlignment="0"/>
    <xf numFmtId="164" fontId="185" fillId="39" borderId="11" applyNumberFormat="0" applyAlignment="0" applyProtection="0">
      <alignment vertical="center"/>
    </xf>
    <xf numFmtId="213" fontId="51" fillId="0" borderId="0" applyFill="0" applyBorder="0" applyAlignment="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8" fillId="53" borderId="11" applyNumberFormat="0" applyAlignment="0" applyProtection="0">
      <alignment vertical="center"/>
    </xf>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187" fillId="54" borderId="12" applyNumberFormat="0" applyAlignment="0" applyProtection="0">
      <alignment vertical="center"/>
    </xf>
    <xf numFmtId="217" fontId="51" fillId="0" borderId="0" applyFont="0" applyFill="0" applyBorder="0" applyAlignment="0" applyProtection="0"/>
    <xf numFmtId="164" fontId="174" fillId="47"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0" fontId="20"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5" fontId="51" fillId="0" borderId="0" applyFill="0" applyBorder="0" applyAlignment="0"/>
    <xf numFmtId="214" fontId="51" fillId="0" borderId="0" applyFill="0" applyBorder="0" applyAlignment="0"/>
    <xf numFmtId="213" fontId="51" fillId="0" borderId="0" applyFill="0" applyBorder="0" applyAlignment="0"/>
    <xf numFmtId="213" fontId="51" fillId="0" borderId="0" applyFont="0" applyFill="0" applyBorder="0" applyAlignment="0" applyProtection="0"/>
    <xf numFmtId="164" fontId="63" fillId="0" borderId="21"/>
    <xf numFmtId="212" fontId="51" fillId="0" borderId="0" applyFill="0" applyBorder="0" applyAlignment="0"/>
    <xf numFmtId="164" fontId="173" fillId="43" borderId="0" applyNumberFormat="0" applyBorder="0" applyAlignment="0" applyProtection="0">
      <alignment vertical="center"/>
    </xf>
    <xf numFmtId="164" fontId="30" fillId="0" borderId="23"/>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0" borderId="0" applyNumberFormat="0" applyBorder="0" applyAlignment="0" applyProtection="0">
      <alignment vertical="center"/>
    </xf>
    <xf numFmtId="164" fontId="188" fillId="36"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8" fontId="51" fillId="0" borderId="0" applyFill="0" applyBorder="0" applyAlignment="0"/>
    <xf numFmtId="213" fontId="51" fillId="0" borderId="0" applyFill="0" applyBorder="0" applyAlignment="0"/>
    <xf numFmtId="164" fontId="31" fillId="0" borderId="0">
      <alignment horizontal="center" wrapText="1"/>
      <protection locked="0"/>
    </xf>
    <xf numFmtId="164" fontId="156"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ill="0" applyBorder="0" applyAlignment="0"/>
    <xf numFmtId="218" fontId="51" fillId="0" borderId="0" applyFill="0" applyBorder="0" applyAlignment="0"/>
    <xf numFmtId="164" fontId="185" fillId="39" borderId="11" applyNumberFormat="0" applyAlignment="0" applyProtection="0">
      <alignment vertical="center"/>
    </xf>
    <xf numFmtId="213" fontId="51" fillId="0" borderId="0" applyFill="0" applyBorder="0" applyAlignment="0"/>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8" fillId="53" borderId="11" applyNumberFormat="0" applyAlignment="0" applyProtection="0">
      <alignment vertical="center"/>
    </xf>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187" fillId="54" borderId="12" applyNumberFormat="0" applyAlignment="0" applyProtection="0">
      <alignment vertical="center"/>
    </xf>
    <xf numFmtId="217" fontId="51" fillId="0" borderId="0" applyFont="0" applyFill="0" applyBorder="0" applyAlignment="0" applyProtection="0"/>
    <xf numFmtId="164" fontId="174" fillId="47"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0" fontId="20"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3" fontId="51" fillId="0" borderId="0" applyFont="0" applyFill="0" applyBorder="0" applyAlignment="0" applyProtection="0"/>
    <xf numFmtId="164" fontId="63" fillId="0" borderId="21"/>
    <xf numFmtId="164" fontId="173" fillId="43" borderId="0" applyNumberFormat="0" applyBorder="0" applyAlignment="0" applyProtection="0">
      <alignment vertical="center"/>
    </xf>
    <xf numFmtId="164" fontId="30" fillId="0" borderId="23"/>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8" fontId="51" fillId="0" borderId="0" applyFill="0" applyBorder="0" applyAlignment="0"/>
    <xf numFmtId="213" fontId="51" fillId="0" borderId="0" applyFill="0" applyBorder="0" applyAlignment="0"/>
    <xf numFmtId="164" fontId="156" fillId="36"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82" fillId="0" borderId="25"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174" fillId="47"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0" fontId="20"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63" fillId="0" borderId="21"/>
    <xf numFmtId="164" fontId="173" fillId="43" borderId="0" applyNumberFormat="0" applyBorder="0" applyAlignment="0" applyProtection="0">
      <alignment vertical="center"/>
    </xf>
    <xf numFmtId="164" fontId="30" fillId="0" borderId="23"/>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40"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20" fillId="0" borderId="0"/>
    <xf numFmtId="164" fontId="20" fillId="0" borderId="0"/>
    <xf numFmtId="164" fontId="20" fillId="0" borderId="0"/>
    <xf numFmtId="164" fontId="20" fillId="0" borderId="0"/>
    <xf numFmtId="164" fontId="20" fillId="0" borderId="0"/>
    <xf numFmtId="164" fontId="20" fillId="0" borderId="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0" fontId="20"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220" fontId="88" fillId="0" borderId="0" applyFont="0" applyFill="0" applyBorder="0" applyAlignment="0" applyProtection="0"/>
    <xf numFmtId="164" fontId="165" fillId="0" borderId="15" applyNumberFormat="0" applyFill="0" applyAlignment="0" applyProtection="0">
      <alignment vertical="center"/>
    </xf>
    <xf numFmtId="164" fontId="174" fillId="45" borderId="0" applyNumberFormat="0" applyBorder="0" applyAlignment="0" applyProtection="0">
      <alignment vertical="center"/>
    </xf>
    <xf numFmtId="164" fontId="166" fillId="39" borderId="11" applyNumberFormat="0" applyAlignment="0" applyProtection="0">
      <alignment vertical="center"/>
    </xf>
    <xf numFmtId="164" fontId="174" fillId="45" borderId="0" applyNumberFormat="0" applyBorder="0" applyAlignment="0" applyProtection="0">
      <alignment vertical="center"/>
    </xf>
    <xf numFmtId="200" fontId="88" fillId="57" borderId="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67" fillId="0" borderId="18" applyNumberFormat="0" applyFill="0" applyAlignment="0" applyProtection="0">
      <alignment vertical="center"/>
    </xf>
    <xf numFmtId="200" fontId="88" fillId="58" borderId="0"/>
    <xf numFmtId="164" fontId="189" fillId="0" borderId="0" applyNumberFormat="0" applyFill="0" applyBorder="0" applyAlignment="0" applyProtection="0">
      <alignment vertical="center"/>
    </xf>
    <xf numFmtId="164" fontId="168" fillId="61" borderId="0" applyNumberFormat="0" applyBorder="0" applyAlignment="0" applyProtection="0">
      <alignment vertical="center"/>
    </xf>
    <xf numFmtId="219" fontId="88" fillId="0" borderId="0"/>
    <xf numFmtId="217" fontId="51" fillId="0" borderId="0" applyFill="0" applyBorder="0" applyAlignment="0"/>
    <xf numFmtId="213" fontId="51" fillId="0" borderId="0" applyFill="0" applyBorder="0" applyAlignment="0"/>
    <xf numFmtId="217" fontId="51" fillId="0" borderId="0" applyFill="0" applyBorder="0" applyAlignment="0"/>
    <xf numFmtId="164" fontId="184" fillId="0" borderId="0" applyNumberFormat="0" applyFill="0" applyBorder="0" applyAlignment="0" applyProtection="0">
      <alignment vertical="center"/>
    </xf>
    <xf numFmtId="164" fontId="174" fillId="49" borderId="0" applyNumberFormat="0" applyBorder="0" applyAlignment="0" applyProtection="0">
      <alignment vertical="center"/>
    </xf>
    <xf numFmtId="164" fontId="156" fillId="40" borderId="0" applyNumberFormat="0" applyBorder="0" applyAlignment="0" applyProtection="0">
      <alignment vertical="center"/>
    </xf>
    <xf numFmtId="200" fontId="51" fillId="58" borderId="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56" fillId="65" borderId="27" applyNumberFormat="0" applyFont="0" applyAlignment="0" applyProtection="0">
      <alignment vertical="center"/>
    </xf>
    <xf numFmtId="164" fontId="169" fillId="53" borderId="20" applyNumberFormat="0" applyAlignment="0" applyProtection="0">
      <alignment vertical="center"/>
    </xf>
    <xf numFmtId="14" fontId="91" fillId="0" borderId="0">
      <alignment horizontal="center" wrapText="1"/>
      <protection locked="0"/>
    </xf>
    <xf numFmtId="216" fontId="88" fillId="0" borderId="0" applyFont="0" applyFill="0" applyBorder="0" applyAlignment="0" applyProtection="0"/>
    <xf numFmtId="220" fontId="88" fillId="0" borderId="0" applyFont="0" applyFill="0" applyBorder="0" applyAlignment="0" applyProtection="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9" fontId="88" fillId="0" borderId="0"/>
    <xf numFmtId="164" fontId="168" fillId="61" borderId="0" applyNumberFormat="0" applyBorder="0" applyAlignment="0" applyProtection="0">
      <alignment vertical="center"/>
    </xf>
    <xf numFmtId="164" fontId="189" fillId="0" borderId="0" applyNumberFormat="0" applyFill="0" applyBorder="0" applyAlignment="0" applyProtection="0">
      <alignment vertical="center"/>
    </xf>
    <xf numFmtId="164" fontId="96" fillId="0" borderId="21"/>
    <xf numFmtId="164" fontId="174" fillId="45" borderId="0" applyNumberFormat="0" applyBorder="0" applyAlignment="0" applyProtection="0">
      <alignment vertical="center"/>
    </xf>
    <xf numFmtId="164" fontId="166" fillId="39" borderId="11" applyNumberFormat="0" applyAlignment="0" applyProtection="0">
      <alignment vertical="center"/>
    </xf>
    <xf numFmtId="164" fontId="97" fillId="0" borderId="23"/>
    <xf numFmtId="164" fontId="161" fillId="0" borderId="0" applyNumberFormat="0" applyFill="0" applyBorder="0" applyAlignment="0" applyProtection="0">
      <alignment vertical="center"/>
    </xf>
    <xf numFmtId="213" fontId="51" fillId="0" borderId="0" applyFill="0" applyBorder="0" applyAlignment="0"/>
    <xf numFmtId="221" fontId="88" fillId="0" borderId="0" applyFill="0" applyBorder="0" applyAlignment="0"/>
    <xf numFmtId="222" fontId="88" fillId="0" borderId="0" applyFill="0" applyBorder="0" applyAlignment="0"/>
    <xf numFmtId="164" fontId="170" fillId="0" borderId="0" applyNumberFormat="0" applyFill="0" applyBorder="0" applyAlignment="0" applyProtection="0">
      <alignment vertical="center"/>
    </xf>
    <xf numFmtId="164" fontId="171" fillId="0" borderId="28" applyNumberFormat="0" applyFill="0" applyAlignment="0" applyProtection="0">
      <alignment vertical="center"/>
    </xf>
    <xf numFmtId="164" fontId="157" fillId="45" borderId="0" applyNumberFormat="0" applyBorder="0" applyAlignment="0" applyProtection="0">
      <alignment vertical="center"/>
    </xf>
    <xf numFmtId="164" fontId="157" fillId="42" borderId="0" applyNumberFormat="0" applyBorder="0" applyAlignment="0" applyProtection="0">
      <alignment vertical="center"/>
    </xf>
    <xf numFmtId="164" fontId="172"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56"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36" fillId="54" borderId="12" applyNumberFormat="0" applyAlignment="0" applyProtection="0">
      <alignment vertical="center"/>
    </xf>
    <xf numFmtId="164" fontId="123" fillId="50" borderId="0" applyNumberFormat="0" applyBorder="0" applyAlignment="0" applyProtection="0">
      <alignment vertical="center"/>
    </xf>
    <xf numFmtId="213" fontId="88" fillId="0" borderId="0" applyFill="0" applyBorder="0" applyAlignment="0"/>
    <xf numFmtId="164" fontId="122" fillId="3" borderId="0" applyNumberFormat="0" applyBorder="0" applyAlignment="0" applyProtection="0">
      <alignment vertical="center"/>
    </xf>
    <xf numFmtId="164" fontId="172" fillId="0" borderId="0" applyNumberFormat="0" applyFill="0" applyBorder="0" applyAlignment="0" applyProtection="0">
      <alignment vertical="center"/>
    </xf>
    <xf numFmtId="164" fontId="90" fillId="65" borderId="27" applyNumberFormat="0" applyFont="0" applyAlignment="0" applyProtection="0"/>
    <xf numFmtId="164" fontId="123" fillId="49" borderId="0" applyNumberFormat="0" applyBorder="0" applyAlignment="0" applyProtection="0">
      <alignment vertical="center"/>
    </xf>
    <xf numFmtId="164" fontId="156" fillId="37" borderId="0" applyNumberFormat="0" applyBorder="0" applyAlignment="0" applyProtection="0">
      <alignment vertical="center"/>
    </xf>
    <xf numFmtId="164" fontId="122" fillId="37" borderId="0" applyNumberFormat="0" applyBorder="0" applyAlignment="0" applyProtection="0">
      <alignment vertical="center"/>
    </xf>
    <xf numFmtId="164" fontId="157" fillId="42"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25" fillId="0" borderId="28" applyNumberFormat="0" applyFill="0" applyAlignment="0" applyProtection="0">
      <alignment vertical="center"/>
    </xf>
    <xf numFmtId="164" fontId="126" fillId="3" borderId="0" applyNumberFormat="0" applyBorder="0" applyAlignment="0" applyProtection="0">
      <alignment vertical="center"/>
    </xf>
    <xf numFmtId="164" fontId="127" fillId="53" borderId="11" applyNumberFormat="0" applyAlignment="0" applyProtection="0">
      <alignment vertical="center"/>
    </xf>
    <xf numFmtId="164" fontId="97" fillId="0" borderId="23"/>
    <xf numFmtId="164" fontId="128" fillId="0" borderId="18" applyNumberFormat="0" applyFill="0" applyAlignment="0" applyProtection="0">
      <alignment vertical="center"/>
    </xf>
    <xf numFmtId="164" fontId="103" fillId="65" borderId="27" applyNumberFormat="0" applyFont="0" applyAlignment="0" applyProtection="0">
      <alignment vertical="center"/>
    </xf>
    <xf numFmtId="164" fontId="129" fillId="0" borderId="0" applyNumberFormat="0" applyFill="0" applyBorder="0" applyAlignment="0" applyProtection="0">
      <alignment vertical="center"/>
    </xf>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70"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34" fillId="39" borderId="11" applyNumberFormat="0" applyAlignment="0" applyProtection="0">
      <alignment vertical="center"/>
    </xf>
    <xf numFmtId="164" fontId="135" fillId="53" borderId="20"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38" fillId="0" borderId="0" applyNumberFormat="0" applyFill="0" applyBorder="0" applyAlignment="0" applyProtection="0">
      <alignment vertical="center"/>
    </xf>
    <xf numFmtId="214" fontId="51" fillId="0" borderId="0" applyFill="0" applyBorder="0" applyAlignment="0"/>
    <xf numFmtId="217" fontId="88" fillId="0" borderId="0" applyFill="0" applyBorder="0" applyAlignment="0"/>
    <xf numFmtId="164" fontId="174" fillId="49" borderId="0" applyNumberFormat="0" applyBorder="0" applyAlignment="0" applyProtection="0">
      <alignment vertical="center"/>
    </xf>
    <xf numFmtId="164" fontId="127" fillId="53" borderId="11" applyNumberFormat="0" applyAlignment="0" applyProtection="0">
      <alignment vertical="center"/>
    </xf>
    <xf numFmtId="164" fontId="172" fillId="0" borderId="0" applyNumberFormat="0" applyFill="0" applyBorder="0" applyAlignment="0" applyProtection="0">
      <alignment vertical="center"/>
    </xf>
    <xf numFmtId="216" fontId="88" fillId="0" borderId="0" applyFill="0" applyBorder="0" applyAlignment="0"/>
    <xf numFmtId="216" fontId="51" fillId="0" borderId="0" applyFont="0" applyFill="0" applyBorder="0" applyAlignment="0" applyProtection="0"/>
    <xf numFmtId="217" fontId="51" fillId="0" borderId="0" applyFill="0" applyBorder="0" applyAlignment="0"/>
    <xf numFmtId="164" fontId="122" fillId="41" borderId="0" applyNumberFormat="0" applyBorder="0" applyAlignment="0" applyProtection="0">
      <alignment vertical="center"/>
    </xf>
    <xf numFmtId="220" fontId="51" fillId="0" borderId="0" applyFont="0" applyFill="0" applyBorder="0" applyAlignment="0" applyProtection="0"/>
    <xf numFmtId="164" fontId="173" fillId="35" borderId="0" applyNumberFormat="0" applyBorder="0" applyAlignment="0" applyProtection="0">
      <alignment vertical="center"/>
    </xf>
    <xf numFmtId="164" fontId="173" fillId="36" borderId="0" applyNumberFormat="0" applyBorder="0" applyAlignment="0" applyProtection="0">
      <alignment vertical="center"/>
    </xf>
    <xf numFmtId="164" fontId="173" fillId="3" borderId="0" applyNumberFormat="0" applyBorder="0" applyAlignment="0" applyProtection="0">
      <alignment vertical="center"/>
    </xf>
    <xf numFmtId="164" fontId="173" fillId="37" borderId="0" applyNumberFormat="0" applyBorder="0" applyAlignment="0" applyProtection="0">
      <alignment vertical="center"/>
    </xf>
    <xf numFmtId="164" fontId="173" fillId="38" borderId="0" applyNumberFormat="0" applyBorder="0" applyAlignment="0" applyProtection="0">
      <alignment vertical="center"/>
    </xf>
    <xf numFmtId="164" fontId="173" fillId="39" borderId="0" applyNumberFormat="0" applyBorder="0" applyAlignment="0" applyProtection="0">
      <alignment vertical="center"/>
    </xf>
    <xf numFmtId="164" fontId="163" fillId="0" borderId="25" applyNumberFormat="0" applyFill="0" applyAlignment="0" applyProtection="0">
      <alignment vertical="center"/>
    </xf>
    <xf numFmtId="164" fontId="123" fillId="46" borderId="0" applyNumberFormat="0" applyBorder="0" applyAlignment="0" applyProtection="0">
      <alignment vertical="center"/>
    </xf>
    <xf numFmtId="216" fontId="88" fillId="0" borderId="0" applyFont="0" applyFill="0" applyBorder="0" applyAlignment="0" applyProtection="0"/>
    <xf numFmtId="217" fontId="88" fillId="0" borderId="0" applyFill="0" applyBorder="0" applyAlignment="0"/>
    <xf numFmtId="217" fontId="88" fillId="0" borderId="0" applyFill="0" applyBorder="0" applyAlignment="0"/>
    <xf numFmtId="164" fontId="173" fillId="40" borderId="0" applyNumberFormat="0" applyBorder="0" applyAlignment="0" applyProtection="0">
      <alignment vertical="center"/>
    </xf>
    <xf numFmtId="164" fontId="173" fillId="41" borderId="0" applyNumberFormat="0" applyBorder="0" applyAlignment="0" applyProtection="0">
      <alignment vertical="center"/>
    </xf>
    <xf numFmtId="164" fontId="173" fillId="42" borderId="0" applyNumberFormat="0" applyBorder="0" applyAlignment="0" applyProtection="0">
      <alignment vertical="center"/>
    </xf>
    <xf numFmtId="164" fontId="173" fillId="37" borderId="0" applyNumberFormat="0" applyBorder="0" applyAlignment="0" applyProtection="0">
      <alignment vertical="center"/>
    </xf>
    <xf numFmtId="164" fontId="173" fillId="40" borderId="0" applyNumberFormat="0" applyBorder="0" applyAlignment="0" applyProtection="0">
      <alignment vertical="center"/>
    </xf>
    <xf numFmtId="164" fontId="173" fillId="43" borderId="0" applyNumberFormat="0" applyBorder="0" applyAlignment="0" applyProtection="0">
      <alignment vertical="center"/>
    </xf>
    <xf numFmtId="164" fontId="156" fillId="40" borderId="0" applyNumberFormat="0" applyBorder="0" applyAlignment="0" applyProtection="0">
      <alignment vertical="center"/>
    </xf>
    <xf numFmtId="164" fontId="174" fillId="44" borderId="0" applyNumberFormat="0" applyBorder="0" applyAlignment="0" applyProtection="0">
      <alignment vertical="center"/>
    </xf>
    <xf numFmtId="164" fontId="174"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47" borderId="0" applyNumberFormat="0" applyBorder="0" applyAlignment="0" applyProtection="0">
      <alignment vertical="center"/>
    </xf>
    <xf numFmtId="200" fontId="51" fillId="58" borderId="0"/>
    <xf numFmtId="216" fontId="51" fillId="0" borderId="0" applyFont="0" applyFill="0" applyBorder="0" applyAlignment="0" applyProtection="0"/>
    <xf numFmtId="164" fontId="157" fillId="41" borderId="0" applyNumberFormat="0" applyBorder="0" applyAlignment="0" applyProtection="0">
      <alignment vertical="center"/>
    </xf>
    <xf numFmtId="14" fontId="91" fillId="0" borderId="0">
      <alignment horizontal="center" wrapText="1"/>
      <protection locked="0"/>
    </xf>
    <xf numFmtId="213" fontId="51" fillId="0" borderId="0" applyFill="0" applyBorder="0" applyAlignment="0"/>
    <xf numFmtId="164" fontId="173" fillId="42" borderId="0" applyNumberFormat="0" applyBorder="0" applyAlignment="0" applyProtection="0">
      <alignment vertical="center"/>
    </xf>
    <xf numFmtId="164" fontId="174" fillId="49" borderId="0" applyNumberFormat="0" applyBorder="0" applyAlignment="0" applyProtection="0">
      <alignment vertical="center"/>
    </xf>
    <xf numFmtId="164" fontId="174" fillId="50" borderId="0" applyNumberFormat="0" applyBorder="0" applyAlignment="0" applyProtection="0">
      <alignment vertical="center"/>
    </xf>
    <xf numFmtId="164" fontId="174" fillId="51"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52" borderId="0" applyNumberFormat="0" applyBorder="0" applyAlignment="0" applyProtection="0">
      <alignment vertical="center"/>
    </xf>
    <xf numFmtId="164" fontId="31" fillId="0" borderId="0">
      <alignment horizontal="center" wrapText="1"/>
      <protection locked="0"/>
    </xf>
    <xf numFmtId="164" fontId="188" fillId="36" borderId="0" applyNumberFormat="0" applyBorder="0" applyAlignment="0" applyProtection="0">
      <alignment vertical="center"/>
    </xf>
    <xf numFmtId="164" fontId="156" fillId="40"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217" fontId="51" fillId="0" borderId="0" applyFont="0" applyFill="0" applyBorder="0" applyAlignment="0" applyProtection="0"/>
    <xf numFmtId="217" fontId="88" fillId="0" borderId="0" applyFill="0" applyBorder="0" applyAlignment="0"/>
    <xf numFmtId="164" fontId="186" fillId="53" borderId="20" applyNumberFormat="0" applyAlignment="0" applyProtection="0">
      <alignment vertical="center"/>
    </xf>
    <xf numFmtId="164" fontId="157" fillId="51" borderId="0" applyNumberFormat="0" applyBorder="0" applyAlignment="0" applyProtection="0">
      <alignment vertical="center"/>
    </xf>
    <xf numFmtId="213" fontId="51" fillId="0" borderId="0" applyFont="0" applyFill="0" applyBorder="0" applyAlignment="0" applyProtection="0"/>
    <xf numFmtId="164" fontId="156" fillId="3" borderId="0" applyNumberFormat="0" applyBorder="0" applyAlignment="0" applyProtection="0">
      <alignment vertical="center"/>
    </xf>
    <xf numFmtId="164" fontId="96" fillId="0" borderId="21"/>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7"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69" fillId="53" borderId="20" applyNumberFormat="0" applyAlignment="0" applyProtection="0">
      <alignment vertical="center"/>
    </xf>
    <xf numFmtId="164" fontId="184" fillId="0" borderId="0" applyNumberFormat="0" applyFill="0" applyBorder="0" applyAlignment="0" applyProtection="0">
      <alignment vertical="center"/>
    </xf>
    <xf numFmtId="164" fontId="174" fillId="50"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7" fillId="46" borderId="0" applyNumberFormat="0" applyBorder="0" applyAlignment="0" applyProtection="0">
      <alignment vertical="center"/>
    </xf>
    <xf numFmtId="164" fontId="156" fillId="43" borderId="0" applyNumberFormat="0" applyBorder="0" applyAlignment="0" applyProtection="0">
      <alignment vertical="center"/>
    </xf>
    <xf numFmtId="164" fontId="123" fillId="46" borderId="0" applyNumberFormat="0" applyBorder="0" applyAlignment="0" applyProtection="0">
      <alignment vertical="center"/>
    </xf>
    <xf numFmtId="164" fontId="173" fillId="40" borderId="0" applyNumberFormat="0" applyBorder="0" applyAlignment="0" applyProtection="0">
      <alignment vertical="center"/>
    </xf>
    <xf numFmtId="164" fontId="85" fillId="65" borderId="27" applyNumberFormat="0" applyFont="0" applyAlignment="0" applyProtection="0">
      <alignment vertical="center"/>
    </xf>
    <xf numFmtId="164" fontId="185" fillId="39" borderId="11" applyNumberFormat="0" applyAlignment="0" applyProtection="0">
      <alignment vertical="center"/>
    </xf>
    <xf numFmtId="164" fontId="137" fillId="36"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81" fillId="0" borderId="0" applyNumberFormat="0" applyFill="0" applyBorder="0" applyAlignment="0" applyProtection="0">
      <alignment vertical="center"/>
    </xf>
    <xf numFmtId="164" fontId="175" fillId="61" borderId="0" applyNumberFormat="0" applyBorder="0" applyAlignment="0" applyProtection="0">
      <alignment vertical="center"/>
    </xf>
    <xf numFmtId="219" fontId="51" fillId="0" borderId="0"/>
    <xf numFmtId="14" fontId="31" fillId="0" borderId="0">
      <alignment horizontal="center" wrapText="1"/>
      <protection locked="0"/>
    </xf>
    <xf numFmtId="164" fontId="175" fillId="61" borderId="0" applyNumberFormat="0" applyBorder="0" applyAlignment="0" applyProtection="0">
      <alignment vertical="center"/>
    </xf>
    <xf numFmtId="218" fontId="51" fillId="0" borderId="0" applyFill="0" applyBorder="0" applyAlignment="0"/>
    <xf numFmtId="213" fontId="51" fillId="0" borderId="0" applyFill="0" applyBorder="0" applyAlignment="0"/>
    <xf numFmtId="164" fontId="174" fillId="51" borderId="0" applyNumberFormat="0" applyBorder="0" applyAlignment="0" applyProtection="0">
      <alignment vertical="center"/>
    </xf>
    <xf numFmtId="164" fontId="184" fillId="0" borderId="0" applyNumberFormat="0" applyFill="0" applyBorder="0" applyAlignment="0" applyProtection="0">
      <alignment vertical="center"/>
    </xf>
    <xf numFmtId="213" fontId="51" fillId="0" borderId="0" applyFill="0" applyBorder="0" applyAlignment="0"/>
    <xf numFmtId="218" fontId="88"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2" fillId="0" borderId="0" applyNumberFormat="0" applyFill="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3" fillId="42" borderId="0" applyNumberFormat="0" applyBorder="0" applyAlignment="0" applyProtection="0">
      <alignment vertical="center"/>
    </xf>
    <xf numFmtId="164" fontId="170" fillId="0" borderId="0" applyNumberFormat="0" applyFill="0" applyBorder="0" applyAlignment="0" applyProtection="0">
      <alignment vertical="center"/>
    </xf>
    <xf numFmtId="164" fontId="172" fillId="0" borderId="0" applyNumberFormat="0" applyFill="0" applyBorder="0" applyAlignment="0" applyProtection="0">
      <alignment vertical="center"/>
    </xf>
    <xf numFmtId="217" fontId="88" fillId="0" borderId="0" applyFill="0" applyBorder="0" applyAlignment="0"/>
    <xf numFmtId="218" fontId="51" fillId="0" borderId="0" applyFill="0" applyBorder="0" applyAlignment="0"/>
    <xf numFmtId="164" fontId="156" fillId="35" borderId="0" applyNumberFormat="0" applyBorder="0" applyAlignment="0" applyProtection="0">
      <alignment vertical="center"/>
    </xf>
    <xf numFmtId="213" fontId="51" fillId="0" borderId="0" applyFill="0" applyBorder="0" applyAlignment="0"/>
    <xf numFmtId="164" fontId="63" fillId="0" borderId="21"/>
    <xf numFmtId="200" fontId="51" fillId="58" borderId="0"/>
    <xf numFmtId="164" fontId="162" fillId="3" borderId="0" applyNumberFormat="0" applyBorder="0" applyAlignment="0" applyProtection="0">
      <alignment vertical="center"/>
    </xf>
    <xf numFmtId="217" fontId="88" fillId="0" borderId="0" applyFill="0" applyBorder="0" applyAlignment="0"/>
    <xf numFmtId="164" fontId="30" fillId="0" borderId="23"/>
    <xf numFmtId="164" fontId="162" fillId="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5" fontId="51" fillId="0" borderId="0" applyFill="0" applyBorder="0" applyAlignment="0"/>
    <xf numFmtId="215" fontId="51" fillId="0" borderId="0" applyFill="0" applyBorder="0" applyAlignment="0"/>
    <xf numFmtId="164" fontId="189" fillId="0" borderId="0" applyNumberFormat="0" applyFill="0" applyBorder="0" applyAlignment="0" applyProtection="0">
      <alignment vertical="center"/>
    </xf>
    <xf numFmtId="164" fontId="157" fillId="44" borderId="0" applyNumberFormat="0" applyBorder="0" applyAlignment="0" applyProtection="0">
      <alignment vertical="center"/>
    </xf>
    <xf numFmtId="221" fontId="51" fillId="0" borderId="0" applyFill="0" applyBorder="0" applyAlignment="0"/>
    <xf numFmtId="164" fontId="164" fillId="0" borderId="26" applyNumberFormat="0" applyFill="0" applyAlignment="0" applyProtection="0">
      <alignment vertical="center"/>
    </xf>
    <xf numFmtId="213" fontId="88" fillId="0" borderId="0" applyFill="0" applyBorder="0" applyAlignment="0"/>
    <xf numFmtId="164" fontId="177" fillId="3" borderId="0" applyNumberFormat="0" applyBorder="0" applyAlignment="0" applyProtection="0">
      <alignment vertical="center"/>
    </xf>
    <xf numFmtId="215" fontId="51" fillId="0" borderId="0" applyFill="0" applyBorder="0" applyAlignment="0"/>
    <xf numFmtId="164" fontId="122" fillId="35"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56" fillId="41" borderId="0" applyNumberFormat="0" applyBorder="0" applyAlignment="0" applyProtection="0">
      <alignment vertical="center"/>
    </xf>
    <xf numFmtId="164" fontId="177" fillId="3" borderId="0" applyNumberFormat="0" applyBorder="0" applyAlignment="0" applyProtection="0">
      <alignment vertical="center"/>
    </xf>
    <xf numFmtId="164" fontId="163" fillId="0" borderId="25" applyNumberFormat="0" applyFill="0" applyAlignment="0" applyProtection="0">
      <alignment vertical="center"/>
    </xf>
    <xf numFmtId="217" fontId="51" fillId="0" borderId="0" applyFill="0" applyBorder="0" applyAlignment="0"/>
    <xf numFmtId="222" fontId="88" fillId="0" borderId="0" applyFill="0" applyBorder="0" applyAlignment="0"/>
    <xf numFmtId="217" fontId="88" fillId="0" borderId="0" applyFill="0" applyBorder="0" applyAlignment="0"/>
    <xf numFmtId="164" fontId="156" fillId="35" borderId="0" applyNumberFormat="0" applyBorder="0" applyAlignment="0" applyProtection="0">
      <alignment vertical="center"/>
    </xf>
    <xf numFmtId="221" fontId="88" fillId="0" borderId="0" applyFill="0" applyBorder="0" applyAlignment="0"/>
    <xf numFmtId="164" fontId="125" fillId="0" borderId="28" applyNumberFormat="0" applyFill="0" applyAlignment="0" applyProtection="0">
      <alignment vertical="center"/>
    </xf>
    <xf numFmtId="164" fontId="129" fillId="0" borderId="0" applyNumberFormat="0" applyFill="0" applyBorder="0" applyAlignment="0" applyProtection="0">
      <alignment vertical="center"/>
    </xf>
    <xf numFmtId="218" fontId="88" fillId="0" borderId="0" applyFill="0" applyBorder="0" applyAlignment="0"/>
    <xf numFmtId="164" fontId="97" fillId="0" borderId="23"/>
    <xf numFmtId="218" fontId="51" fillId="0" borderId="0" applyFill="0" applyBorder="0" applyAlignment="0"/>
    <xf numFmtId="164" fontId="173" fillId="40" borderId="0" applyNumberFormat="0" applyBorder="0" applyAlignment="0" applyProtection="0">
      <alignment vertical="center"/>
    </xf>
    <xf numFmtId="164" fontId="30" fillId="0" borderId="23"/>
    <xf numFmtId="164" fontId="30" fillId="0" borderId="23"/>
    <xf numFmtId="213" fontId="51" fillId="0" borderId="0" applyFill="0" applyBorder="0" applyAlignment="0"/>
    <xf numFmtId="164" fontId="170" fillId="0" borderId="0" applyNumberFormat="0" applyFill="0" applyBorder="0" applyAlignment="0" applyProtection="0">
      <alignment vertical="center"/>
    </xf>
    <xf numFmtId="164" fontId="161" fillId="0" borderId="0" applyNumberFormat="0" applyFill="0" applyBorder="0" applyAlignment="0" applyProtection="0">
      <alignment vertical="center"/>
    </xf>
    <xf numFmtId="164" fontId="30" fillId="0" borderId="23"/>
    <xf numFmtId="164" fontId="168" fillId="61" borderId="0" applyNumberFormat="0" applyBorder="0" applyAlignment="0" applyProtection="0">
      <alignment vertical="center"/>
    </xf>
    <xf numFmtId="164" fontId="186" fillId="53" borderId="20" applyNumberFormat="0" applyAlignment="0" applyProtection="0">
      <alignment vertical="center"/>
    </xf>
    <xf numFmtId="164" fontId="170"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22" fillId="35" borderId="0" applyNumberFormat="0" applyBorder="0" applyAlignment="0" applyProtection="0">
      <alignment vertical="center"/>
    </xf>
    <xf numFmtId="164" fontId="156" fillId="41" borderId="0" applyNumberFormat="0" applyBorder="0" applyAlignment="0" applyProtection="0">
      <alignment vertical="center"/>
    </xf>
    <xf numFmtId="221" fontId="51" fillId="0" borderId="0" applyFill="0" applyBorder="0" applyAlignment="0"/>
    <xf numFmtId="217" fontId="88" fillId="0" borderId="0" applyFill="0" applyBorder="0" applyAlignment="0"/>
    <xf numFmtId="164" fontId="186" fillId="53" borderId="20" applyNumberFormat="0" applyAlignment="0" applyProtection="0">
      <alignment vertical="center"/>
    </xf>
    <xf numFmtId="200" fontId="51" fillId="57" borderId="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74" fillId="50" borderId="0" applyNumberFormat="0" applyBorder="0" applyAlignment="0" applyProtection="0">
      <alignment vertical="center"/>
    </xf>
    <xf numFmtId="164" fontId="31" fillId="0" borderId="0">
      <alignment horizontal="center" wrapText="1"/>
      <protection locked="0"/>
    </xf>
    <xf numFmtId="164" fontId="174" fillId="51" borderId="0" applyNumberFormat="0" applyBorder="0" applyAlignment="0" applyProtection="0">
      <alignment vertical="center"/>
    </xf>
    <xf numFmtId="213" fontId="51" fillId="0" borderId="0" applyFill="0" applyBorder="0" applyAlignment="0"/>
    <xf numFmtId="213" fontId="88" fillId="0" borderId="0" applyFill="0" applyBorder="0" applyAlignment="0"/>
    <xf numFmtId="164" fontId="157" fillId="51" borderId="0" applyNumberFormat="0" applyBorder="0" applyAlignment="0" applyProtection="0">
      <alignment vertical="center"/>
    </xf>
    <xf numFmtId="164" fontId="168" fillId="61" borderId="0" applyNumberFormat="0" applyBorder="0" applyAlignment="0" applyProtection="0">
      <alignment vertical="center"/>
    </xf>
    <xf numFmtId="164" fontId="173" fillId="43" borderId="0" applyNumberFormat="0" applyBorder="0" applyAlignment="0" applyProtection="0">
      <alignment vertical="center"/>
    </xf>
    <xf numFmtId="164" fontId="173" fillId="39" borderId="0" applyNumberFormat="0" applyBorder="0" applyAlignment="0" applyProtection="0">
      <alignment vertical="center"/>
    </xf>
    <xf numFmtId="164" fontId="123" fillId="47" borderId="0" applyNumberFormat="0" applyBorder="0" applyAlignment="0" applyProtection="0">
      <alignment vertical="center"/>
    </xf>
    <xf numFmtId="164" fontId="164" fillId="0" borderId="26" applyNumberFormat="0" applyFill="0" applyAlignment="0" applyProtection="0">
      <alignment vertical="center"/>
    </xf>
    <xf numFmtId="164" fontId="97" fillId="0" borderId="23"/>
    <xf numFmtId="164" fontId="122" fillId="3" borderId="0" applyNumberFormat="0" applyBorder="0" applyAlignment="0" applyProtection="0">
      <alignment vertical="center"/>
    </xf>
    <xf numFmtId="164" fontId="156" fillId="41" borderId="0" applyNumberFormat="0" applyBorder="0" applyAlignment="0" applyProtection="0">
      <alignment vertical="center"/>
    </xf>
    <xf numFmtId="164" fontId="96" fillId="0" borderId="21"/>
    <xf numFmtId="217" fontId="88" fillId="0" borderId="0" applyFill="0" applyBorder="0" applyAlignment="0"/>
    <xf numFmtId="164" fontId="174" fillId="45" borderId="0" applyNumberFormat="0" applyBorder="0" applyAlignment="0" applyProtection="0">
      <alignment vertical="center"/>
    </xf>
    <xf numFmtId="164" fontId="126" fillId="3" borderId="0" applyNumberFormat="0" applyBorder="0" applyAlignment="0" applyProtection="0">
      <alignment vertical="center"/>
    </xf>
    <xf numFmtId="164" fontId="157" fillId="47" borderId="0" applyNumberFormat="0" applyBorder="0" applyAlignment="0" applyProtection="0">
      <alignment vertical="center"/>
    </xf>
    <xf numFmtId="164" fontId="123" fillId="46" borderId="0" applyNumberFormat="0" applyBorder="0" applyAlignment="0" applyProtection="0">
      <alignment vertical="center"/>
    </xf>
    <xf numFmtId="213" fontId="88" fillId="0" borderId="0" applyFill="0" applyBorder="0" applyAlignment="0"/>
    <xf numFmtId="217" fontId="51" fillId="0" borderId="0" applyFill="0" applyBorder="0" applyAlignment="0"/>
    <xf numFmtId="212" fontId="51" fillId="0" borderId="0" applyFill="0" applyBorder="0" applyAlignment="0"/>
    <xf numFmtId="213" fontId="88" fillId="0" borderId="0" applyFill="0" applyBorder="0" applyAlignment="0"/>
    <xf numFmtId="164" fontId="123" fillId="51" borderId="0" applyNumberFormat="0" applyBorder="0" applyAlignment="0" applyProtection="0">
      <alignment vertical="center"/>
    </xf>
    <xf numFmtId="164" fontId="182" fillId="0" borderId="25" applyNumberFormat="0" applyFill="0" applyAlignment="0" applyProtection="0">
      <alignment vertical="center"/>
    </xf>
    <xf numFmtId="164" fontId="171" fillId="0" borderId="28" applyNumberFormat="0" applyFill="0" applyAlignment="0" applyProtection="0">
      <alignment vertical="center"/>
    </xf>
    <xf numFmtId="164" fontId="165" fillId="0" borderId="15" applyNumberFormat="0" applyFill="0" applyAlignment="0" applyProtection="0">
      <alignment vertical="center"/>
    </xf>
    <xf numFmtId="213" fontId="88" fillId="0" borderId="0" applyFill="0" applyBorder="0" applyAlignment="0"/>
    <xf numFmtId="214" fontId="51" fillId="0" borderId="0" applyFill="0" applyBorder="0" applyAlignment="0"/>
    <xf numFmtId="213" fontId="88" fillId="0" borderId="0" applyFill="0" applyBorder="0" applyAlignment="0"/>
    <xf numFmtId="164" fontId="157" fillId="46" borderId="0" applyNumberFormat="0" applyBorder="0" applyAlignment="0" applyProtection="0">
      <alignment vertical="center"/>
    </xf>
    <xf numFmtId="213" fontId="88" fillId="0" borderId="0" applyFont="0" applyFill="0" applyBorder="0" applyAlignment="0" applyProtection="0"/>
    <xf numFmtId="214" fontId="88" fillId="0" borderId="0" applyFill="0" applyBorder="0" applyAlignment="0"/>
    <xf numFmtId="164" fontId="122" fillId="42" borderId="0" applyNumberFormat="0" applyBorder="0" applyAlignment="0" applyProtection="0">
      <alignment vertical="center"/>
    </xf>
    <xf numFmtId="14" fontId="91" fillId="0" borderId="0">
      <alignment horizontal="center" wrapText="1"/>
      <protection locked="0"/>
    </xf>
    <xf numFmtId="213" fontId="51" fillId="0" borderId="0" applyFill="0" applyBorder="0" applyAlignment="0"/>
    <xf numFmtId="164" fontId="157" fillId="41" borderId="0" applyNumberFormat="0" applyBorder="0" applyAlignment="0" applyProtection="0">
      <alignment vertical="center"/>
    </xf>
    <xf numFmtId="164" fontId="157" fillId="49" borderId="0" applyNumberFormat="0" applyBorder="0" applyAlignment="0" applyProtection="0">
      <alignment vertical="center"/>
    </xf>
    <xf numFmtId="164" fontId="167" fillId="0" borderId="18" applyNumberFormat="0" applyFill="0" applyAlignment="0" applyProtection="0">
      <alignment vertical="center"/>
    </xf>
    <xf numFmtId="164" fontId="123" fillId="52" borderId="0" applyNumberFormat="0" applyBorder="0" applyAlignment="0" applyProtection="0">
      <alignment vertical="center"/>
    </xf>
    <xf numFmtId="164" fontId="173" fillId="42" borderId="0" applyNumberFormat="0" applyBorder="0" applyAlignment="0" applyProtection="0">
      <alignment vertical="center"/>
    </xf>
    <xf numFmtId="213" fontId="88" fillId="0" borderId="0" applyFill="0" applyBorder="0" applyAlignment="0"/>
    <xf numFmtId="164" fontId="156" fillId="43" borderId="0" applyNumberFormat="0" applyBorder="0" applyAlignment="0" applyProtection="0">
      <alignment vertical="center"/>
    </xf>
    <xf numFmtId="164" fontId="96" fillId="0" borderId="21"/>
    <xf numFmtId="214" fontId="51" fillId="0" borderId="0" applyFill="0" applyBorder="0" applyAlignment="0"/>
    <xf numFmtId="164" fontId="85" fillId="65" borderId="27" applyNumberFormat="0" applyFont="0" applyAlignment="0" applyProtection="0">
      <alignment vertical="center"/>
    </xf>
    <xf numFmtId="213" fontId="88" fillId="0" borderId="0" applyFill="0" applyBorder="0" applyAlignment="0"/>
    <xf numFmtId="164" fontId="173" fillId="3" borderId="0" applyNumberFormat="0" applyBorder="0" applyAlignment="0" applyProtection="0">
      <alignment vertical="center"/>
    </xf>
    <xf numFmtId="213" fontId="51" fillId="0" borderId="0" applyFill="0" applyBorder="0" applyAlignment="0"/>
    <xf numFmtId="164" fontId="157" fillId="46" borderId="0" applyNumberFormat="0" applyBorder="0" applyAlignment="0" applyProtection="0">
      <alignment vertical="center"/>
    </xf>
    <xf numFmtId="164" fontId="123" fillId="51" borderId="0" applyNumberFormat="0" applyBorder="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164" fontId="174" fillId="45" borderId="0" applyNumberFormat="0" applyBorder="0" applyAlignment="0" applyProtection="0">
      <alignment vertical="center"/>
    </xf>
    <xf numFmtId="217" fontId="88" fillId="0" borderId="0" applyFill="0" applyBorder="0" applyAlignment="0"/>
    <xf numFmtId="164" fontId="165" fillId="0" borderId="15" applyNumberFormat="0" applyFill="0" applyAlignment="0" applyProtection="0">
      <alignment vertical="center"/>
    </xf>
    <xf numFmtId="220" fontId="88" fillId="0" borderId="0" applyFont="0" applyFill="0" applyBorder="0" applyAlignment="0" applyProtection="0"/>
    <xf numFmtId="213" fontId="51" fillId="0" borderId="0" applyFill="0" applyBorder="0" applyAlignment="0"/>
    <xf numFmtId="164" fontId="157" fillId="47" borderId="0" applyNumberFormat="0" applyBorder="0" applyAlignment="0" applyProtection="0">
      <alignment vertical="center"/>
    </xf>
    <xf numFmtId="213" fontId="88" fillId="0" borderId="0" applyFill="0" applyBorder="0" applyAlignment="0"/>
    <xf numFmtId="164" fontId="173" fillId="36" borderId="0" applyNumberFormat="0" applyBorder="0" applyAlignment="0" applyProtection="0">
      <alignment vertical="center"/>
    </xf>
    <xf numFmtId="164" fontId="157" fillId="41" borderId="0" applyNumberFormat="0" applyBorder="0" applyAlignment="0" applyProtection="0">
      <alignment vertical="center"/>
    </xf>
    <xf numFmtId="164" fontId="165" fillId="0" borderId="15" applyNumberFormat="0" applyFill="0" applyAlignment="0" applyProtection="0">
      <alignment vertical="center"/>
    </xf>
    <xf numFmtId="164" fontId="174" fillId="45" borderId="0" applyNumberFormat="0" applyBorder="0" applyAlignment="0" applyProtection="0">
      <alignment vertical="center"/>
    </xf>
    <xf numFmtId="164" fontId="122" fillId="42" borderId="0" applyNumberFormat="0" applyBorder="0" applyAlignment="0" applyProtection="0">
      <alignment vertical="center"/>
    </xf>
    <xf numFmtId="217" fontId="88" fillId="0" borderId="0" applyFill="0" applyBorder="0" applyAlignment="0"/>
    <xf numFmtId="164" fontId="183" fillId="0" borderId="26" applyNumberFormat="0" applyFill="0" applyAlignment="0" applyProtection="0">
      <alignment vertical="center"/>
    </xf>
    <xf numFmtId="221" fontId="88" fillId="0" borderId="0" applyFill="0" applyBorder="0" applyAlignment="0"/>
    <xf numFmtId="14" fontId="31" fillId="0" borderId="0">
      <alignment horizontal="center" wrapText="1"/>
      <protection locked="0"/>
    </xf>
    <xf numFmtId="164" fontId="157" fillId="49" borderId="0" applyNumberFormat="0" applyBorder="0" applyAlignment="0" applyProtection="0">
      <alignment vertical="center"/>
    </xf>
    <xf numFmtId="164" fontId="173" fillId="40" borderId="0" applyNumberFormat="0" applyBorder="0" applyAlignment="0" applyProtection="0">
      <alignment vertical="center"/>
    </xf>
    <xf numFmtId="164" fontId="85" fillId="65" borderId="27" applyNumberFormat="0" applyFont="0" applyAlignment="0" applyProtection="0">
      <alignment vertical="center"/>
    </xf>
    <xf numFmtId="200" fontId="51" fillId="58" borderId="0"/>
    <xf numFmtId="213" fontId="51" fillId="0" borderId="0" applyFill="0" applyBorder="0" applyAlignment="0"/>
    <xf numFmtId="217" fontId="51" fillId="0" borderId="0" applyFill="0" applyBorder="0" applyAlignment="0"/>
    <xf numFmtId="164" fontId="174" fillId="49" borderId="0" applyNumberFormat="0" applyBorder="0" applyAlignment="0" applyProtection="0">
      <alignment vertical="center"/>
    </xf>
    <xf numFmtId="164" fontId="156" fillId="37" borderId="0" applyNumberFormat="0" applyBorder="0" applyAlignment="0" applyProtection="0">
      <alignment vertical="center"/>
    </xf>
    <xf numFmtId="213" fontId="88" fillId="0" borderId="0" applyFill="0" applyBorder="0" applyAlignment="0"/>
    <xf numFmtId="164" fontId="162" fillId="3" borderId="0" applyNumberFormat="0" applyBorder="0" applyAlignment="0" applyProtection="0">
      <alignment vertical="center"/>
    </xf>
    <xf numFmtId="164" fontId="122" fillId="42" borderId="0" applyNumberFormat="0" applyBorder="0" applyAlignment="0" applyProtection="0">
      <alignment vertical="center"/>
    </xf>
    <xf numFmtId="213" fontId="51" fillId="0" borderId="0" applyFill="0" applyBorder="0" applyAlignment="0"/>
    <xf numFmtId="213" fontId="88" fillId="0" borderId="0" applyFill="0" applyBorder="0" applyAlignment="0"/>
    <xf numFmtId="164" fontId="156" fillId="39" borderId="0" applyNumberFormat="0" applyBorder="0" applyAlignment="0" applyProtection="0">
      <alignment vertical="center"/>
    </xf>
    <xf numFmtId="164" fontId="173" fillId="40" borderId="0" applyNumberFormat="0" applyBorder="0" applyAlignment="0" applyProtection="0">
      <alignment vertical="center"/>
    </xf>
    <xf numFmtId="164" fontId="173" fillId="38" borderId="0" applyNumberFormat="0" applyBorder="0" applyAlignment="0" applyProtection="0">
      <alignment vertical="center"/>
    </xf>
    <xf numFmtId="164" fontId="127" fillId="53" borderId="11" applyNumberFormat="0" applyAlignment="0" applyProtection="0">
      <alignment vertical="center"/>
    </xf>
    <xf numFmtId="164" fontId="163" fillId="0" borderId="25" applyNumberFormat="0" applyFill="0" applyAlignment="0" applyProtection="0">
      <alignment vertical="center"/>
    </xf>
    <xf numFmtId="164" fontId="127" fillId="53" borderId="11" applyNumberFormat="0" applyAlignment="0" applyProtection="0">
      <alignment vertical="center"/>
    </xf>
    <xf numFmtId="164" fontId="156" fillId="42" borderId="0" applyNumberFormat="0" applyBorder="0" applyAlignment="0" applyProtection="0">
      <alignment vertical="center"/>
    </xf>
    <xf numFmtId="213" fontId="88" fillId="0" borderId="0" applyFill="0" applyBorder="0" applyAlignment="0"/>
    <xf numFmtId="164" fontId="174" fillId="46" borderId="0" applyNumberFormat="0" applyBorder="0" applyAlignment="0" applyProtection="0">
      <alignment vertical="center"/>
    </xf>
    <xf numFmtId="164" fontId="122" fillId="40" borderId="0" applyNumberFormat="0" applyBorder="0" applyAlignment="0" applyProtection="0">
      <alignment vertical="center"/>
    </xf>
    <xf numFmtId="164" fontId="173" fillId="40" borderId="0" applyNumberFormat="0" applyBorder="0" applyAlignment="0" applyProtection="0">
      <alignment vertical="center"/>
    </xf>
    <xf numFmtId="164" fontId="123" fillId="47" borderId="0" applyNumberFormat="0" applyBorder="0" applyAlignment="0" applyProtection="0">
      <alignment vertical="center"/>
    </xf>
    <xf numFmtId="214" fontId="51" fillId="0" borderId="0" applyFill="0" applyBorder="0" applyAlignment="0"/>
    <xf numFmtId="164" fontId="156" fillId="3" borderId="0" applyNumberFormat="0" applyBorder="0" applyAlignment="0" applyProtection="0">
      <alignment vertical="center"/>
    </xf>
    <xf numFmtId="213" fontId="51" fillId="0" borderId="0" applyFont="0" applyFill="0" applyBorder="0" applyAlignment="0" applyProtection="0"/>
    <xf numFmtId="218" fontId="88" fillId="0" borderId="0" applyFill="0" applyBorder="0" applyAlignment="0"/>
    <xf numFmtId="164" fontId="137" fillId="36" borderId="0" applyNumberFormat="0" applyBorder="0" applyAlignment="0" applyProtection="0">
      <alignment vertical="center"/>
    </xf>
    <xf numFmtId="200" fontId="88" fillId="57" borderId="0"/>
    <xf numFmtId="164" fontId="103" fillId="65" borderId="27" applyNumberFormat="0" applyFont="0" applyAlignment="0" applyProtection="0">
      <alignment vertical="center"/>
    </xf>
    <xf numFmtId="164" fontId="164" fillId="0" borderId="26" applyNumberFormat="0" applyFill="0" applyAlignment="0" applyProtection="0">
      <alignment vertical="center"/>
    </xf>
    <xf numFmtId="164" fontId="123" fillId="47" borderId="0" applyNumberFormat="0" applyBorder="0" applyAlignment="0" applyProtection="0">
      <alignment vertical="center"/>
    </xf>
    <xf numFmtId="164" fontId="156" fillId="37" borderId="0" applyNumberFormat="0" applyBorder="0" applyAlignment="0" applyProtection="0">
      <alignment vertical="center"/>
    </xf>
    <xf numFmtId="217" fontId="88" fillId="0" borderId="0" applyFill="0" applyBorder="0" applyAlignment="0"/>
    <xf numFmtId="218" fontId="88" fillId="0" borderId="0" applyFill="0" applyBorder="0" applyAlignment="0"/>
    <xf numFmtId="164" fontId="157" fillId="45" borderId="0" applyNumberFormat="0" applyBorder="0" applyAlignment="0" applyProtection="0">
      <alignment vertical="center"/>
    </xf>
    <xf numFmtId="164" fontId="170" fillId="0" borderId="0" applyNumberFormat="0" applyFill="0" applyBorder="0" applyAlignment="0" applyProtection="0">
      <alignment vertical="center"/>
    </xf>
    <xf numFmtId="164" fontId="173" fillId="42" borderId="0" applyNumberFormat="0" applyBorder="0" applyAlignment="0" applyProtection="0">
      <alignment vertical="center"/>
    </xf>
    <xf numFmtId="221" fontId="51" fillId="0" borderId="0" applyFill="0" applyBorder="0" applyAlignment="0"/>
    <xf numFmtId="164" fontId="122" fillId="41" borderId="0" applyNumberFormat="0" applyBorder="0" applyAlignment="0" applyProtection="0">
      <alignment vertical="center"/>
    </xf>
    <xf numFmtId="200" fontId="88" fillId="57" borderId="0"/>
    <xf numFmtId="164" fontId="123" fillId="46" borderId="0" applyNumberFormat="0" applyBorder="0" applyAlignment="0" applyProtection="0">
      <alignment vertical="center"/>
    </xf>
    <xf numFmtId="164" fontId="96" fillId="0" borderId="21"/>
    <xf numFmtId="164" fontId="177" fillId="3" borderId="0" applyNumberFormat="0" applyBorder="0" applyAlignment="0" applyProtection="0">
      <alignment vertical="center"/>
    </xf>
    <xf numFmtId="164" fontId="135" fillId="53" borderId="20" applyNumberFormat="0" applyAlignment="0" applyProtection="0">
      <alignment vertical="center"/>
    </xf>
    <xf numFmtId="164" fontId="173" fillId="38" borderId="0" applyNumberFormat="0" applyBorder="0" applyAlignment="0" applyProtection="0">
      <alignment vertical="center"/>
    </xf>
    <xf numFmtId="213" fontId="51" fillId="0" borderId="0" applyFill="0" applyBorder="0" applyAlignment="0"/>
    <xf numFmtId="164" fontId="170" fillId="0" borderId="0" applyNumberFormat="0" applyFill="0" applyBorder="0" applyAlignment="0" applyProtection="0">
      <alignment vertical="center"/>
    </xf>
    <xf numFmtId="212" fontId="51" fillId="0" borderId="0" applyFill="0" applyBorder="0" applyAlignment="0"/>
    <xf numFmtId="164" fontId="173" fillId="40" borderId="0" applyNumberFormat="0" applyBorder="0" applyAlignment="0" applyProtection="0">
      <alignment vertical="center"/>
    </xf>
    <xf numFmtId="213" fontId="51" fillId="0" borderId="0" applyFill="0" applyBorder="0" applyAlignment="0"/>
    <xf numFmtId="164" fontId="173" fillId="37" borderId="0" applyNumberFormat="0" applyBorder="0" applyAlignment="0" applyProtection="0">
      <alignment vertical="center"/>
    </xf>
    <xf numFmtId="164" fontId="163" fillId="0" borderId="25" applyNumberFormat="0" applyFill="0" applyAlignment="0" applyProtection="0">
      <alignment vertical="center"/>
    </xf>
    <xf numFmtId="164" fontId="173" fillId="3" borderId="0" applyNumberFormat="0" applyBorder="0" applyAlignment="0" applyProtection="0">
      <alignment vertical="center"/>
    </xf>
    <xf numFmtId="164" fontId="85" fillId="65" borderId="27" applyNumberFormat="0" applyFont="0" applyAlignment="0" applyProtection="0">
      <alignment vertical="center"/>
    </xf>
    <xf numFmtId="220" fontId="88" fillId="0" borderId="0" applyFont="0" applyFill="0" applyBorder="0" applyAlignment="0" applyProtection="0"/>
    <xf numFmtId="164" fontId="123" fillId="47" borderId="0" applyNumberFormat="0" applyBorder="0" applyAlignment="0" applyProtection="0">
      <alignment vertical="center"/>
    </xf>
    <xf numFmtId="164" fontId="173" fillId="38" borderId="0" applyNumberFormat="0" applyBorder="0" applyAlignment="0" applyProtection="0">
      <alignment vertical="center"/>
    </xf>
    <xf numFmtId="164" fontId="158" fillId="3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164" fillId="0" borderId="26" applyNumberFormat="0" applyFill="0" applyAlignment="0" applyProtection="0">
      <alignment vertical="center"/>
    </xf>
    <xf numFmtId="217" fontId="51" fillId="0" borderId="0" applyFill="0" applyBorder="0" applyAlignment="0"/>
    <xf numFmtId="164" fontId="96" fillId="0" borderId="21"/>
    <xf numFmtId="164" fontId="189" fillId="0" borderId="0" applyNumberFormat="0" applyFill="0" applyBorder="0" applyAlignment="0" applyProtection="0">
      <alignment vertical="center"/>
    </xf>
    <xf numFmtId="164" fontId="157" fillId="50" borderId="0" applyNumberFormat="0" applyBorder="0" applyAlignment="0" applyProtection="0">
      <alignment vertical="center"/>
    </xf>
    <xf numFmtId="164" fontId="171" fillId="0" borderId="28" applyNumberFormat="0" applyFill="0" applyAlignment="0" applyProtection="0">
      <alignment vertical="center"/>
    </xf>
    <xf numFmtId="217" fontId="88" fillId="0" borderId="0" applyFill="0" applyBorder="0" applyAlignment="0"/>
    <xf numFmtId="213" fontId="88" fillId="0" borderId="0" applyFill="0" applyBorder="0" applyAlignment="0"/>
    <xf numFmtId="221" fontId="51" fillId="0" borderId="0" applyFill="0" applyBorder="0" applyAlignment="0"/>
    <xf numFmtId="164" fontId="30" fillId="0" borderId="23"/>
    <xf numFmtId="164" fontId="156" fillId="35" borderId="0" applyNumberFormat="0" applyBorder="0" applyAlignment="0" applyProtection="0">
      <alignment vertical="center"/>
    </xf>
    <xf numFmtId="164" fontId="159" fillId="53" borderId="11" applyNumberFormat="0" applyAlignment="0" applyProtection="0">
      <alignment vertical="center"/>
    </xf>
    <xf numFmtId="164" fontId="124" fillId="61" borderId="0" applyNumberFormat="0" applyBorder="0" applyAlignment="0" applyProtection="0">
      <alignment vertical="center"/>
    </xf>
    <xf numFmtId="164" fontId="189" fillId="0" borderId="0" applyNumberFormat="0" applyFill="0" applyBorder="0" applyAlignment="0" applyProtection="0">
      <alignment vertical="center"/>
    </xf>
    <xf numFmtId="164" fontId="123" fillId="52" borderId="0" applyNumberFormat="0" applyBorder="0" applyAlignment="0" applyProtection="0">
      <alignment vertical="center"/>
    </xf>
    <xf numFmtId="218" fontId="88" fillId="0" borderId="0" applyFill="0" applyBorder="0" applyAlignment="0"/>
    <xf numFmtId="164" fontId="179" fillId="0" borderId="18"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ill="0" applyBorder="0" applyAlignment="0"/>
    <xf numFmtId="216" fontId="51" fillId="0" borderId="0" applyFill="0" applyBorder="0" applyAlignment="0"/>
    <xf numFmtId="164" fontId="173" fillId="42" borderId="0" applyNumberFormat="0" applyBorder="0" applyAlignment="0" applyProtection="0">
      <alignment vertical="center"/>
    </xf>
    <xf numFmtId="164" fontId="186" fillId="53" borderId="20" applyNumberFormat="0" applyAlignment="0" applyProtection="0">
      <alignment vertical="center"/>
    </xf>
    <xf numFmtId="217" fontId="88" fillId="0" borderId="0" applyFill="0" applyBorder="0" applyAlignment="0"/>
    <xf numFmtId="216" fontId="88" fillId="0" borderId="0" applyFont="0" applyFill="0" applyBorder="0" applyAlignment="0" applyProtection="0"/>
    <xf numFmtId="213" fontId="51" fillId="0" borderId="0" applyFill="0" applyBorder="0" applyAlignment="0"/>
    <xf numFmtId="164" fontId="169" fillId="53" borderId="20" applyNumberFormat="0" applyAlignment="0" applyProtection="0">
      <alignment vertical="center"/>
    </xf>
    <xf numFmtId="164" fontId="173" fillId="37" borderId="0" applyNumberFormat="0" applyBorder="0" applyAlignment="0" applyProtection="0">
      <alignment vertical="center"/>
    </xf>
    <xf numFmtId="164" fontId="173" fillId="37" borderId="0" applyNumberFormat="0" applyBorder="0" applyAlignment="0" applyProtection="0">
      <alignment vertical="center"/>
    </xf>
    <xf numFmtId="164" fontId="174" fillId="49" borderId="0" applyNumberFormat="0" applyBorder="0" applyAlignment="0" applyProtection="0">
      <alignment vertical="center"/>
    </xf>
    <xf numFmtId="164" fontId="170"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97" fillId="0" borderId="23"/>
    <xf numFmtId="164" fontId="156" fillId="37" borderId="0" applyNumberFormat="0" applyBorder="0" applyAlignment="0" applyProtection="0">
      <alignment vertical="center"/>
    </xf>
    <xf numFmtId="164" fontId="171" fillId="0" borderId="28" applyNumberFormat="0" applyFill="0" applyAlignment="0" applyProtection="0">
      <alignment vertical="center"/>
    </xf>
    <xf numFmtId="217" fontId="88" fillId="0" borderId="0" applyFill="0" applyBorder="0" applyAlignment="0"/>
    <xf numFmtId="164" fontId="174" fillId="47" borderId="0" applyNumberFormat="0" applyBorder="0" applyAlignment="0" applyProtection="0">
      <alignment vertical="center"/>
    </xf>
    <xf numFmtId="164" fontId="164" fillId="0" borderId="26" applyNumberFormat="0" applyFill="0" applyAlignment="0" applyProtection="0">
      <alignment vertical="center"/>
    </xf>
    <xf numFmtId="217" fontId="88" fillId="0" borderId="0" applyFill="0" applyBorder="0" applyAlignment="0"/>
    <xf numFmtId="214" fontId="88" fillId="0" borderId="0" applyFill="0" applyBorder="0" applyAlignment="0"/>
    <xf numFmtId="164" fontId="177" fillId="3" borderId="0" applyNumberFormat="0" applyBorder="0" applyAlignment="0" applyProtection="0">
      <alignment vertical="center"/>
    </xf>
    <xf numFmtId="164" fontId="174" fillId="42" borderId="0" applyNumberFormat="0" applyBorder="0" applyAlignment="0" applyProtection="0">
      <alignment vertical="center"/>
    </xf>
    <xf numFmtId="212" fontId="51" fillId="0" borderId="0" applyFill="0" applyBorder="0" applyAlignment="0"/>
    <xf numFmtId="164" fontId="174" fillId="50" borderId="0" applyNumberFormat="0" applyBorder="0" applyAlignment="0" applyProtection="0">
      <alignment vertical="center"/>
    </xf>
    <xf numFmtId="220" fontId="51" fillId="0" borderId="0" applyFont="0" applyFill="0" applyBorder="0" applyAlignment="0" applyProtection="0"/>
    <xf numFmtId="164" fontId="174" fillId="41" borderId="0" applyNumberFormat="0" applyBorder="0" applyAlignment="0" applyProtection="0">
      <alignment vertical="center"/>
    </xf>
    <xf numFmtId="217" fontId="88" fillId="0" borderId="0" applyFill="0" applyBorder="0" applyAlignment="0"/>
    <xf numFmtId="216" fontId="51" fillId="0" borderId="0" applyFill="0" applyBorder="0" applyAlignment="0"/>
    <xf numFmtId="164" fontId="165" fillId="0" borderId="15" applyNumberFormat="0" applyFill="0" applyAlignment="0" applyProtection="0">
      <alignment vertical="center"/>
    </xf>
    <xf numFmtId="164" fontId="163" fillId="0" borderId="25" applyNumberFormat="0" applyFill="0" applyAlignment="0" applyProtection="0">
      <alignment vertical="center"/>
    </xf>
    <xf numFmtId="164" fontId="123" fillId="47" borderId="0" applyNumberFormat="0" applyBorder="0" applyAlignment="0" applyProtection="0">
      <alignment vertical="center"/>
    </xf>
    <xf numFmtId="164" fontId="170" fillId="0" borderId="0" applyNumberFormat="0" applyFill="0" applyBorder="0" applyAlignment="0" applyProtection="0">
      <alignment vertical="center"/>
    </xf>
    <xf numFmtId="217" fontId="88" fillId="0" borderId="0" applyFill="0" applyBorder="0" applyAlignment="0"/>
    <xf numFmtId="164" fontId="157" fillId="51" borderId="0" applyNumberFormat="0" applyBorder="0" applyAlignment="0" applyProtection="0">
      <alignment vertical="center"/>
    </xf>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164" fontId="122" fillId="40" borderId="0" applyNumberFormat="0" applyBorder="0" applyAlignment="0" applyProtection="0">
      <alignment vertical="center"/>
    </xf>
    <xf numFmtId="164" fontId="137" fillId="36" borderId="0" applyNumberFormat="0" applyBorder="0" applyAlignment="0" applyProtection="0">
      <alignment vertical="center"/>
    </xf>
    <xf numFmtId="164" fontId="157" fillId="50" borderId="0" applyNumberFormat="0" applyBorder="0" applyAlignment="0" applyProtection="0">
      <alignment vertical="center"/>
    </xf>
    <xf numFmtId="164" fontId="157" fillId="45" borderId="0" applyNumberFormat="0" applyBorder="0" applyAlignment="0" applyProtection="0">
      <alignment vertical="center"/>
    </xf>
    <xf numFmtId="164" fontId="30" fillId="0" borderId="23"/>
    <xf numFmtId="164" fontId="122" fillId="40" borderId="0" applyNumberFormat="0" applyBorder="0" applyAlignment="0" applyProtection="0">
      <alignment vertical="center"/>
    </xf>
    <xf numFmtId="164" fontId="173" fillId="40" borderId="0" applyNumberFormat="0" applyBorder="0" applyAlignment="0" applyProtection="0">
      <alignment vertical="center"/>
    </xf>
    <xf numFmtId="200" fontId="51" fillId="57" borderId="0"/>
    <xf numFmtId="213" fontId="88" fillId="0" borderId="0" applyFill="0" applyBorder="0" applyAlignment="0"/>
    <xf numFmtId="213" fontId="51" fillId="0" borderId="0" applyFill="0" applyBorder="0" applyAlignment="0"/>
    <xf numFmtId="164" fontId="156" fillId="39" borderId="0" applyNumberFormat="0" applyBorder="0" applyAlignment="0" applyProtection="0">
      <alignment vertical="center"/>
    </xf>
    <xf numFmtId="217" fontId="51" fillId="0" borderId="0" applyFill="0" applyBorder="0" applyAlignment="0"/>
    <xf numFmtId="220" fontId="88" fillId="0" borderId="0" applyFont="0" applyFill="0" applyBorder="0" applyAlignment="0" applyProtection="0"/>
    <xf numFmtId="164" fontId="157" fillId="41" borderId="0" applyNumberFormat="0" applyBorder="0" applyAlignment="0" applyProtection="0">
      <alignment vertical="center"/>
    </xf>
    <xf numFmtId="212" fontId="88" fillId="0" borderId="0" applyFill="0" applyBorder="0" applyAlignment="0"/>
    <xf numFmtId="164" fontId="157" fillId="51" borderId="0" applyNumberFormat="0" applyBorder="0" applyAlignment="0" applyProtection="0">
      <alignment vertical="center"/>
    </xf>
    <xf numFmtId="222" fontId="88" fillId="0" borderId="0" applyFill="0" applyBorder="0" applyAlignment="0"/>
    <xf numFmtId="214" fontId="51" fillId="0" borderId="0" applyFill="0" applyBorder="0" applyAlignment="0"/>
    <xf numFmtId="164" fontId="165" fillId="0" borderId="0" applyNumberFormat="0" applyFill="0" applyBorder="0" applyAlignment="0" applyProtection="0">
      <alignment vertical="center"/>
    </xf>
    <xf numFmtId="164" fontId="183" fillId="0" borderId="26" applyNumberFormat="0" applyFill="0" applyAlignment="0" applyProtection="0">
      <alignment vertical="center"/>
    </xf>
    <xf numFmtId="164" fontId="173" fillId="40" borderId="0" applyNumberFormat="0" applyBorder="0" applyAlignment="0" applyProtection="0">
      <alignment vertical="center"/>
    </xf>
    <xf numFmtId="200" fontId="51" fillId="58" borderId="0"/>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4" fontId="91" fillId="0" borderId="0">
      <alignment horizontal="center" wrapText="1"/>
      <protection locked="0"/>
    </xf>
    <xf numFmtId="164" fontId="96" fillId="0" borderId="21"/>
    <xf numFmtId="164" fontId="170" fillId="0" borderId="0" applyNumberFormat="0" applyFill="0" applyBorder="0" applyAlignment="0" applyProtection="0">
      <alignment vertical="center"/>
    </xf>
    <xf numFmtId="164" fontId="30" fillId="0" borderId="23"/>
    <xf numFmtId="217" fontId="88" fillId="0" borderId="0" applyFill="0" applyBorder="0" applyAlignment="0"/>
    <xf numFmtId="164" fontId="123" fillId="42" borderId="0" applyNumberFormat="0" applyBorder="0" applyAlignment="0" applyProtection="0">
      <alignment vertical="center"/>
    </xf>
    <xf numFmtId="164" fontId="30" fillId="0" borderId="23"/>
    <xf numFmtId="164" fontId="126" fillId="3" borderId="0" applyNumberFormat="0" applyBorder="0" applyAlignment="0" applyProtection="0">
      <alignment vertical="center"/>
    </xf>
    <xf numFmtId="213" fontId="51" fillId="0" borderId="0" applyFill="0" applyBorder="0" applyAlignment="0"/>
    <xf numFmtId="213" fontId="51" fillId="0" borderId="0" applyFill="0" applyBorder="0" applyAlignment="0"/>
    <xf numFmtId="164" fontId="184" fillId="0" borderId="15" applyNumberFormat="0" applyFill="0" applyAlignment="0" applyProtection="0">
      <alignment vertical="center"/>
    </xf>
    <xf numFmtId="214" fontId="88" fillId="0" borderId="0" applyFill="0" applyBorder="0" applyAlignment="0"/>
    <xf numFmtId="215" fontId="51" fillId="0" borderId="0" applyFill="0" applyBorder="0" applyAlignment="0"/>
    <xf numFmtId="213" fontId="51" fillId="0" borderId="0" applyFill="0" applyBorder="0" applyAlignment="0"/>
    <xf numFmtId="164" fontId="169" fillId="53" borderId="20" applyNumberFormat="0" applyAlignment="0" applyProtection="0">
      <alignment vertical="center"/>
    </xf>
    <xf numFmtId="221" fontId="51" fillId="0" borderId="0" applyFill="0" applyBorder="0" applyAlignment="0"/>
    <xf numFmtId="164" fontId="184" fillId="0" borderId="15" applyNumberFormat="0" applyFill="0" applyAlignment="0" applyProtection="0">
      <alignment vertical="center"/>
    </xf>
    <xf numFmtId="164" fontId="168" fillId="61" borderId="0" applyNumberFormat="0" applyBorder="0" applyAlignment="0" applyProtection="0">
      <alignment vertical="center"/>
    </xf>
    <xf numFmtId="218" fontId="51" fillId="0" borderId="0" applyFill="0" applyBorder="0" applyAlignment="0"/>
    <xf numFmtId="217" fontId="88" fillId="0" borderId="0" applyFill="0" applyBorder="0" applyAlignment="0"/>
    <xf numFmtId="164" fontId="173" fillId="42" borderId="0" applyNumberFormat="0" applyBorder="0" applyAlignment="0" applyProtection="0">
      <alignment vertical="center"/>
    </xf>
    <xf numFmtId="164" fontId="173" fillId="3" borderId="0" applyNumberFormat="0" applyBorder="0" applyAlignment="0" applyProtection="0">
      <alignment vertical="center"/>
    </xf>
    <xf numFmtId="217" fontId="88" fillId="0" borderId="0" applyFill="0" applyBorder="0" applyAlignment="0"/>
    <xf numFmtId="164" fontId="123" fillId="52" borderId="0" applyNumberFormat="0" applyBorder="0" applyAlignment="0" applyProtection="0">
      <alignment vertical="center"/>
    </xf>
    <xf numFmtId="164" fontId="125" fillId="0" borderId="28" applyNumberFormat="0" applyFill="0" applyAlignment="0" applyProtection="0">
      <alignment vertical="center"/>
    </xf>
    <xf numFmtId="164" fontId="123" fillId="50" borderId="0" applyNumberFormat="0" applyBorder="0" applyAlignment="0" applyProtection="0">
      <alignment vertical="center"/>
    </xf>
    <xf numFmtId="164" fontId="156" fillId="40" borderId="0" applyNumberFormat="0" applyBorder="0" applyAlignment="0" applyProtection="0">
      <alignment vertical="center"/>
    </xf>
    <xf numFmtId="164" fontId="170" fillId="0" borderId="0" applyNumberFormat="0" applyFill="0" applyBorder="0" applyAlignment="0" applyProtection="0">
      <alignment vertical="center"/>
    </xf>
    <xf numFmtId="200" fontId="51" fillId="58" borderId="0"/>
    <xf numFmtId="14" fontId="91" fillId="0" borderId="0">
      <alignment horizontal="center" wrapText="1"/>
      <protection locked="0"/>
    </xf>
    <xf numFmtId="164" fontId="156" fillId="40" borderId="0" applyNumberFormat="0" applyBorder="0" applyAlignment="0" applyProtection="0">
      <alignment vertical="center"/>
    </xf>
    <xf numFmtId="213" fontId="88" fillId="0" borderId="0" applyFont="0" applyFill="0" applyBorder="0" applyAlignment="0" applyProtection="0"/>
    <xf numFmtId="164" fontId="167" fillId="0" borderId="18" applyNumberFormat="0" applyFill="0" applyAlignment="0" applyProtection="0">
      <alignment vertical="center"/>
    </xf>
    <xf numFmtId="164" fontId="135" fillId="53" borderId="20" applyNumberFormat="0" applyAlignment="0" applyProtection="0">
      <alignment vertical="center"/>
    </xf>
    <xf numFmtId="217" fontId="88" fillId="0" borderId="0" applyFill="0" applyBorder="0" applyAlignment="0"/>
    <xf numFmtId="213" fontId="51" fillId="0" borderId="0" applyFill="0" applyBorder="0" applyAlignment="0"/>
    <xf numFmtId="213" fontId="88" fillId="0" borderId="0" applyFill="0" applyBorder="0" applyAlignment="0"/>
    <xf numFmtId="164" fontId="156" fillId="37" borderId="0" applyNumberFormat="0" applyBorder="0" applyAlignment="0" applyProtection="0">
      <alignment vertical="center"/>
    </xf>
    <xf numFmtId="212" fontId="51" fillId="0" borderId="0" applyFill="0" applyBorder="0" applyAlignment="0"/>
    <xf numFmtId="164" fontId="126" fillId="3" borderId="0" applyNumberFormat="0" applyBorder="0" applyAlignment="0" applyProtection="0">
      <alignment vertical="center"/>
    </xf>
    <xf numFmtId="164" fontId="164" fillId="0" borderId="26" applyNumberFormat="0" applyFill="0" applyAlignment="0" applyProtection="0">
      <alignment vertical="center"/>
    </xf>
    <xf numFmtId="217" fontId="51" fillId="0" borderId="0" applyFill="0" applyBorder="0" applyAlignment="0"/>
    <xf numFmtId="217" fontId="88" fillId="0" borderId="0" applyFill="0" applyBorder="0" applyAlignment="0"/>
    <xf numFmtId="216" fontId="88" fillId="0" borderId="0" applyFill="0" applyBorder="0" applyAlignment="0"/>
    <xf numFmtId="164" fontId="157"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ill="0" applyBorder="0" applyAlignment="0"/>
    <xf numFmtId="213" fontId="88" fillId="0" borderId="0" applyFill="0" applyBorder="0" applyAlignment="0"/>
    <xf numFmtId="217" fontId="51" fillId="0" borderId="0" applyFill="0" applyBorder="0" applyAlignment="0"/>
    <xf numFmtId="164" fontId="173" fillId="41" borderId="0" applyNumberFormat="0" applyBorder="0" applyAlignment="0" applyProtection="0">
      <alignment vertical="center"/>
    </xf>
    <xf numFmtId="214" fontId="88" fillId="0" borderId="0" applyFill="0" applyBorder="0" applyAlignment="0"/>
    <xf numFmtId="164" fontId="125" fillId="0" borderId="28" applyNumberFormat="0" applyFill="0" applyAlignment="0" applyProtection="0">
      <alignment vertical="center"/>
    </xf>
    <xf numFmtId="164" fontId="157" fillId="47" borderId="0" applyNumberFormat="0" applyBorder="0" applyAlignment="0" applyProtection="0">
      <alignment vertical="center"/>
    </xf>
    <xf numFmtId="164" fontId="186" fillId="53" borderId="20" applyNumberFormat="0" applyAlignment="0" applyProtection="0">
      <alignment vertical="center"/>
    </xf>
    <xf numFmtId="213" fontId="88" fillId="0" borderId="0" applyFill="0" applyBorder="0" applyAlignment="0"/>
    <xf numFmtId="164" fontId="173" fillId="38" borderId="0" applyNumberFormat="0" applyBorder="0" applyAlignment="0" applyProtection="0">
      <alignment vertical="center"/>
    </xf>
    <xf numFmtId="218" fontId="88" fillId="0" borderId="0" applyFill="0" applyBorder="0" applyAlignment="0"/>
    <xf numFmtId="213" fontId="88" fillId="0" borderId="0" applyFill="0" applyBorder="0" applyAlignment="0"/>
    <xf numFmtId="164" fontId="122" fillId="42" borderId="0" applyNumberFormat="0" applyBorder="0" applyAlignment="0" applyProtection="0">
      <alignment vertical="center"/>
    </xf>
    <xf numFmtId="164" fontId="163" fillId="0" borderId="25" applyNumberFormat="0" applyFill="0" applyAlignment="0" applyProtection="0">
      <alignment vertical="center"/>
    </xf>
    <xf numFmtId="164" fontId="122" fillId="40" borderId="0" applyNumberFormat="0" applyBorder="0" applyAlignment="0" applyProtection="0">
      <alignment vertical="center"/>
    </xf>
    <xf numFmtId="213" fontId="88" fillId="0" borderId="0" applyFill="0" applyBorder="0" applyAlignment="0"/>
    <xf numFmtId="164" fontId="165" fillId="0" borderId="15" applyNumberFormat="0" applyFill="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27" fillId="53" borderId="11" applyNumberFormat="0" applyAlignment="0" applyProtection="0">
      <alignment vertical="center"/>
    </xf>
    <xf numFmtId="164" fontId="170" fillId="0" borderId="0" applyNumberFormat="0" applyFill="0" applyBorder="0" applyAlignment="0" applyProtection="0">
      <alignment vertical="center"/>
    </xf>
    <xf numFmtId="217" fontId="88" fillId="0" borderId="0" applyFill="0" applyBorder="0" applyAlignment="0"/>
    <xf numFmtId="164" fontId="156" fillId="39" borderId="0" applyNumberFormat="0" applyBorder="0" applyAlignment="0" applyProtection="0">
      <alignment vertical="center"/>
    </xf>
    <xf numFmtId="164" fontId="85" fillId="65" borderId="27" applyNumberFormat="0" applyFont="0" applyAlignment="0" applyProtection="0">
      <alignment vertical="center"/>
    </xf>
    <xf numFmtId="164" fontId="173" fillId="36" borderId="0" applyNumberFormat="0" applyBorder="0" applyAlignment="0" applyProtection="0">
      <alignment vertical="center"/>
    </xf>
    <xf numFmtId="164" fontId="123" fillId="47" borderId="0" applyNumberFormat="0" applyBorder="0" applyAlignment="0" applyProtection="0">
      <alignment vertical="center"/>
    </xf>
    <xf numFmtId="215" fontId="51" fillId="0" borderId="0" applyFill="0" applyBorder="0" applyAlignment="0"/>
    <xf numFmtId="214" fontId="51" fillId="0" borderId="0" applyFill="0" applyBorder="0" applyAlignment="0"/>
    <xf numFmtId="164" fontId="156" fillId="43" borderId="0" applyNumberFormat="0" applyBorder="0" applyAlignment="0" applyProtection="0">
      <alignment vertical="center"/>
    </xf>
    <xf numFmtId="217" fontId="88" fillId="0" borderId="0" applyFill="0" applyBorder="0" applyAlignment="0"/>
    <xf numFmtId="217" fontId="51" fillId="0" borderId="0" applyFill="0" applyBorder="0" applyAlignment="0"/>
    <xf numFmtId="164" fontId="122" fillId="42" borderId="0" applyNumberFormat="0" applyBorder="0" applyAlignment="0" applyProtection="0">
      <alignment vertical="center"/>
    </xf>
    <xf numFmtId="164" fontId="123" fillId="51" borderId="0" applyNumberFormat="0" applyBorder="0" applyAlignment="0" applyProtection="0">
      <alignment vertical="center"/>
    </xf>
    <xf numFmtId="213" fontId="51" fillId="0" borderId="0" applyFill="0" applyBorder="0" applyAlignment="0"/>
    <xf numFmtId="164" fontId="156" fillId="35" borderId="0" applyNumberFormat="0" applyBorder="0" applyAlignment="0" applyProtection="0">
      <alignment vertical="center"/>
    </xf>
    <xf numFmtId="217" fontId="51" fillId="0" borderId="0" applyFill="0" applyBorder="0" applyAlignment="0"/>
    <xf numFmtId="164" fontId="164" fillId="0" borderId="26" applyNumberFormat="0" applyFill="0" applyAlignment="0" applyProtection="0">
      <alignment vertical="center"/>
    </xf>
    <xf numFmtId="164" fontId="123" fillId="52" borderId="0" applyNumberFormat="0" applyBorder="0" applyAlignment="0" applyProtection="0">
      <alignment vertical="center"/>
    </xf>
    <xf numFmtId="164" fontId="175" fillId="61" borderId="0" applyNumberFormat="0" applyBorder="0" applyAlignment="0" applyProtection="0">
      <alignment vertical="center"/>
    </xf>
    <xf numFmtId="218" fontId="51" fillId="0" borderId="0" applyFill="0" applyBorder="0" applyAlignment="0"/>
    <xf numFmtId="164" fontId="183" fillId="0" borderId="26" applyNumberFormat="0" applyFill="0" applyAlignment="0" applyProtection="0">
      <alignment vertical="center"/>
    </xf>
    <xf numFmtId="214" fontId="51" fillId="0" borderId="0" applyFill="0" applyBorder="0" applyAlignment="0"/>
    <xf numFmtId="14" fontId="91" fillId="0" borderId="0">
      <alignment horizontal="center" wrapText="1"/>
      <protection locked="0"/>
    </xf>
    <xf numFmtId="164" fontId="162" fillId="3" borderId="0" applyNumberFormat="0" applyBorder="0" applyAlignment="0" applyProtection="0">
      <alignment vertical="center"/>
    </xf>
    <xf numFmtId="217" fontId="88" fillId="0" borderId="0" applyFill="0" applyBorder="0" applyAlignment="0"/>
    <xf numFmtId="217" fontId="51" fillId="0" borderId="0" applyFill="0" applyBorder="0" applyAlignment="0"/>
    <xf numFmtId="164" fontId="165" fillId="0" borderId="15" applyNumberFormat="0" applyFill="0" applyAlignment="0" applyProtection="0">
      <alignment vertical="center"/>
    </xf>
    <xf numFmtId="221" fontId="88" fillId="0" borderId="0" applyFill="0" applyBorder="0" applyAlignment="0"/>
    <xf numFmtId="214" fontId="51" fillId="0" borderId="0" applyFill="0" applyBorder="0" applyAlignment="0"/>
    <xf numFmtId="164" fontId="138" fillId="0" borderId="0" applyNumberFormat="0" applyFill="0" applyBorder="0" applyAlignment="0" applyProtection="0">
      <alignment vertical="center"/>
    </xf>
    <xf numFmtId="164" fontId="173" fillId="41" borderId="0" applyNumberFormat="0" applyBorder="0" applyAlignment="0" applyProtection="0">
      <alignment vertical="center"/>
    </xf>
    <xf numFmtId="164" fontId="173" fillId="36" borderId="0" applyNumberFormat="0" applyBorder="0" applyAlignment="0" applyProtection="0">
      <alignment vertical="center"/>
    </xf>
    <xf numFmtId="164" fontId="137" fillId="36" borderId="0" applyNumberFormat="0" applyBorder="0" applyAlignment="0" applyProtection="0">
      <alignment vertical="center"/>
    </xf>
    <xf numFmtId="164" fontId="123" fillId="46" borderId="0" applyNumberFormat="0" applyBorder="0" applyAlignment="0" applyProtection="0">
      <alignment vertical="center"/>
    </xf>
    <xf numFmtId="164" fontId="124" fillId="61" borderId="0" applyNumberFormat="0" applyBorder="0" applyAlignment="0" applyProtection="0">
      <alignment vertical="center"/>
    </xf>
    <xf numFmtId="164" fontId="136" fillId="54" borderId="12" applyNumberFormat="0" applyAlignment="0" applyProtection="0">
      <alignment vertical="center"/>
    </xf>
    <xf numFmtId="164" fontId="156" fillId="43" borderId="0" applyNumberFormat="0" applyBorder="0" applyAlignment="0" applyProtection="0">
      <alignment vertical="center"/>
    </xf>
    <xf numFmtId="222" fontId="88" fillId="0" borderId="0" applyFill="0" applyBorder="0" applyAlignment="0"/>
    <xf numFmtId="164" fontId="189" fillId="0" borderId="0" applyNumberFormat="0" applyFill="0" applyBorder="0" applyAlignment="0" applyProtection="0">
      <alignment vertical="center"/>
    </xf>
    <xf numFmtId="220" fontId="88" fillId="0" borderId="0" applyFont="0" applyFill="0" applyBorder="0" applyAlignment="0" applyProtection="0"/>
    <xf numFmtId="164" fontId="156" fillId="40" borderId="0" applyNumberFormat="0" applyBorder="0" applyAlignment="0" applyProtection="0">
      <alignment vertical="center"/>
    </xf>
    <xf numFmtId="164" fontId="30" fillId="0" borderId="23"/>
    <xf numFmtId="164" fontId="169" fillId="53" borderId="20" applyNumberFormat="0" applyAlignment="0" applyProtection="0">
      <alignment vertical="center"/>
    </xf>
    <xf numFmtId="164" fontId="173" fillId="41" borderId="0" applyNumberFormat="0" applyBorder="0" applyAlignment="0" applyProtection="0">
      <alignment vertical="center"/>
    </xf>
    <xf numFmtId="164" fontId="170" fillId="0" borderId="0" applyNumberFormat="0" applyFill="0" applyBorder="0" applyAlignment="0" applyProtection="0">
      <alignment vertical="center"/>
    </xf>
    <xf numFmtId="164" fontId="122" fillId="42" borderId="0" applyNumberFormat="0" applyBorder="0" applyAlignment="0" applyProtection="0">
      <alignment vertical="center"/>
    </xf>
    <xf numFmtId="164" fontId="171" fillId="0" borderId="28" applyNumberFormat="0" applyFill="0" applyAlignment="0" applyProtection="0">
      <alignment vertical="center"/>
    </xf>
    <xf numFmtId="164" fontId="174" fillId="51" borderId="0" applyNumberFormat="0" applyBorder="0" applyAlignment="0" applyProtection="0">
      <alignment vertical="center"/>
    </xf>
    <xf numFmtId="217" fontId="88" fillId="0" borderId="0" applyFill="0" applyBorder="0" applyAlignment="0"/>
    <xf numFmtId="164" fontId="156" fillId="39" borderId="0" applyNumberFormat="0" applyBorder="0" applyAlignment="0" applyProtection="0">
      <alignment vertical="center"/>
    </xf>
    <xf numFmtId="164" fontId="123" fillId="50" borderId="0" applyNumberFormat="0" applyBorder="0" applyAlignment="0" applyProtection="0">
      <alignment vertical="center"/>
    </xf>
    <xf numFmtId="164" fontId="157" fillId="45" borderId="0" applyNumberFormat="0" applyBorder="0" applyAlignment="0" applyProtection="0">
      <alignment vertical="center"/>
    </xf>
    <xf numFmtId="164" fontId="30" fillId="0" borderId="23"/>
    <xf numFmtId="164" fontId="170" fillId="0" borderId="0" applyNumberFormat="0" applyFill="0" applyBorder="0" applyAlignment="0" applyProtection="0">
      <alignment vertical="center"/>
    </xf>
    <xf numFmtId="164" fontId="184" fillId="0" borderId="0" applyNumberFormat="0" applyFill="0" applyBorder="0" applyAlignment="0" applyProtection="0">
      <alignment vertical="center"/>
    </xf>
    <xf numFmtId="164" fontId="157" fillId="51" borderId="0" applyNumberFormat="0" applyBorder="0" applyAlignment="0" applyProtection="0">
      <alignment vertical="center"/>
    </xf>
    <xf numFmtId="215" fontId="88" fillId="0" borderId="0" applyFill="0" applyBorder="0" applyAlignment="0"/>
    <xf numFmtId="164" fontId="157" fillId="49" borderId="0" applyNumberFormat="0" applyBorder="0" applyAlignment="0" applyProtection="0">
      <alignment vertical="center"/>
    </xf>
    <xf numFmtId="164" fontId="173" fillId="3" borderId="0" applyNumberFormat="0" applyBorder="0" applyAlignment="0" applyProtection="0">
      <alignment vertical="center"/>
    </xf>
    <xf numFmtId="164" fontId="171" fillId="0" borderId="28" applyNumberFormat="0" applyFill="0" applyAlignment="0" applyProtection="0">
      <alignment vertical="center"/>
    </xf>
    <xf numFmtId="164" fontId="123" fillId="47" borderId="0" applyNumberFormat="0" applyBorder="0" applyAlignment="0" applyProtection="0">
      <alignment vertical="center"/>
    </xf>
    <xf numFmtId="164" fontId="157" fillId="49" borderId="0" applyNumberFormat="0" applyBorder="0" applyAlignment="0" applyProtection="0">
      <alignment vertical="center"/>
    </xf>
    <xf numFmtId="164" fontId="156" fillId="41" borderId="0" applyNumberFormat="0" applyBorder="0" applyAlignment="0" applyProtection="0">
      <alignment vertical="center"/>
    </xf>
    <xf numFmtId="164" fontId="174" fillId="50" borderId="0" applyNumberFormat="0" applyBorder="0" applyAlignment="0" applyProtection="0">
      <alignment vertical="center"/>
    </xf>
    <xf numFmtId="164" fontId="188" fillId="36" borderId="0" applyNumberFormat="0" applyBorder="0" applyAlignment="0" applyProtection="0">
      <alignment vertical="center"/>
    </xf>
    <xf numFmtId="213" fontId="51" fillId="0" borderId="0" applyFill="0" applyBorder="0" applyAlignment="0"/>
    <xf numFmtId="164" fontId="123" fillId="49" borderId="0" applyNumberFormat="0" applyBorder="0" applyAlignment="0" applyProtection="0">
      <alignment vertical="center"/>
    </xf>
    <xf numFmtId="217" fontId="88" fillId="0" borderId="0" applyFill="0" applyBorder="0" applyAlignment="0"/>
    <xf numFmtId="164" fontId="172"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73" fillId="36" borderId="0" applyNumberFormat="0" applyBorder="0" applyAlignment="0" applyProtection="0">
      <alignment vertical="center"/>
    </xf>
    <xf numFmtId="164" fontId="169" fillId="53" borderId="20" applyNumberFormat="0" applyAlignment="0" applyProtection="0">
      <alignment vertical="center"/>
    </xf>
    <xf numFmtId="164" fontId="173" fillId="36" borderId="0" applyNumberFormat="0" applyBorder="0" applyAlignment="0" applyProtection="0">
      <alignment vertical="center"/>
    </xf>
    <xf numFmtId="164" fontId="156" fillId="39" borderId="0" applyNumberFormat="0" applyBorder="0" applyAlignment="0" applyProtection="0">
      <alignment vertical="center"/>
    </xf>
    <xf numFmtId="218" fontId="88" fillId="0" borderId="0" applyFill="0" applyBorder="0" applyAlignment="0"/>
    <xf numFmtId="164" fontId="174" fillId="49" borderId="0" applyNumberFormat="0" applyBorder="0" applyAlignment="0" applyProtection="0">
      <alignment vertical="center"/>
    </xf>
    <xf numFmtId="164" fontId="122" fillId="41" borderId="0" applyNumberFormat="0" applyBorder="0" applyAlignment="0" applyProtection="0">
      <alignment vertical="center"/>
    </xf>
    <xf numFmtId="164" fontId="174" fillId="46" borderId="0" applyNumberFormat="0" applyBorder="0" applyAlignment="0" applyProtection="0">
      <alignment vertical="center"/>
    </xf>
    <xf numFmtId="213" fontId="88" fillId="0" borderId="0" applyFill="0" applyBorder="0" applyAlignment="0"/>
    <xf numFmtId="213" fontId="88" fillId="0" borderId="0" applyFill="0" applyBorder="0" applyAlignment="0"/>
    <xf numFmtId="217" fontId="88" fillId="0" borderId="0" applyFill="0" applyBorder="0" applyAlignment="0"/>
    <xf numFmtId="164" fontId="124" fillId="61" borderId="0" applyNumberFormat="0" applyBorder="0" applyAlignment="0" applyProtection="0">
      <alignment vertical="center"/>
    </xf>
    <xf numFmtId="164" fontId="174" fillId="51" borderId="0" applyNumberFormat="0" applyBorder="0" applyAlignment="0" applyProtection="0">
      <alignment vertical="center"/>
    </xf>
    <xf numFmtId="164" fontId="156" fillId="43" borderId="0" applyNumberFormat="0" applyBorder="0" applyAlignment="0" applyProtection="0">
      <alignment vertical="center"/>
    </xf>
    <xf numFmtId="214" fontId="88" fillId="0" borderId="0" applyFill="0" applyBorder="0" applyAlignment="0"/>
    <xf numFmtId="213" fontId="88" fillId="0" borderId="0" applyFill="0" applyBorder="0" applyAlignment="0"/>
    <xf numFmtId="164" fontId="156" fillId="41" borderId="0" applyNumberFormat="0" applyBorder="0" applyAlignment="0" applyProtection="0">
      <alignment vertical="center"/>
    </xf>
    <xf numFmtId="164" fontId="174" fillId="51" borderId="0" applyNumberFormat="0" applyBorder="0" applyAlignment="0" applyProtection="0">
      <alignment vertical="center"/>
    </xf>
    <xf numFmtId="164" fontId="125" fillId="0" borderId="28" applyNumberFormat="0" applyFill="0" applyAlignment="0" applyProtection="0">
      <alignment vertical="center"/>
    </xf>
    <xf numFmtId="217" fontId="51" fillId="0" borderId="0" applyFill="0" applyBorder="0" applyAlignment="0"/>
    <xf numFmtId="217" fontId="51" fillId="0" borderId="0" applyFill="0" applyBorder="0" applyAlignment="0"/>
    <xf numFmtId="221" fontId="51" fillId="0" borderId="0" applyFill="0" applyBorder="0" applyAlignment="0"/>
    <xf numFmtId="164" fontId="162" fillId="3" borderId="0" applyNumberFormat="0" applyBorder="0" applyAlignment="0" applyProtection="0">
      <alignment vertical="center"/>
    </xf>
    <xf numFmtId="213" fontId="51" fillId="0" borderId="0" applyFill="0" applyBorder="0" applyAlignment="0"/>
    <xf numFmtId="217" fontId="51" fillId="0" borderId="0" applyFill="0" applyBorder="0" applyAlignment="0"/>
    <xf numFmtId="164" fontId="182" fillId="0" borderId="25" applyNumberFormat="0" applyFill="0" applyAlignment="0" applyProtection="0">
      <alignment vertical="center"/>
    </xf>
    <xf numFmtId="213" fontId="51" fillId="0" borderId="0" applyFill="0" applyBorder="0" applyAlignment="0"/>
    <xf numFmtId="164" fontId="123" fillId="46" borderId="0" applyNumberFormat="0" applyBorder="0" applyAlignment="0" applyProtection="0">
      <alignment vertical="center"/>
    </xf>
    <xf numFmtId="213" fontId="88" fillId="0" borderId="0" applyFill="0" applyBorder="0" applyAlignment="0"/>
    <xf numFmtId="164" fontId="122" fillId="40" borderId="0" applyNumberFormat="0" applyBorder="0" applyAlignment="0" applyProtection="0">
      <alignment vertical="center"/>
    </xf>
    <xf numFmtId="213" fontId="88" fillId="0" borderId="0" applyFill="0" applyBorder="0" applyAlignment="0"/>
    <xf numFmtId="164" fontId="174" fillId="44" borderId="0" applyNumberFormat="0" applyBorder="0" applyAlignment="0" applyProtection="0">
      <alignment vertical="center"/>
    </xf>
    <xf numFmtId="164" fontId="173" fillId="40" borderId="0" applyNumberFormat="0" applyBorder="0" applyAlignment="0" applyProtection="0">
      <alignment vertical="center"/>
    </xf>
    <xf numFmtId="164" fontId="173" fillId="35"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74" fillId="46" borderId="0" applyNumberFormat="0" applyBorder="0" applyAlignment="0" applyProtection="0">
      <alignment vertical="center"/>
    </xf>
    <xf numFmtId="164" fontId="122" fillId="35" borderId="0" applyNumberFormat="0" applyBorder="0" applyAlignment="0" applyProtection="0">
      <alignment vertical="center"/>
    </xf>
    <xf numFmtId="164" fontId="124" fillId="61" borderId="0" applyNumberFormat="0" applyBorder="0" applyAlignment="0" applyProtection="0">
      <alignment vertical="center"/>
    </xf>
    <xf numFmtId="221" fontId="88" fillId="0" borderId="0" applyFill="0" applyBorder="0" applyAlignment="0"/>
    <xf numFmtId="164" fontId="168" fillId="61" borderId="0" applyNumberFormat="0" applyBorder="0" applyAlignment="0" applyProtection="0">
      <alignment vertical="center"/>
    </xf>
    <xf numFmtId="216" fontId="88" fillId="0" borderId="0" applyFont="0" applyFill="0" applyBorder="0" applyAlignment="0" applyProtection="0"/>
    <xf numFmtId="164" fontId="163" fillId="0" borderId="25" applyNumberFormat="0" applyFill="0" applyAlignment="0" applyProtection="0">
      <alignment vertical="center"/>
    </xf>
    <xf numFmtId="213" fontId="88" fillId="0" borderId="0" applyFill="0" applyBorder="0" applyAlignment="0"/>
    <xf numFmtId="164" fontId="85" fillId="65" borderId="27" applyNumberFormat="0" applyFont="0" applyAlignment="0" applyProtection="0">
      <alignment vertical="center"/>
    </xf>
    <xf numFmtId="164" fontId="179" fillId="0" borderId="18" applyNumberFormat="0" applyFill="0" applyAlignment="0" applyProtection="0">
      <alignment vertical="center"/>
    </xf>
    <xf numFmtId="216" fontId="88" fillId="0" borderId="0" applyFill="0" applyBorder="0" applyAlignment="0"/>
    <xf numFmtId="213" fontId="88" fillId="0" borderId="0" applyFill="0" applyBorder="0" applyAlignment="0"/>
    <xf numFmtId="218" fontId="51" fillId="0" borderId="0" applyFill="0" applyBorder="0" applyAlignment="0"/>
    <xf numFmtId="222" fontId="88" fillId="0" borderId="0" applyFill="0" applyBorder="0" applyAlignment="0"/>
    <xf numFmtId="164" fontId="170" fillId="0" borderId="0" applyNumberFormat="0" applyFill="0" applyBorder="0" applyAlignment="0" applyProtection="0">
      <alignment vertical="center"/>
    </xf>
    <xf numFmtId="164" fontId="174" fillId="49" borderId="0" applyNumberFormat="0" applyBorder="0" applyAlignment="0" applyProtection="0">
      <alignment vertical="center"/>
    </xf>
    <xf numFmtId="164" fontId="156" fillId="37" borderId="0" applyNumberFormat="0" applyBorder="0" applyAlignment="0" applyProtection="0">
      <alignment vertical="center"/>
    </xf>
    <xf numFmtId="164" fontId="179" fillId="0" borderId="18" applyNumberFormat="0" applyFill="0" applyAlignment="0" applyProtection="0">
      <alignment vertical="center"/>
    </xf>
    <xf numFmtId="213" fontId="88" fillId="0" borderId="0" applyFont="0" applyFill="0" applyBorder="0" applyAlignment="0" applyProtection="0"/>
    <xf numFmtId="214" fontId="88" fillId="0" borderId="0" applyFill="0" applyBorder="0" applyAlignment="0"/>
    <xf numFmtId="164" fontId="123" fillId="47" borderId="0" applyNumberFormat="0" applyBorder="0" applyAlignment="0" applyProtection="0">
      <alignment vertical="center"/>
    </xf>
    <xf numFmtId="164" fontId="157" fillId="4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164" fontId="162" fillId="3" borderId="0" applyNumberFormat="0" applyBorder="0" applyAlignment="0" applyProtection="0">
      <alignment vertical="center"/>
    </xf>
    <xf numFmtId="164" fontId="157" fillId="46" borderId="0" applyNumberFormat="0" applyBorder="0" applyAlignment="0" applyProtection="0">
      <alignment vertical="center"/>
    </xf>
    <xf numFmtId="164" fontId="189" fillId="0" borderId="0" applyNumberFormat="0" applyFill="0" applyBorder="0" applyAlignment="0" applyProtection="0">
      <alignment vertical="center"/>
    </xf>
    <xf numFmtId="164" fontId="174" fillId="46" borderId="0" applyNumberFormat="0" applyBorder="0" applyAlignment="0" applyProtection="0">
      <alignment vertical="center"/>
    </xf>
    <xf numFmtId="164" fontId="31" fillId="0" borderId="0">
      <alignment horizontal="center" wrapText="1"/>
      <protection locked="0"/>
    </xf>
    <xf numFmtId="219" fontId="51" fillId="0" borderId="0"/>
    <xf numFmtId="213" fontId="51" fillId="0" borderId="0" applyFill="0" applyBorder="0" applyAlignment="0"/>
    <xf numFmtId="164" fontId="177" fillId="3" borderId="0" applyNumberFormat="0" applyBorder="0" applyAlignment="0" applyProtection="0">
      <alignment vertical="center"/>
    </xf>
    <xf numFmtId="214" fontId="51" fillId="0" borderId="0" applyFill="0" applyBorder="0" applyAlignment="0"/>
    <xf numFmtId="164" fontId="123" fillId="46" borderId="0" applyNumberFormat="0" applyBorder="0" applyAlignment="0" applyProtection="0">
      <alignment vertical="center"/>
    </xf>
    <xf numFmtId="218" fontId="88" fillId="0" borderId="0" applyFill="0" applyBorder="0" applyAlignment="0"/>
    <xf numFmtId="164" fontId="123" fillId="50" borderId="0" applyNumberFormat="0" applyBorder="0" applyAlignment="0" applyProtection="0">
      <alignment vertical="center"/>
    </xf>
    <xf numFmtId="217" fontId="51" fillId="0" borderId="0" applyFill="0" applyBorder="0" applyAlignment="0"/>
    <xf numFmtId="164" fontId="157" fillId="45" borderId="0" applyNumberFormat="0" applyBorder="0" applyAlignment="0" applyProtection="0">
      <alignment vertical="center"/>
    </xf>
    <xf numFmtId="200" fontId="51" fillId="57" borderId="0"/>
    <xf numFmtId="200" fontId="88" fillId="58" borderId="0"/>
    <xf numFmtId="216" fontId="88" fillId="0" borderId="0" applyFill="0" applyBorder="0" applyAlignment="0"/>
    <xf numFmtId="216" fontId="88" fillId="0" borderId="0" applyFont="0" applyFill="0" applyBorder="0" applyAlignment="0" applyProtection="0"/>
    <xf numFmtId="164" fontId="135" fillId="53" borderId="20" applyNumberFormat="0" applyAlignment="0" applyProtection="0">
      <alignment vertical="center"/>
    </xf>
    <xf numFmtId="164" fontId="189" fillId="0" borderId="0" applyNumberFormat="0" applyFill="0" applyBorder="0" applyAlignment="0" applyProtection="0">
      <alignment vertical="center"/>
    </xf>
    <xf numFmtId="217" fontId="88" fillId="0" borderId="0" applyFill="0" applyBorder="0" applyAlignment="0"/>
    <xf numFmtId="164" fontId="171" fillId="0" borderId="28" applyNumberFormat="0" applyFill="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3" fontId="88" fillId="0" borderId="0" applyFill="0" applyBorder="0" applyAlignment="0"/>
    <xf numFmtId="164" fontId="171" fillId="0" borderId="28" applyNumberFormat="0" applyFill="0" applyAlignment="0" applyProtection="0">
      <alignment vertical="center"/>
    </xf>
    <xf numFmtId="164" fontId="174" fillId="52" borderId="0" applyNumberFormat="0" applyBorder="0" applyAlignment="0" applyProtection="0">
      <alignment vertical="center"/>
    </xf>
    <xf numFmtId="212" fontId="51" fillId="0" borderId="0" applyFill="0" applyBorder="0" applyAlignment="0"/>
    <xf numFmtId="164" fontId="122" fillId="3" borderId="0" applyNumberFormat="0" applyBorder="0" applyAlignment="0" applyProtection="0">
      <alignment vertical="center"/>
    </xf>
    <xf numFmtId="164" fontId="173" fillId="43" borderId="0" applyNumberFormat="0" applyBorder="0" applyAlignment="0" applyProtection="0">
      <alignment vertical="center"/>
    </xf>
    <xf numFmtId="164" fontId="170" fillId="0" borderId="0" applyNumberFormat="0" applyFill="0" applyBorder="0" applyAlignment="0" applyProtection="0">
      <alignment vertical="center"/>
    </xf>
    <xf numFmtId="164" fontId="178" fillId="53" borderId="11" applyNumberFormat="0" applyAlignment="0" applyProtection="0">
      <alignment vertical="center"/>
    </xf>
    <xf numFmtId="164" fontId="163" fillId="0" borderId="25" applyNumberFormat="0" applyFill="0" applyAlignment="0" applyProtection="0">
      <alignment vertical="center"/>
    </xf>
    <xf numFmtId="164" fontId="157" fillId="46" borderId="0" applyNumberFormat="0" applyBorder="0" applyAlignment="0" applyProtection="0">
      <alignment vertical="center"/>
    </xf>
    <xf numFmtId="215" fontId="51" fillId="0" borderId="0" applyFill="0" applyBorder="0" applyAlignment="0"/>
    <xf numFmtId="218" fontId="51" fillId="0" borderId="0" applyFill="0" applyBorder="0" applyAlignment="0"/>
    <xf numFmtId="164" fontId="174" fillId="51" borderId="0" applyNumberFormat="0" applyBorder="0" applyAlignment="0" applyProtection="0">
      <alignment vertical="center"/>
    </xf>
    <xf numFmtId="213" fontId="51" fillId="0" borderId="0" applyFill="0" applyBorder="0" applyAlignment="0"/>
    <xf numFmtId="164" fontId="174" fillId="50" borderId="0" applyNumberFormat="0" applyBorder="0" applyAlignment="0" applyProtection="0">
      <alignment vertical="center"/>
    </xf>
    <xf numFmtId="213" fontId="51" fillId="0" borderId="0" applyFont="0" applyFill="0" applyBorder="0" applyAlignment="0" applyProtection="0"/>
    <xf numFmtId="212" fontId="51" fillId="0" borderId="0" applyFill="0" applyBorder="0" applyAlignment="0"/>
    <xf numFmtId="218" fontId="51" fillId="0" borderId="0" applyFill="0" applyBorder="0" applyAlignment="0"/>
    <xf numFmtId="164" fontId="125" fillId="0" borderId="28" applyNumberFormat="0" applyFill="0" applyAlignment="0" applyProtection="0">
      <alignment vertical="center"/>
    </xf>
    <xf numFmtId="164" fontId="122" fillId="35" borderId="0" applyNumberFormat="0" applyBorder="0" applyAlignment="0" applyProtection="0">
      <alignment vertical="center"/>
    </xf>
    <xf numFmtId="218" fontId="51" fillId="0" borderId="0" applyFill="0" applyBorder="0" applyAlignment="0"/>
    <xf numFmtId="222" fontId="88" fillId="0" borderId="0" applyFill="0" applyBorder="0" applyAlignment="0"/>
    <xf numFmtId="164" fontId="156" fillId="39" borderId="0" applyNumberFormat="0" applyBorder="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37" fillId="36" borderId="0" applyNumberFormat="0" applyBorder="0" applyAlignment="0" applyProtection="0">
      <alignment vertical="center"/>
    </xf>
    <xf numFmtId="164" fontId="123" fillId="51" borderId="0" applyNumberFormat="0" applyBorder="0" applyAlignment="0" applyProtection="0">
      <alignment vertical="center"/>
    </xf>
    <xf numFmtId="164" fontId="122" fillId="36" borderId="0" applyNumberFormat="0" applyBorder="0" applyAlignment="0" applyProtection="0">
      <alignment vertical="center"/>
    </xf>
    <xf numFmtId="221" fontId="88" fillId="0" borderId="0" applyFill="0" applyBorder="0" applyAlignment="0"/>
    <xf numFmtId="219" fontId="88" fillId="0" borderId="0"/>
    <xf numFmtId="14" fontId="91" fillId="0" borderId="0">
      <alignment horizontal="center" wrapText="1"/>
      <protection locked="0"/>
    </xf>
    <xf numFmtId="164" fontId="184" fillId="0" borderId="0" applyNumberFormat="0" applyFill="0" applyBorder="0" applyAlignment="0" applyProtection="0">
      <alignment vertical="center"/>
    </xf>
    <xf numFmtId="218" fontId="88" fillId="0" borderId="0" applyFill="0" applyBorder="0" applyAlignment="0"/>
    <xf numFmtId="164" fontId="157" fillId="45" borderId="0" applyNumberFormat="0" applyBorder="0" applyAlignment="0" applyProtection="0">
      <alignment vertical="center"/>
    </xf>
    <xf numFmtId="164" fontId="174" fillId="46" borderId="0" applyNumberFormat="0" applyBorder="0" applyAlignment="0" applyProtection="0">
      <alignment vertical="center"/>
    </xf>
    <xf numFmtId="164" fontId="188" fillId="36" borderId="0" applyNumberFormat="0" applyBorder="0" applyAlignment="0" applyProtection="0">
      <alignment vertical="center"/>
    </xf>
    <xf numFmtId="164" fontId="173" fillId="43" borderId="0" applyNumberFormat="0" applyBorder="0" applyAlignment="0" applyProtection="0">
      <alignment vertical="center"/>
    </xf>
    <xf numFmtId="218" fontId="51" fillId="0" borderId="0" applyFill="0" applyBorder="0" applyAlignment="0"/>
    <xf numFmtId="200" fontId="88" fillId="57" borderId="0"/>
    <xf numFmtId="14" fontId="91" fillId="0" borderId="0">
      <alignment horizontal="center" wrapText="1"/>
      <protection locked="0"/>
    </xf>
    <xf numFmtId="164" fontId="162" fillId="3" borderId="0" applyNumberFormat="0" applyBorder="0" applyAlignment="0" applyProtection="0">
      <alignment vertical="center"/>
    </xf>
    <xf numFmtId="164" fontId="173" fillId="38" borderId="0" applyNumberFormat="0" applyBorder="0" applyAlignment="0" applyProtection="0">
      <alignment vertical="center"/>
    </xf>
    <xf numFmtId="164" fontId="103" fillId="65" borderId="27" applyNumberFormat="0" applyFont="0" applyAlignment="0" applyProtection="0">
      <alignment vertical="center"/>
    </xf>
    <xf numFmtId="164" fontId="122" fillId="40" borderId="0" applyNumberFormat="0" applyBorder="0" applyAlignment="0" applyProtection="0">
      <alignment vertical="center"/>
    </xf>
    <xf numFmtId="213" fontId="88" fillId="0" borderId="0" applyFill="0" applyBorder="0" applyAlignment="0"/>
    <xf numFmtId="164" fontId="123" fillId="46" borderId="0" applyNumberFormat="0" applyBorder="0" applyAlignment="0" applyProtection="0">
      <alignment vertical="center"/>
    </xf>
    <xf numFmtId="164" fontId="157" fillId="46" borderId="0" applyNumberFormat="0" applyBorder="0" applyAlignment="0" applyProtection="0">
      <alignment vertical="center"/>
    </xf>
    <xf numFmtId="164" fontId="123" fillId="47" borderId="0" applyNumberFormat="0" applyBorder="0" applyAlignment="0" applyProtection="0">
      <alignment vertical="center"/>
    </xf>
    <xf numFmtId="214" fontId="88" fillId="0" borderId="0" applyFill="0" applyBorder="0" applyAlignment="0"/>
    <xf numFmtId="164" fontId="174" fillId="52" borderId="0" applyNumberFormat="0" applyBorder="0" applyAlignment="0" applyProtection="0">
      <alignment vertical="center"/>
    </xf>
    <xf numFmtId="164" fontId="123" fillId="46" borderId="0" applyNumberFormat="0" applyBorder="0" applyAlignment="0" applyProtection="0">
      <alignment vertical="center"/>
    </xf>
    <xf numFmtId="164" fontId="157" fillId="45" borderId="0" applyNumberFormat="0" applyBorder="0" applyAlignment="0" applyProtection="0">
      <alignment vertical="center"/>
    </xf>
    <xf numFmtId="164" fontId="183" fillId="0" borderId="26" applyNumberFormat="0" applyFill="0" applyAlignment="0" applyProtection="0">
      <alignment vertical="center"/>
    </xf>
    <xf numFmtId="217" fontId="51" fillId="0" borderId="0" applyFill="0" applyBorder="0" applyAlignment="0"/>
    <xf numFmtId="218" fontId="51" fillId="0" borderId="0" applyFill="0" applyBorder="0" applyAlignment="0"/>
    <xf numFmtId="164" fontId="173" fillId="37" borderId="0" applyNumberFormat="0" applyBorder="0" applyAlignment="0" applyProtection="0">
      <alignment vertical="center"/>
    </xf>
    <xf numFmtId="218" fontId="88" fillId="0" borderId="0" applyFill="0" applyBorder="0" applyAlignment="0"/>
    <xf numFmtId="164" fontId="189" fillId="0" borderId="0" applyNumberFormat="0" applyFill="0" applyBorder="0" applyAlignment="0" applyProtection="0">
      <alignment vertical="center"/>
    </xf>
    <xf numFmtId="164" fontId="157" fillId="49" borderId="0" applyNumberFormat="0" applyBorder="0" applyAlignment="0" applyProtection="0">
      <alignment vertical="center"/>
    </xf>
    <xf numFmtId="164" fontId="122" fillId="39" borderId="0" applyNumberFormat="0" applyBorder="0" applyAlignment="0" applyProtection="0">
      <alignment vertical="center"/>
    </xf>
    <xf numFmtId="164" fontId="157" fillId="41" borderId="0" applyNumberFormat="0" applyBorder="0" applyAlignment="0" applyProtection="0">
      <alignment vertical="center"/>
    </xf>
    <xf numFmtId="164" fontId="165"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87" fillId="54" borderId="12" applyNumberFormat="0" applyAlignment="0" applyProtection="0">
      <alignment vertical="center"/>
    </xf>
    <xf numFmtId="164" fontId="157" fillId="46" borderId="0" applyNumberFormat="0" applyBorder="0" applyAlignment="0" applyProtection="0">
      <alignment vertical="center"/>
    </xf>
    <xf numFmtId="164" fontId="161" fillId="0" borderId="0" applyNumberFormat="0" applyFill="0" applyBorder="0" applyAlignment="0" applyProtection="0">
      <alignment vertical="center"/>
    </xf>
    <xf numFmtId="217" fontId="51" fillId="0" borderId="0" applyFill="0" applyBorder="0" applyAlignment="0"/>
    <xf numFmtId="164" fontId="174" fillId="46" borderId="0" applyNumberFormat="0" applyBorder="0" applyAlignment="0" applyProtection="0">
      <alignment vertical="center"/>
    </xf>
    <xf numFmtId="164" fontId="156" fillId="41" borderId="0" applyNumberFormat="0" applyBorder="0" applyAlignment="0" applyProtection="0">
      <alignment vertical="center"/>
    </xf>
    <xf numFmtId="213" fontId="88" fillId="0" borderId="0" applyFill="0" applyBorder="0" applyAlignment="0"/>
    <xf numFmtId="164" fontId="137" fillId="36" borderId="0" applyNumberFormat="0" applyBorder="0" applyAlignment="0" applyProtection="0">
      <alignment vertical="center"/>
    </xf>
    <xf numFmtId="164" fontId="157" fillId="49" borderId="0" applyNumberFormat="0" applyBorder="0" applyAlignment="0" applyProtection="0">
      <alignment vertical="center"/>
    </xf>
    <xf numFmtId="164" fontId="123" fillId="45" borderId="0" applyNumberFormat="0" applyBorder="0" applyAlignment="0" applyProtection="0">
      <alignment vertical="center"/>
    </xf>
    <xf numFmtId="216" fontId="88" fillId="0" borderId="0" applyFill="0" applyBorder="0" applyAlignment="0"/>
    <xf numFmtId="164" fontId="174" fillId="41" borderId="0" applyNumberFormat="0" applyBorder="0" applyAlignment="0" applyProtection="0">
      <alignment vertical="center"/>
    </xf>
    <xf numFmtId="164" fontId="186" fillId="53" borderId="20" applyNumberFormat="0" applyAlignment="0" applyProtection="0">
      <alignment vertical="center"/>
    </xf>
    <xf numFmtId="164" fontId="129" fillId="0" borderId="0" applyNumberFormat="0" applyFill="0" applyBorder="0" applyAlignment="0" applyProtection="0">
      <alignment vertical="center"/>
    </xf>
    <xf numFmtId="164" fontId="174" fillId="50" borderId="0" applyNumberFormat="0" applyBorder="0" applyAlignment="0" applyProtection="0">
      <alignment vertical="center"/>
    </xf>
    <xf numFmtId="164" fontId="186" fillId="53" borderId="20" applyNumberFormat="0" applyAlignment="0" applyProtection="0">
      <alignment vertical="center"/>
    </xf>
    <xf numFmtId="164" fontId="177" fillId="3" borderId="0" applyNumberFormat="0" applyBorder="0" applyAlignment="0" applyProtection="0">
      <alignment vertical="center"/>
    </xf>
    <xf numFmtId="217" fontId="51" fillId="0" borderId="0" applyFill="0" applyBorder="0" applyAlignment="0"/>
    <xf numFmtId="215" fontId="51" fillId="0" borderId="0" applyFill="0" applyBorder="0" applyAlignment="0"/>
    <xf numFmtId="164" fontId="63" fillId="0" borderId="21"/>
    <xf numFmtId="213" fontId="51" fillId="0" borderId="0" applyFill="0" applyBorder="0" applyAlignment="0"/>
    <xf numFmtId="218" fontId="51" fillId="0" borderId="0" applyFill="0" applyBorder="0" applyAlignment="0"/>
    <xf numFmtId="200" fontId="51" fillId="57" borderId="0"/>
    <xf numFmtId="164" fontId="169" fillId="53" borderId="20" applyNumberFormat="0" applyAlignment="0" applyProtection="0">
      <alignment vertical="center"/>
    </xf>
    <xf numFmtId="164" fontId="186" fillId="53" borderId="20" applyNumberFormat="0" applyAlignment="0" applyProtection="0">
      <alignment vertical="center"/>
    </xf>
    <xf numFmtId="164" fontId="188" fillId="36" borderId="0" applyNumberFormat="0" applyBorder="0" applyAlignment="0" applyProtection="0">
      <alignment vertical="center"/>
    </xf>
    <xf numFmtId="213" fontId="88" fillId="0" borderId="0" applyFill="0" applyBorder="0" applyAlignment="0"/>
    <xf numFmtId="164" fontId="157" fillId="50" borderId="0" applyNumberFormat="0" applyBorder="0" applyAlignment="0" applyProtection="0">
      <alignment vertical="center"/>
    </xf>
    <xf numFmtId="164" fontId="135" fillId="53" borderId="20" applyNumberFormat="0" applyAlignment="0" applyProtection="0">
      <alignment vertical="center"/>
    </xf>
    <xf numFmtId="164" fontId="123" fillId="52" borderId="0" applyNumberFormat="0" applyBorder="0" applyAlignment="0" applyProtection="0">
      <alignment vertical="center"/>
    </xf>
    <xf numFmtId="215" fontId="51" fillId="0" borderId="0" applyFill="0" applyBorder="0" applyAlignment="0"/>
    <xf numFmtId="164" fontId="179" fillId="0" borderId="18" applyNumberFormat="0" applyFill="0" applyAlignment="0" applyProtection="0">
      <alignment vertical="center"/>
    </xf>
    <xf numFmtId="213" fontId="88" fillId="0" borderId="0" applyFill="0" applyBorder="0" applyAlignment="0"/>
    <xf numFmtId="164" fontId="174" fillId="44" borderId="0" applyNumberFormat="0" applyBorder="0" applyAlignment="0" applyProtection="0">
      <alignment vertical="center"/>
    </xf>
    <xf numFmtId="164" fontId="122" fillId="36" borderId="0" applyNumberFormat="0" applyBorder="0" applyAlignment="0" applyProtection="0">
      <alignment vertical="center"/>
    </xf>
    <xf numFmtId="164" fontId="136" fillId="54" borderId="12" applyNumberFormat="0" applyAlignment="0" applyProtection="0">
      <alignment vertical="center"/>
    </xf>
    <xf numFmtId="164" fontId="123" fillId="50" borderId="0" applyNumberFormat="0" applyBorder="0" applyAlignment="0" applyProtection="0">
      <alignment vertical="center"/>
    </xf>
    <xf numFmtId="164" fontId="157" fillId="42" borderId="0" applyNumberFormat="0" applyBorder="0" applyAlignment="0" applyProtection="0">
      <alignment vertical="center"/>
    </xf>
    <xf numFmtId="164" fontId="122" fillId="3" borderId="0" applyNumberFormat="0" applyBorder="0" applyAlignment="0" applyProtection="0">
      <alignment vertical="center"/>
    </xf>
    <xf numFmtId="164" fontId="172" fillId="0" borderId="0" applyNumberFormat="0" applyFill="0" applyBorder="0" applyAlignment="0" applyProtection="0">
      <alignment vertical="center"/>
    </xf>
    <xf numFmtId="164" fontId="161" fillId="0" borderId="0" applyNumberFormat="0" applyFill="0" applyBorder="0" applyAlignment="0" applyProtection="0">
      <alignment vertical="center"/>
    </xf>
    <xf numFmtId="217" fontId="51" fillId="0" borderId="0" applyFill="0" applyBorder="0" applyAlignment="0"/>
    <xf numFmtId="164" fontId="169" fillId="53" borderId="20" applyNumberFormat="0" applyAlignment="0" applyProtection="0">
      <alignment vertical="center"/>
    </xf>
    <xf numFmtId="217" fontId="51" fillId="0" borderId="0" applyFill="0" applyBorder="0" applyAlignment="0"/>
    <xf numFmtId="200" fontId="51" fillId="57" borderId="0"/>
    <xf numFmtId="213" fontId="51" fillId="0" borderId="0" applyFill="0" applyBorder="0" applyAlignment="0"/>
    <xf numFmtId="213" fontId="51" fillId="0" borderId="0" applyFill="0" applyBorder="0" applyAlignment="0"/>
    <xf numFmtId="164" fontId="122" fillId="35" borderId="0" applyNumberFormat="0" applyBorder="0" applyAlignment="0" applyProtection="0">
      <alignment vertical="center"/>
    </xf>
    <xf numFmtId="219" fontId="88" fillId="0" borderId="0"/>
    <xf numFmtId="217" fontId="88" fillId="0" borderId="0" applyFill="0" applyBorder="0" applyAlignment="0"/>
    <xf numFmtId="164" fontId="123" fillId="51" borderId="0" applyNumberFormat="0" applyBorder="0" applyAlignment="0" applyProtection="0">
      <alignment vertical="center"/>
    </xf>
    <xf numFmtId="164" fontId="183" fillId="0" borderId="26" applyNumberFormat="0" applyFill="0" applyAlignment="0" applyProtection="0">
      <alignment vertical="center"/>
    </xf>
    <xf numFmtId="164" fontId="157" fillId="45" borderId="0" applyNumberFormat="0" applyBorder="0" applyAlignment="0" applyProtection="0">
      <alignment vertical="center"/>
    </xf>
    <xf numFmtId="164" fontId="173" fillId="36" borderId="0" applyNumberFormat="0" applyBorder="0" applyAlignment="0" applyProtection="0">
      <alignment vertical="center"/>
    </xf>
    <xf numFmtId="164" fontId="165" fillId="0" borderId="15" applyNumberFormat="0" applyFill="0" applyAlignment="0" applyProtection="0">
      <alignment vertical="center"/>
    </xf>
    <xf numFmtId="213" fontId="88" fillId="0" borderId="0" applyFill="0" applyBorder="0" applyAlignment="0"/>
    <xf numFmtId="164" fontId="173" fillId="37" borderId="0" applyNumberFormat="0" applyBorder="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212" fontId="88" fillId="0" borderId="0" applyFill="0" applyBorder="0" applyAlignment="0"/>
    <xf numFmtId="164" fontId="123" fillId="45" borderId="0" applyNumberFormat="0" applyBorder="0" applyAlignment="0" applyProtection="0">
      <alignment vertical="center"/>
    </xf>
    <xf numFmtId="164" fontId="161" fillId="0" borderId="0" applyNumberFormat="0" applyFill="0" applyBorder="0" applyAlignment="0" applyProtection="0">
      <alignment vertical="center"/>
    </xf>
    <xf numFmtId="164" fontId="157" fillId="41" borderId="0" applyNumberFormat="0" applyBorder="0" applyAlignment="0" applyProtection="0">
      <alignment vertical="center"/>
    </xf>
    <xf numFmtId="200" fontId="51" fillId="57" borderId="0"/>
    <xf numFmtId="218" fontId="51" fillId="0" borderId="0" applyFill="0" applyBorder="0" applyAlignment="0"/>
    <xf numFmtId="213" fontId="88" fillId="0" borderId="0" applyFill="0" applyBorder="0" applyAlignment="0"/>
    <xf numFmtId="164" fontId="163" fillId="0" borderId="25" applyNumberFormat="0" applyFill="0" applyAlignment="0" applyProtection="0">
      <alignment vertical="center"/>
    </xf>
    <xf numFmtId="213" fontId="51" fillId="0" borderId="0" applyFill="0" applyBorder="0" applyAlignment="0"/>
    <xf numFmtId="164" fontId="173" fillId="37" borderId="0" applyNumberFormat="0" applyBorder="0" applyAlignment="0" applyProtection="0">
      <alignment vertical="center"/>
    </xf>
    <xf numFmtId="164" fontId="183" fillId="0" borderId="26" applyNumberFormat="0" applyFill="0" applyAlignment="0" applyProtection="0">
      <alignment vertical="center"/>
    </xf>
    <xf numFmtId="215" fontId="88" fillId="0" borderId="0" applyFill="0" applyBorder="0" applyAlignment="0"/>
    <xf numFmtId="215" fontId="88" fillId="0" borderId="0" applyFill="0" applyBorder="0" applyAlignment="0"/>
    <xf numFmtId="164" fontId="157" fillId="49" borderId="0" applyNumberFormat="0" applyBorder="0" applyAlignment="0" applyProtection="0">
      <alignment vertical="center"/>
    </xf>
    <xf numFmtId="214" fontId="51" fillId="0" borderId="0" applyFill="0" applyBorder="0" applyAlignment="0"/>
    <xf numFmtId="164" fontId="173" fillId="41" borderId="0" applyNumberFormat="0" applyBorder="0" applyAlignment="0" applyProtection="0">
      <alignment vertical="center"/>
    </xf>
    <xf numFmtId="164" fontId="156" fillId="39" borderId="0" applyNumberFormat="0" applyBorder="0" applyAlignment="0" applyProtection="0">
      <alignment vertical="center"/>
    </xf>
    <xf numFmtId="213" fontId="51" fillId="0" borderId="0" applyFill="0" applyBorder="0" applyAlignment="0"/>
    <xf numFmtId="164" fontId="122" fillId="41" borderId="0" applyNumberFormat="0" applyBorder="0" applyAlignment="0" applyProtection="0">
      <alignment vertical="center"/>
    </xf>
    <xf numFmtId="213" fontId="88" fillId="0" borderId="0" applyFill="0" applyBorder="0" applyAlignment="0"/>
    <xf numFmtId="164" fontId="156" fillId="42" borderId="0" applyNumberFormat="0" applyBorder="0" applyAlignment="0" applyProtection="0">
      <alignment vertical="center"/>
    </xf>
    <xf numFmtId="215" fontId="88" fillId="0" borderId="0" applyFill="0" applyBorder="0" applyAlignment="0"/>
    <xf numFmtId="164" fontId="163" fillId="0" borderId="25" applyNumberFormat="0" applyFill="0" applyAlignment="0" applyProtection="0">
      <alignment vertical="center"/>
    </xf>
    <xf numFmtId="216" fontId="88" fillId="0" borderId="0" applyFill="0" applyBorder="0" applyAlignment="0"/>
    <xf numFmtId="164" fontId="127" fillId="53" borderId="11" applyNumberFormat="0" applyAlignment="0" applyProtection="0">
      <alignment vertical="center"/>
    </xf>
    <xf numFmtId="164" fontId="165" fillId="0" borderId="0" applyNumberFormat="0" applyFill="0" applyBorder="0" applyAlignment="0" applyProtection="0">
      <alignment vertical="center"/>
    </xf>
    <xf numFmtId="164" fontId="173" fillId="42" borderId="0" applyNumberFormat="0" applyBorder="0" applyAlignment="0" applyProtection="0">
      <alignment vertical="center"/>
    </xf>
    <xf numFmtId="164" fontId="157" fillId="46" borderId="0" applyNumberFormat="0" applyBorder="0" applyAlignment="0" applyProtection="0">
      <alignment vertical="center"/>
    </xf>
    <xf numFmtId="217" fontId="88" fillId="0" borderId="0" applyFill="0" applyBorder="0" applyAlignment="0"/>
    <xf numFmtId="164" fontId="164" fillId="0" borderId="26" applyNumberFormat="0" applyFill="0" applyAlignment="0" applyProtection="0">
      <alignment vertical="center"/>
    </xf>
    <xf numFmtId="218" fontId="51" fillId="0" borderId="0" applyFill="0" applyBorder="0" applyAlignment="0"/>
    <xf numFmtId="164" fontId="168" fillId="61" borderId="0" applyNumberFormat="0" applyBorder="0" applyAlignment="0" applyProtection="0">
      <alignment vertical="center"/>
    </xf>
    <xf numFmtId="164" fontId="160" fillId="54" borderId="12" applyNumberFormat="0" applyAlignment="0" applyProtection="0">
      <alignment vertical="center"/>
    </xf>
    <xf numFmtId="213" fontId="51" fillId="0" borderId="0" applyFill="0" applyBorder="0" applyAlignment="0"/>
    <xf numFmtId="215" fontId="51" fillId="0" borderId="0" applyFill="0" applyBorder="0" applyAlignment="0"/>
    <xf numFmtId="213" fontId="51" fillId="0" borderId="0" applyFill="0" applyBorder="0" applyAlignment="0"/>
    <xf numFmtId="217" fontId="51" fillId="0" borderId="0" applyFill="0" applyBorder="0" applyAlignment="0"/>
    <xf numFmtId="164" fontId="157" fillId="46" borderId="0" applyNumberFormat="0" applyBorder="0" applyAlignment="0" applyProtection="0">
      <alignment vertical="center"/>
    </xf>
    <xf numFmtId="164" fontId="137" fillId="36" borderId="0" applyNumberFormat="0" applyBorder="0" applyAlignment="0" applyProtection="0">
      <alignment vertical="center"/>
    </xf>
    <xf numFmtId="164" fontId="177" fillId="3" borderId="0" applyNumberFormat="0" applyBorder="0" applyAlignment="0" applyProtection="0">
      <alignment vertical="center"/>
    </xf>
    <xf numFmtId="217" fontId="88" fillId="0" borderId="0" applyFill="0" applyBorder="0" applyAlignment="0"/>
    <xf numFmtId="164" fontId="31" fillId="0" borderId="0">
      <alignment horizontal="center" wrapText="1"/>
      <protection locked="0"/>
    </xf>
    <xf numFmtId="164" fontId="96" fillId="0" borderId="21"/>
    <xf numFmtId="164" fontId="173" fillId="36" borderId="0" applyNumberFormat="0" applyBorder="0" applyAlignment="0" applyProtection="0">
      <alignment vertical="center"/>
    </xf>
    <xf numFmtId="164" fontId="157" fillId="46" borderId="0" applyNumberFormat="0" applyBorder="0" applyAlignment="0" applyProtection="0">
      <alignment vertical="center"/>
    </xf>
    <xf numFmtId="217" fontId="88" fillId="0" borderId="0" applyFill="0" applyBorder="0" applyAlignment="0"/>
    <xf numFmtId="164" fontId="122" fillId="41" borderId="0" applyNumberFormat="0" applyBorder="0" applyAlignment="0" applyProtection="0">
      <alignment vertical="center"/>
    </xf>
    <xf numFmtId="164" fontId="135" fillId="53" borderId="20" applyNumberFormat="0" applyAlignment="0" applyProtection="0">
      <alignment vertical="center"/>
    </xf>
    <xf numFmtId="164" fontId="123" fillId="49" borderId="0" applyNumberFormat="0" applyBorder="0" applyAlignment="0" applyProtection="0">
      <alignment vertical="center"/>
    </xf>
    <xf numFmtId="164" fontId="122" fillId="37" borderId="0" applyNumberFormat="0" applyBorder="0" applyAlignment="0" applyProtection="0">
      <alignment vertical="center"/>
    </xf>
    <xf numFmtId="164" fontId="122" fillId="37" borderId="0" applyNumberFormat="0" applyBorder="0" applyAlignment="0" applyProtection="0">
      <alignment vertical="center"/>
    </xf>
    <xf numFmtId="164" fontId="157" fillId="42" borderId="0" applyNumberFormat="0" applyBorder="0" applyAlignment="0" applyProtection="0">
      <alignment vertical="center"/>
    </xf>
    <xf numFmtId="164" fontId="97" fillId="0" borderId="23"/>
    <xf numFmtId="213" fontId="51" fillId="0" borderId="0" applyFill="0" applyBorder="0" applyAlignment="0"/>
    <xf numFmtId="164" fontId="156" fillId="65" borderId="27" applyNumberFormat="0" applyFont="0" applyAlignment="0" applyProtection="0">
      <alignment vertical="center"/>
    </xf>
    <xf numFmtId="164" fontId="157" fillId="45" borderId="0" applyNumberFormat="0" applyBorder="0" applyAlignment="0" applyProtection="0">
      <alignment vertical="center"/>
    </xf>
    <xf numFmtId="213" fontId="51" fillId="0" borderId="0" applyFill="0" applyBorder="0" applyAlignment="0"/>
    <xf numFmtId="200" fontId="51" fillId="57" borderId="0"/>
    <xf numFmtId="213" fontId="51" fillId="0" borderId="0" applyFill="0" applyBorder="0" applyAlignment="0"/>
    <xf numFmtId="164" fontId="173" fillId="42" borderId="0" applyNumberFormat="0" applyBorder="0" applyAlignment="0" applyProtection="0">
      <alignment vertical="center"/>
    </xf>
    <xf numFmtId="164" fontId="122" fillId="42" borderId="0" applyNumberFormat="0" applyBorder="0" applyAlignment="0" applyProtection="0">
      <alignment vertical="center"/>
    </xf>
    <xf numFmtId="218" fontId="51" fillId="0" borderId="0" applyFill="0" applyBorder="0" applyAlignment="0"/>
    <xf numFmtId="164" fontId="173" fillId="41" borderId="0" applyNumberFormat="0" applyBorder="0" applyAlignment="0" applyProtection="0">
      <alignment vertical="center"/>
    </xf>
    <xf numFmtId="164" fontId="156" fillId="40" borderId="0" applyNumberFormat="0" applyBorder="0" applyAlignment="0" applyProtection="0">
      <alignment vertical="center"/>
    </xf>
    <xf numFmtId="220" fontId="88" fillId="0" borderId="0" applyFont="0" applyFill="0" applyBorder="0" applyAlignment="0" applyProtection="0"/>
    <xf numFmtId="217" fontId="51" fillId="0" borderId="0" applyFill="0" applyBorder="0" applyAlignment="0"/>
    <xf numFmtId="164" fontId="157" fillId="46" borderId="0" applyNumberFormat="0" applyBorder="0" applyAlignment="0" applyProtection="0">
      <alignment vertical="center"/>
    </xf>
    <xf numFmtId="218" fontId="88" fillId="0" borderId="0" applyFill="0" applyBorder="0" applyAlignment="0"/>
    <xf numFmtId="222" fontId="51" fillId="0" borderId="0" applyFill="0" applyBorder="0" applyAlignment="0"/>
    <xf numFmtId="164" fontId="136" fillId="54" borderId="12" applyNumberFormat="0" applyAlignment="0" applyProtection="0">
      <alignment vertical="center"/>
    </xf>
    <xf numFmtId="164" fontId="123" fillId="42" borderId="0" applyNumberFormat="0" applyBorder="0" applyAlignment="0" applyProtection="0">
      <alignment vertical="center"/>
    </xf>
    <xf numFmtId="218" fontId="51" fillId="0" borderId="0" applyFill="0" applyBorder="0" applyAlignment="0"/>
    <xf numFmtId="164" fontId="157" fillId="44" borderId="0" applyNumberFormat="0" applyBorder="0" applyAlignment="0" applyProtection="0">
      <alignment vertical="center"/>
    </xf>
    <xf numFmtId="164" fontId="174" fillId="44" borderId="0" applyNumberFormat="0" applyBorder="0" applyAlignment="0" applyProtection="0">
      <alignment vertical="center"/>
    </xf>
    <xf numFmtId="164" fontId="156" fillId="42" borderId="0" applyNumberFormat="0" applyBorder="0" applyAlignment="0" applyProtection="0">
      <alignment vertical="center"/>
    </xf>
    <xf numFmtId="213" fontId="51" fillId="0" borderId="0" applyFill="0" applyBorder="0" applyAlignment="0"/>
    <xf numFmtId="164" fontId="156" fillId="43" borderId="0" applyNumberFormat="0" applyBorder="0" applyAlignment="0" applyProtection="0">
      <alignment vertical="center"/>
    </xf>
    <xf numFmtId="164" fontId="123" fillId="51" borderId="0" applyNumberFormat="0" applyBorder="0" applyAlignment="0" applyProtection="0">
      <alignment vertical="center"/>
    </xf>
    <xf numFmtId="164" fontId="161" fillId="0" borderId="0" applyNumberFormat="0" applyFill="0" applyBorder="0" applyAlignment="0" applyProtection="0">
      <alignment vertical="center"/>
    </xf>
    <xf numFmtId="215" fontId="88" fillId="0" borderId="0" applyFill="0" applyBorder="0" applyAlignment="0"/>
    <xf numFmtId="164" fontId="156" fillId="42" borderId="0" applyNumberFormat="0" applyBorder="0" applyAlignment="0" applyProtection="0">
      <alignment vertical="center"/>
    </xf>
    <xf numFmtId="217" fontId="88" fillId="0" borderId="0" applyFill="0" applyBorder="0" applyAlignment="0"/>
    <xf numFmtId="164" fontId="96" fillId="0" borderId="21"/>
    <xf numFmtId="200" fontId="88" fillId="57" borderId="0"/>
    <xf numFmtId="217" fontId="51" fillId="0" borderId="0" applyFill="0" applyBorder="0" applyAlignment="0"/>
    <xf numFmtId="164" fontId="157" fillId="51" borderId="0" applyNumberFormat="0" applyBorder="0" applyAlignment="0" applyProtection="0">
      <alignment vertical="center"/>
    </xf>
    <xf numFmtId="164" fontId="156" fillId="38" borderId="0" applyNumberFormat="0" applyBorder="0" applyAlignment="0" applyProtection="0">
      <alignment vertical="center"/>
    </xf>
    <xf numFmtId="164" fontId="173" fillId="37" borderId="0" applyNumberFormat="0" applyBorder="0" applyAlignment="0" applyProtection="0">
      <alignment vertical="center"/>
    </xf>
    <xf numFmtId="164" fontId="123" fillId="46" borderId="0" applyNumberFormat="0" applyBorder="0" applyAlignment="0" applyProtection="0">
      <alignment vertical="center"/>
    </xf>
    <xf numFmtId="164" fontId="188" fillId="36" borderId="0" applyNumberFormat="0" applyBorder="0" applyAlignment="0" applyProtection="0">
      <alignment vertical="center"/>
    </xf>
    <xf numFmtId="164" fontId="123" fillId="45" borderId="0" applyNumberFormat="0" applyBorder="0" applyAlignment="0" applyProtection="0">
      <alignment vertical="center"/>
    </xf>
    <xf numFmtId="164" fontId="123" fillId="47" borderId="0" applyNumberFormat="0" applyBorder="0" applyAlignment="0" applyProtection="0">
      <alignment vertical="center"/>
    </xf>
    <xf numFmtId="218" fontId="88" fillId="0" borderId="0" applyFill="0" applyBorder="0" applyAlignment="0"/>
    <xf numFmtId="164" fontId="162" fillId="3" borderId="0" applyNumberFormat="0" applyBorder="0" applyAlignment="0" applyProtection="0">
      <alignment vertical="center"/>
    </xf>
    <xf numFmtId="164" fontId="122" fillId="3" borderId="0" applyNumberFormat="0" applyBorder="0" applyAlignment="0" applyProtection="0">
      <alignment vertical="center"/>
    </xf>
    <xf numFmtId="164" fontId="182" fillId="0" borderId="25" applyNumberFormat="0" applyFill="0" applyAlignment="0" applyProtection="0">
      <alignment vertical="center"/>
    </xf>
    <xf numFmtId="164" fontId="138" fillId="0" borderId="0" applyNumberFormat="0" applyFill="0" applyBorder="0" applyAlignment="0" applyProtection="0">
      <alignment vertical="center"/>
    </xf>
    <xf numFmtId="213" fontId="88" fillId="0" borderId="0" applyFont="0" applyFill="0" applyBorder="0" applyAlignment="0" applyProtection="0"/>
    <xf numFmtId="164" fontId="173" fillId="3" borderId="0" applyNumberFormat="0" applyBorder="0" applyAlignment="0" applyProtection="0">
      <alignment vertical="center"/>
    </xf>
    <xf numFmtId="164" fontId="189" fillId="0" borderId="0" applyNumberFormat="0" applyFill="0" applyBorder="0" applyAlignment="0" applyProtection="0">
      <alignment vertical="center"/>
    </xf>
    <xf numFmtId="213" fontId="88" fillId="0" borderId="0" applyFill="0" applyBorder="0" applyAlignment="0"/>
    <xf numFmtId="164" fontId="123" fillId="46" borderId="0" applyNumberFormat="0" applyBorder="0" applyAlignment="0" applyProtection="0">
      <alignment vertical="center"/>
    </xf>
    <xf numFmtId="217" fontId="51" fillId="0" borderId="0" applyFill="0" applyBorder="0" applyAlignment="0"/>
    <xf numFmtId="217" fontId="51" fillId="0" borderId="0" applyFill="0" applyBorder="0" applyAlignment="0"/>
    <xf numFmtId="212" fontId="51" fillId="0" borderId="0" applyFill="0" applyBorder="0" applyAlignment="0"/>
    <xf numFmtId="164" fontId="135" fillId="53" borderId="20" applyNumberFormat="0" applyAlignment="0" applyProtection="0">
      <alignment vertical="center"/>
    </xf>
    <xf numFmtId="164" fontId="184" fillId="0" borderId="15" applyNumberFormat="0" applyFill="0" applyAlignment="0" applyProtection="0">
      <alignment vertical="center"/>
    </xf>
    <xf numFmtId="164" fontId="176" fillId="0" borderId="28" applyNumberFormat="0" applyFill="0" applyAlignment="0" applyProtection="0">
      <alignment vertical="center"/>
    </xf>
    <xf numFmtId="164" fontId="156" fillId="35" borderId="0" applyNumberFormat="0" applyBorder="0" applyAlignment="0" applyProtection="0">
      <alignment vertical="center"/>
    </xf>
    <xf numFmtId="164" fontId="172" fillId="0" borderId="0" applyNumberFormat="0" applyFill="0" applyBorder="0" applyAlignment="0" applyProtection="0">
      <alignment vertical="center"/>
    </xf>
    <xf numFmtId="164" fontId="175" fillId="61"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83" fillId="0" borderId="26" applyNumberFormat="0" applyFill="0" applyAlignment="0" applyProtection="0">
      <alignment vertical="center"/>
    </xf>
    <xf numFmtId="164" fontId="122" fillId="42" borderId="0" applyNumberFormat="0" applyBorder="0" applyAlignment="0" applyProtection="0">
      <alignment vertical="center"/>
    </xf>
    <xf numFmtId="164" fontId="179" fillId="0" borderId="18" applyNumberFormat="0" applyFill="0" applyAlignment="0" applyProtection="0">
      <alignment vertical="center"/>
    </xf>
    <xf numFmtId="216" fontId="88" fillId="0" borderId="0" applyFont="0" applyFill="0" applyBorder="0" applyAlignment="0" applyProtection="0"/>
    <xf numFmtId="217" fontId="51"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57" fillId="42" borderId="0" applyNumberFormat="0" applyBorder="0" applyAlignment="0" applyProtection="0">
      <alignment vertical="center"/>
    </xf>
    <xf numFmtId="164" fontId="122" fillId="38" borderId="0" applyNumberFormat="0" applyBorder="0" applyAlignment="0" applyProtection="0">
      <alignment vertical="center"/>
    </xf>
    <xf numFmtId="164" fontId="157" fillId="45" borderId="0" applyNumberFormat="0" applyBorder="0" applyAlignment="0" applyProtection="0">
      <alignment vertical="center"/>
    </xf>
    <xf numFmtId="215" fontId="51" fillId="0" borderId="0" applyFill="0" applyBorder="0" applyAlignment="0"/>
    <xf numFmtId="217" fontId="51" fillId="0" borderId="0" applyFill="0" applyBorder="0" applyAlignment="0"/>
    <xf numFmtId="164" fontId="174" fillId="41" borderId="0" applyNumberFormat="0" applyBorder="0" applyAlignment="0" applyProtection="0">
      <alignment vertical="center"/>
    </xf>
    <xf numFmtId="217" fontId="51" fillId="0" borderId="0" applyFill="0" applyBorder="0" applyAlignment="0"/>
    <xf numFmtId="218" fontId="51" fillId="0" borderId="0" applyFill="0" applyBorder="0" applyAlignment="0"/>
    <xf numFmtId="164" fontId="163" fillId="0" borderId="25" applyNumberFormat="0" applyFill="0" applyAlignment="0" applyProtection="0">
      <alignment vertical="center"/>
    </xf>
    <xf numFmtId="164" fontId="125" fillId="0" borderId="28" applyNumberFormat="0" applyFill="0" applyAlignment="0" applyProtection="0">
      <alignment vertical="center"/>
    </xf>
    <xf numFmtId="164" fontId="31" fillId="0" borderId="0">
      <alignment horizontal="center" wrapText="1"/>
      <protection locked="0"/>
    </xf>
    <xf numFmtId="164" fontId="157" fillId="50" borderId="0" applyNumberFormat="0" applyBorder="0" applyAlignment="0" applyProtection="0">
      <alignment vertical="center"/>
    </xf>
    <xf numFmtId="164" fontId="157" fillId="46" borderId="0" applyNumberFormat="0" applyBorder="0" applyAlignment="0" applyProtection="0">
      <alignment vertical="center"/>
    </xf>
    <xf numFmtId="164" fontId="122" fillId="37" borderId="0" applyNumberFormat="0" applyBorder="0" applyAlignment="0" applyProtection="0">
      <alignment vertical="center"/>
    </xf>
    <xf numFmtId="213" fontId="51" fillId="0" borderId="0" applyFont="0" applyFill="0" applyBorder="0" applyAlignment="0" applyProtection="0"/>
    <xf numFmtId="164" fontId="124" fillId="61" borderId="0" applyNumberFormat="0" applyBorder="0" applyAlignment="0" applyProtection="0">
      <alignment vertical="center"/>
    </xf>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216" fontId="88" fillId="0" borderId="0" applyFill="0" applyBorder="0" applyAlignment="0"/>
    <xf numFmtId="213" fontId="51" fillId="0" borderId="0" applyFill="0" applyBorder="0" applyAlignment="0"/>
    <xf numFmtId="164" fontId="122" fillId="43" borderId="0" applyNumberFormat="0" applyBorder="0" applyAlignment="0" applyProtection="0">
      <alignment vertical="center"/>
    </xf>
    <xf numFmtId="218" fontId="88" fillId="0" borderId="0" applyFill="0" applyBorder="0" applyAlignment="0"/>
    <xf numFmtId="216" fontId="51" fillId="0" borderId="0" applyFill="0" applyBorder="0" applyAlignment="0"/>
    <xf numFmtId="164" fontId="174" fillId="47" borderId="0" applyNumberFormat="0" applyBorder="0" applyAlignment="0" applyProtection="0">
      <alignment vertical="center"/>
    </xf>
    <xf numFmtId="164" fontId="170" fillId="0" borderId="0" applyNumberFormat="0" applyFill="0" applyBorder="0" applyAlignment="0" applyProtection="0">
      <alignment vertical="center"/>
    </xf>
    <xf numFmtId="164" fontId="174" fillId="47" borderId="0" applyNumberFormat="0" applyBorder="0" applyAlignment="0" applyProtection="0">
      <alignment vertical="center"/>
    </xf>
    <xf numFmtId="164" fontId="123" fillId="45" borderId="0" applyNumberFormat="0" applyBorder="0" applyAlignment="0" applyProtection="0">
      <alignment vertical="center"/>
    </xf>
    <xf numFmtId="164" fontId="163" fillId="0" borderId="25" applyNumberFormat="0" applyFill="0" applyAlignment="0" applyProtection="0">
      <alignment vertical="center"/>
    </xf>
    <xf numFmtId="218" fontId="51" fillId="0" borderId="0" applyFill="0" applyBorder="0" applyAlignment="0"/>
    <xf numFmtId="164" fontId="31" fillId="0" borderId="0">
      <alignment horizontal="center" wrapText="1"/>
      <protection locked="0"/>
    </xf>
    <xf numFmtId="164" fontId="124" fillId="61" borderId="0" applyNumberFormat="0" applyBorder="0" applyAlignment="0" applyProtection="0">
      <alignment vertical="center"/>
    </xf>
    <xf numFmtId="217" fontId="88" fillId="0" borderId="0" applyFill="0" applyBorder="0" applyAlignment="0"/>
    <xf numFmtId="164" fontId="156" fillId="37" borderId="0" applyNumberFormat="0" applyBorder="0" applyAlignment="0" applyProtection="0">
      <alignment vertical="center"/>
    </xf>
    <xf numFmtId="213" fontId="51" fillId="0" borderId="0" applyFill="0" applyBorder="0" applyAlignment="0"/>
    <xf numFmtId="200" fontId="88" fillId="57" borderId="0"/>
    <xf numFmtId="213" fontId="51" fillId="0" borderId="0" applyFont="0" applyFill="0" applyBorder="0" applyAlignment="0" applyProtection="0"/>
    <xf numFmtId="164" fontId="173" fillId="41" borderId="0" applyNumberFormat="0" applyBorder="0" applyAlignment="0" applyProtection="0">
      <alignment vertical="center"/>
    </xf>
    <xf numFmtId="221" fontId="88" fillId="0" borderId="0" applyFill="0" applyBorder="0" applyAlignment="0"/>
    <xf numFmtId="217" fontId="51" fillId="0" borderId="0" applyFill="0" applyBorder="0" applyAlignment="0"/>
    <xf numFmtId="164" fontId="173" fillId="35" borderId="0" applyNumberFormat="0" applyBorder="0" applyAlignment="0" applyProtection="0">
      <alignment vertical="center"/>
    </xf>
    <xf numFmtId="164" fontId="179" fillId="0" borderId="18" applyNumberFormat="0" applyFill="0" applyAlignment="0" applyProtection="0">
      <alignment vertical="center"/>
    </xf>
    <xf numFmtId="213" fontId="51" fillId="0" borderId="0" applyFont="0" applyFill="0" applyBorder="0" applyAlignment="0" applyProtection="0"/>
    <xf numFmtId="164" fontId="123" fillId="52" borderId="0" applyNumberFormat="0" applyBorder="0" applyAlignment="0" applyProtection="0">
      <alignment vertical="center"/>
    </xf>
    <xf numFmtId="164" fontId="157" fillId="47" borderId="0" applyNumberFormat="0" applyBorder="0" applyAlignment="0" applyProtection="0">
      <alignment vertical="center"/>
    </xf>
    <xf numFmtId="164" fontId="173" fillId="39" borderId="0" applyNumberFormat="0" applyBorder="0" applyAlignment="0" applyProtection="0">
      <alignment vertical="center"/>
    </xf>
    <xf numFmtId="222" fontId="88" fillId="0" borderId="0" applyFill="0" applyBorder="0" applyAlignment="0"/>
    <xf numFmtId="164" fontId="157" fillId="50" borderId="0" applyNumberFormat="0" applyBorder="0" applyAlignment="0" applyProtection="0">
      <alignment vertical="center"/>
    </xf>
    <xf numFmtId="164" fontId="173" fillId="37" borderId="0" applyNumberFormat="0" applyBorder="0" applyAlignment="0" applyProtection="0">
      <alignment vertical="center"/>
    </xf>
    <xf numFmtId="164" fontId="181" fillId="0" borderId="0" applyNumberFormat="0" applyFill="0" applyBorder="0" applyAlignment="0" applyProtection="0">
      <alignment vertical="center"/>
    </xf>
    <xf numFmtId="164" fontId="123" fillId="51" borderId="0" applyNumberFormat="0" applyBorder="0" applyAlignment="0" applyProtection="0">
      <alignment vertical="center"/>
    </xf>
    <xf numFmtId="220" fontId="51" fillId="0" borderId="0" applyFont="0" applyFill="0" applyBorder="0" applyAlignment="0" applyProtection="0"/>
    <xf numFmtId="14" fontId="31" fillId="0" borderId="0">
      <alignment horizontal="center" wrapText="1"/>
      <protection locked="0"/>
    </xf>
    <xf numFmtId="164" fontId="85" fillId="65" borderId="27" applyNumberFormat="0" applyFont="0" applyAlignment="0" applyProtection="0">
      <alignment vertical="center"/>
    </xf>
    <xf numFmtId="217" fontId="51" fillId="0" borderId="0" applyFill="0" applyBorder="0" applyAlignment="0"/>
    <xf numFmtId="164" fontId="187" fillId="54" borderId="12" applyNumberFormat="0" applyAlignment="0" applyProtection="0">
      <alignment vertical="center"/>
    </xf>
    <xf numFmtId="164" fontId="174" fillId="46" borderId="0" applyNumberFormat="0" applyBorder="0" applyAlignment="0" applyProtection="0">
      <alignment vertical="center"/>
    </xf>
    <xf numFmtId="222" fontId="51" fillId="0" borderId="0" applyFill="0" applyBorder="0" applyAlignment="0"/>
    <xf numFmtId="164" fontId="188" fillId="36" borderId="0" applyNumberFormat="0" applyBorder="0" applyAlignment="0" applyProtection="0">
      <alignment vertical="center"/>
    </xf>
    <xf numFmtId="217" fontId="51" fillId="0" borderId="0" applyFill="0" applyBorder="0" applyAlignment="0"/>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3" fillId="49" borderId="0" applyNumberFormat="0" applyBorder="0" applyAlignment="0" applyProtection="0">
      <alignment vertical="center"/>
    </xf>
    <xf numFmtId="164" fontId="122" fillId="39" borderId="0" applyNumberFormat="0" applyBorder="0" applyAlignment="0" applyProtection="0">
      <alignment vertical="center"/>
    </xf>
    <xf numFmtId="164" fontId="166" fillId="39" borderId="11" applyNumberFormat="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164" fontId="128" fillId="0" borderId="18" applyNumberFormat="0" applyFill="0" applyAlignment="0" applyProtection="0">
      <alignment vertical="center"/>
    </xf>
    <xf numFmtId="164" fontId="123" fillId="46" borderId="0" applyNumberFormat="0" applyBorder="0" applyAlignment="0" applyProtection="0">
      <alignment vertical="center"/>
    </xf>
    <xf numFmtId="164" fontId="122" fillId="38" borderId="0" applyNumberFormat="0" applyBorder="0" applyAlignment="0" applyProtection="0">
      <alignment vertical="center"/>
    </xf>
    <xf numFmtId="164" fontId="122" fillId="36" borderId="0" applyNumberFormat="0" applyBorder="0" applyAlignment="0" applyProtection="0">
      <alignment vertical="center"/>
    </xf>
    <xf numFmtId="200" fontId="88" fillId="58" borderId="0"/>
    <xf numFmtId="164" fontId="173" fillId="38" borderId="0" applyNumberFormat="0" applyBorder="0" applyAlignment="0" applyProtection="0">
      <alignment vertical="center"/>
    </xf>
    <xf numFmtId="164" fontId="173" fillId="38" borderId="0" applyNumberFormat="0" applyBorder="0" applyAlignment="0" applyProtection="0">
      <alignment vertical="center"/>
    </xf>
    <xf numFmtId="164" fontId="163" fillId="0" borderId="25" applyNumberFormat="0" applyFill="0" applyAlignment="0" applyProtection="0">
      <alignment vertical="center"/>
    </xf>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23" fillId="45" borderId="0" applyNumberFormat="0" applyBorder="0" applyAlignment="0" applyProtection="0">
      <alignment vertical="center"/>
    </xf>
    <xf numFmtId="164" fontId="63" fillId="0" borderId="21"/>
    <xf numFmtId="164" fontId="122" fillId="40" borderId="0" applyNumberFormat="0" applyBorder="0" applyAlignment="0" applyProtection="0">
      <alignment vertical="center"/>
    </xf>
    <xf numFmtId="218" fontId="51" fillId="0" borderId="0" applyFill="0" applyBorder="0" applyAlignment="0"/>
    <xf numFmtId="219" fontId="88" fillId="0" borderId="0"/>
    <xf numFmtId="212" fontId="88" fillId="0" borderId="0" applyFill="0" applyBorder="0" applyAlignment="0"/>
    <xf numFmtId="164" fontId="183" fillId="0" borderId="26" applyNumberFormat="0" applyFill="0" applyAlignment="0" applyProtection="0">
      <alignment vertical="center"/>
    </xf>
    <xf numFmtId="213" fontId="88" fillId="0" borderId="0" applyFill="0" applyBorder="0" applyAlignment="0"/>
    <xf numFmtId="164" fontId="164" fillId="0" borderId="26" applyNumberFormat="0" applyFill="0" applyAlignment="0" applyProtection="0">
      <alignment vertical="center"/>
    </xf>
    <xf numFmtId="217" fontId="88" fillId="0" borderId="0" applyFill="0" applyBorder="0" applyAlignment="0"/>
    <xf numFmtId="164" fontId="156" fillId="3" borderId="0" applyNumberFormat="0" applyBorder="0" applyAlignment="0" applyProtection="0">
      <alignment vertical="center"/>
    </xf>
    <xf numFmtId="216" fontId="51" fillId="0" borderId="0" applyFill="0" applyBorder="0" applyAlignment="0"/>
    <xf numFmtId="217" fontId="88" fillId="0" borderId="0" applyFill="0" applyBorder="0" applyAlignment="0"/>
    <xf numFmtId="164" fontId="157" fillId="46" borderId="0" applyNumberFormat="0" applyBorder="0" applyAlignment="0" applyProtection="0">
      <alignment vertical="center"/>
    </xf>
    <xf numFmtId="164" fontId="156" fillId="65" borderId="27" applyNumberFormat="0" applyFont="0" applyAlignment="0" applyProtection="0">
      <alignment vertical="center"/>
    </xf>
    <xf numFmtId="213" fontId="51" fillId="0" borderId="0" applyFill="0" applyBorder="0" applyAlignment="0"/>
    <xf numFmtId="164" fontId="126" fillId="3" borderId="0" applyNumberFormat="0" applyBorder="0" applyAlignment="0" applyProtection="0">
      <alignment vertical="center"/>
    </xf>
    <xf numFmtId="164" fontId="173" fillId="43" borderId="0" applyNumberFormat="0" applyBorder="0" applyAlignment="0" applyProtection="0">
      <alignment vertical="center"/>
    </xf>
    <xf numFmtId="219" fontId="51" fillId="0" borderId="0"/>
    <xf numFmtId="164" fontId="170" fillId="0" borderId="0" applyNumberFormat="0" applyFill="0" applyBorder="0" applyAlignment="0" applyProtection="0">
      <alignment vertical="center"/>
    </xf>
    <xf numFmtId="200" fontId="51" fillId="58" borderId="0"/>
    <xf numFmtId="222" fontId="51" fillId="0" borderId="0" applyFill="0" applyBorder="0" applyAlignment="0"/>
    <xf numFmtId="216" fontId="51" fillId="0" borderId="0" applyFont="0" applyFill="0" applyBorder="0" applyAlignment="0" applyProtection="0"/>
    <xf numFmtId="219" fontId="51" fillId="0" borderId="0"/>
    <xf numFmtId="164" fontId="173" fillId="40" borderId="0" applyNumberFormat="0" applyBorder="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213" fontId="51" fillId="0" borderId="0" applyFill="0" applyBorder="0" applyAlignment="0"/>
    <xf numFmtId="164" fontId="174" fillId="44" borderId="0" applyNumberFormat="0" applyBorder="0" applyAlignment="0" applyProtection="0">
      <alignment vertical="center"/>
    </xf>
    <xf numFmtId="164" fontId="174" fillId="49" borderId="0" applyNumberFormat="0" applyBorder="0" applyAlignment="0" applyProtection="0">
      <alignment vertical="center"/>
    </xf>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56" fillId="40" borderId="0" applyNumberFormat="0" applyBorder="0" applyAlignment="0" applyProtection="0">
      <alignment vertical="center"/>
    </xf>
    <xf numFmtId="164" fontId="173" fillId="41" borderId="0" applyNumberFormat="0" applyBorder="0" applyAlignment="0" applyProtection="0">
      <alignment vertical="center"/>
    </xf>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222" fontId="88" fillId="0" borderId="0" applyFill="0" applyBorder="0" applyAlignment="0"/>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164" fontId="156" fillId="65" borderId="27" applyNumberFormat="0" applyFont="0" applyAlignment="0" applyProtection="0">
      <alignment vertical="center"/>
    </xf>
    <xf numFmtId="164" fontId="157" fillId="45" borderId="0" applyNumberFormat="0" applyBorder="0" applyAlignment="0" applyProtection="0">
      <alignment vertical="center"/>
    </xf>
    <xf numFmtId="213" fontId="51" fillId="0" borderId="0" applyFill="0" applyBorder="0" applyAlignment="0"/>
    <xf numFmtId="164" fontId="187" fillId="54" borderId="12" applyNumberFormat="0" applyAlignment="0" applyProtection="0">
      <alignment vertical="center"/>
    </xf>
    <xf numFmtId="164" fontId="165" fillId="0" borderId="15" applyNumberFormat="0" applyFill="0" applyAlignment="0" applyProtection="0">
      <alignment vertical="center"/>
    </xf>
    <xf numFmtId="217" fontId="51" fillId="0" borderId="0" applyFill="0" applyBorder="0" applyAlignment="0"/>
    <xf numFmtId="164" fontId="188" fillId="36" borderId="0" applyNumberFormat="0" applyBorder="0" applyAlignment="0" applyProtection="0">
      <alignment vertical="center"/>
    </xf>
    <xf numFmtId="164" fontId="122" fillId="42" borderId="0" applyNumberFormat="0" applyBorder="0" applyAlignment="0" applyProtection="0">
      <alignment vertical="center"/>
    </xf>
    <xf numFmtId="218" fontId="51" fillId="0" borderId="0" applyFill="0" applyBorder="0" applyAlignment="0"/>
    <xf numFmtId="164" fontId="173" fillId="41" borderId="0" applyNumberFormat="0" applyBorder="0" applyAlignment="0" applyProtection="0">
      <alignment vertical="center"/>
    </xf>
    <xf numFmtId="164" fontId="122" fillId="37" borderId="0" applyNumberFormat="0" applyBorder="0" applyAlignment="0" applyProtection="0">
      <alignment vertical="center"/>
    </xf>
    <xf numFmtId="220" fontId="88" fillId="0" borderId="0" applyFont="0" applyFill="0" applyBorder="0" applyAlignment="0" applyProtection="0"/>
    <xf numFmtId="164" fontId="156" fillId="43" borderId="0" applyNumberFormat="0" applyBorder="0" applyAlignment="0" applyProtection="0">
      <alignment vertical="center"/>
    </xf>
    <xf numFmtId="164" fontId="157" fillId="46" borderId="0" applyNumberFormat="0" applyBorder="0" applyAlignment="0" applyProtection="0">
      <alignment vertical="center"/>
    </xf>
    <xf numFmtId="218" fontId="88" fillId="0" borderId="0" applyFill="0" applyBorder="0" applyAlignment="0"/>
    <xf numFmtId="164" fontId="123" fillId="50" borderId="0" applyNumberFormat="0" applyBorder="0" applyAlignment="0" applyProtection="0">
      <alignment vertical="center"/>
    </xf>
    <xf numFmtId="164" fontId="123" fillId="42" borderId="0" applyNumberFormat="0" applyBorder="0" applyAlignment="0" applyProtection="0">
      <alignment vertical="center"/>
    </xf>
    <xf numFmtId="164" fontId="174" fillId="46" borderId="0" applyNumberFormat="0" applyBorder="0" applyAlignment="0" applyProtection="0">
      <alignment vertical="center"/>
    </xf>
    <xf numFmtId="218" fontId="51" fillId="0" borderId="0" applyFill="0" applyBorder="0" applyAlignment="0"/>
    <xf numFmtId="164" fontId="157" fillId="44" borderId="0" applyNumberFormat="0" applyBorder="0" applyAlignment="0" applyProtection="0">
      <alignment vertical="center"/>
    </xf>
    <xf numFmtId="164" fontId="174" fillId="44" borderId="0" applyNumberFormat="0" applyBorder="0" applyAlignment="0" applyProtection="0">
      <alignment vertical="center"/>
    </xf>
    <xf numFmtId="164" fontId="123" fillId="46" borderId="0" applyNumberFormat="0" applyBorder="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164" fontId="123" fillId="51" borderId="0" applyNumberFormat="0" applyBorder="0" applyAlignment="0" applyProtection="0">
      <alignment vertical="center"/>
    </xf>
    <xf numFmtId="213" fontId="88" fillId="0" borderId="0" applyFont="0" applyFill="0" applyBorder="0" applyAlignment="0" applyProtection="0"/>
    <xf numFmtId="215" fontId="88" fillId="0" borderId="0" applyFill="0" applyBorder="0" applyAlignment="0"/>
    <xf numFmtId="164" fontId="156" fillId="42" borderId="0" applyNumberFormat="0" applyBorder="0" applyAlignment="0" applyProtection="0">
      <alignment vertical="center"/>
    </xf>
    <xf numFmtId="216" fontId="88" fillId="0" borderId="0" applyFont="0" applyFill="0" applyBorder="0" applyAlignment="0" applyProtection="0"/>
    <xf numFmtId="164" fontId="96" fillId="0" borderId="21"/>
    <xf numFmtId="164" fontId="173" fillId="42" borderId="0" applyNumberFormat="0" applyBorder="0" applyAlignment="0" applyProtection="0">
      <alignment vertical="center"/>
    </xf>
    <xf numFmtId="164" fontId="174" fillId="51" borderId="0" applyNumberFormat="0" applyBorder="0" applyAlignment="0" applyProtection="0">
      <alignment vertical="center"/>
    </xf>
    <xf numFmtId="164" fontId="157" fillId="51" borderId="0" applyNumberFormat="0" applyBorder="0" applyAlignment="0" applyProtection="0">
      <alignment vertical="center"/>
    </xf>
    <xf numFmtId="164" fontId="156" fillId="38" borderId="0" applyNumberFormat="0" applyBorder="0" applyAlignment="0" applyProtection="0">
      <alignment vertical="center"/>
    </xf>
    <xf numFmtId="164" fontId="173" fillId="37" borderId="0" applyNumberFormat="0" applyBorder="0" applyAlignment="0" applyProtection="0">
      <alignment vertical="center"/>
    </xf>
    <xf numFmtId="164" fontId="123" fillId="46" borderId="0" applyNumberFormat="0" applyBorder="0" applyAlignment="0" applyProtection="0">
      <alignment vertical="center"/>
    </xf>
    <xf numFmtId="164" fontId="188" fillId="36" borderId="0" applyNumberFormat="0" applyBorder="0" applyAlignment="0" applyProtection="0">
      <alignment vertical="center"/>
    </xf>
    <xf numFmtId="213" fontId="88" fillId="0" borderId="0" applyFont="0" applyFill="0" applyBorder="0" applyAlignment="0" applyProtection="0"/>
    <xf numFmtId="164" fontId="90" fillId="65" borderId="27" applyNumberFormat="0" applyFont="0" applyAlignment="0" applyProtection="0"/>
    <xf numFmtId="218" fontId="88" fillId="0" borderId="0" applyFill="0" applyBorder="0" applyAlignment="0"/>
    <xf numFmtId="164" fontId="162" fillId="3" borderId="0" applyNumberFormat="0" applyBorder="0" applyAlignment="0" applyProtection="0">
      <alignment vertical="center"/>
    </xf>
    <xf numFmtId="164" fontId="123" fillId="50" borderId="0" applyNumberFormat="0" applyBorder="0" applyAlignment="0" applyProtection="0">
      <alignment vertical="center"/>
    </xf>
    <xf numFmtId="164" fontId="182" fillId="0" borderId="25" applyNumberFormat="0" applyFill="0" applyAlignment="0" applyProtection="0">
      <alignment vertical="center"/>
    </xf>
    <xf numFmtId="164" fontId="138" fillId="0" borderId="0" applyNumberFormat="0" applyFill="0" applyBorder="0" applyAlignment="0" applyProtection="0">
      <alignment vertical="center"/>
    </xf>
    <xf numFmtId="213" fontId="88" fillId="0" borderId="0" applyFont="0" applyFill="0" applyBorder="0" applyAlignment="0" applyProtection="0"/>
    <xf numFmtId="164" fontId="173" fillId="3" borderId="0" applyNumberFormat="0" applyBorder="0" applyAlignment="0" applyProtection="0">
      <alignment vertical="center"/>
    </xf>
    <xf numFmtId="164" fontId="156" fillId="39" borderId="0" applyNumberFormat="0" applyBorder="0" applyAlignment="0" applyProtection="0">
      <alignment vertical="center"/>
    </xf>
    <xf numFmtId="213" fontId="88" fillId="0" borderId="0" applyFill="0" applyBorder="0" applyAlignment="0"/>
    <xf numFmtId="164" fontId="123" fillId="46" borderId="0" applyNumberFormat="0" applyBorder="0" applyAlignment="0" applyProtection="0">
      <alignment vertical="center"/>
    </xf>
    <xf numFmtId="164" fontId="156" fillId="41" borderId="0" applyNumberFormat="0" applyBorder="0" applyAlignment="0" applyProtection="0">
      <alignment vertical="center"/>
    </xf>
    <xf numFmtId="217" fontId="51" fillId="0" borderId="0" applyFill="0" applyBorder="0" applyAlignment="0"/>
    <xf numFmtId="164" fontId="126" fillId="3" borderId="0" applyNumberFormat="0" applyBorder="0" applyAlignment="0" applyProtection="0">
      <alignment vertical="center"/>
    </xf>
    <xf numFmtId="164" fontId="135" fillId="53" borderId="20" applyNumberFormat="0" applyAlignment="0" applyProtection="0">
      <alignment vertical="center"/>
    </xf>
    <xf numFmtId="164" fontId="184" fillId="0" borderId="15" applyNumberFormat="0" applyFill="0" applyAlignment="0" applyProtection="0">
      <alignment vertical="center"/>
    </xf>
    <xf numFmtId="164" fontId="176" fillId="0" borderId="28" applyNumberFormat="0" applyFill="0" applyAlignment="0" applyProtection="0">
      <alignment vertical="center"/>
    </xf>
    <xf numFmtId="164" fontId="156" fillId="35" borderId="0" applyNumberFormat="0" applyBorder="0" applyAlignment="0" applyProtection="0">
      <alignment vertical="center"/>
    </xf>
    <xf numFmtId="164" fontId="172" fillId="0" borderId="0" applyNumberFormat="0" applyFill="0" applyBorder="0" applyAlignment="0" applyProtection="0">
      <alignment vertical="center"/>
    </xf>
    <xf numFmtId="164" fontId="175" fillId="61"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4" fillId="51" borderId="0" applyNumberFormat="0" applyBorder="0" applyAlignment="0" applyProtection="0">
      <alignment vertical="center"/>
    </xf>
    <xf numFmtId="164" fontId="136" fillId="54" borderId="12" applyNumberFormat="0" applyAlignment="0" applyProtection="0">
      <alignment vertical="center"/>
    </xf>
    <xf numFmtId="164" fontId="186" fillId="53" borderId="20" applyNumberFormat="0" applyAlignment="0" applyProtection="0">
      <alignment vertical="center"/>
    </xf>
    <xf numFmtId="216" fontId="88" fillId="0" borderId="0" applyFont="0" applyFill="0" applyBorder="0" applyAlignment="0" applyProtection="0"/>
    <xf numFmtId="217" fontId="51"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22" fillId="38" borderId="0" applyNumberFormat="0" applyBorder="0" applyAlignment="0" applyProtection="0">
      <alignment vertical="center"/>
    </xf>
    <xf numFmtId="164" fontId="157" fillId="45" borderId="0" applyNumberFormat="0" applyBorder="0" applyAlignment="0" applyProtection="0">
      <alignment vertical="center"/>
    </xf>
    <xf numFmtId="217" fontId="88" fillId="0" borderId="0" applyFont="0" applyFill="0" applyBorder="0" applyAlignment="0" applyProtection="0"/>
    <xf numFmtId="217" fontId="51" fillId="0" borderId="0" applyFill="0" applyBorder="0" applyAlignment="0"/>
    <xf numFmtId="164" fontId="174" fillId="41" borderId="0" applyNumberFormat="0" applyBorder="0" applyAlignment="0" applyProtection="0">
      <alignment vertical="center"/>
    </xf>
    <xf numFmtId="217" fontId="51" fillId="0" borderId="0" applyFill="0" applyBorder="0" applyAlignment="0"/>
    <xf numFmtId="221" fontId="51" fillId="0" borderId="0" applyFill="0" applyBorder="0" applyAlignment="0"/>
    <xf numFmtId="164" fontId="163" fillId="0" borderId="25" applyNumberFormat="0" applyFill="0" applyAlignment="0" applyProtection="0">
      <alignment vertical="center"/>
    </xf>
    <xf numFmtId="164" fontId="123" fillId="46" borderId="0" applyNumberFormat="0" applyBorder="0" applyAlignment="0" applyProtection="0">
      <alignment vertical="center"/>
    </xf>
    <xf numFmtId="164" fontId="157" fillId="50" borderId="0" applyNumberFormat="0" applyBorder="0" applyAlignment="0" applyProtection="0">
      <alignment vertical="center"/>
    </xf>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164" fontId="123" fillId="51" borderId="0" applyNumberFormat="0" applyBorder="0" applyAlignment="0" applyProtection="0">
      <alignment vertical="center"/>
    </xf>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164" fontId="157" fillId="50" borderId="0" applyNumberFormat="0" applyBorder="0" applyAlignment="0" applyProtection="0">
      <alignment vertical="center"/>
    </xf>
    <xf numFmtId="213" fontId="51" fillId="0" borderId="0" applyFill="0" applyBorder="0" applyAlignment="0"/>
    <xf numFmtId="164" fontId="122" fillId="43" borderId="0" applyNumberFormat="0" applyBorder="0" applyAlignment="0" applyProtection="0">
      <alignment vertical="center"/>
    </xf>
    <xf numFmtId="164" fontId="123" fillId="45" borderId="0" applyNumberFormat="0" applyBorder="0" applyAlignment="0" applyProtection="0">
      <alignment vertical="center"/>
    </xf>
    <xf numFmtId="216" fontId="51" fillId="0" borderId="0" applyFill="0" applyBorder="0" applyAlignment="0"/>
    <xf numFmtId="164" fontId="174" fillId="47" borderId="0" applyNumberFormat="0" applyBorder="0" applyAlignment="0" applyProtection="0">
      <alignment vertical="center"/>
    </xf>
    <xf numFmtId="217" fontId="88" fillId="0" borderId="0" applyFill="0" applyBorder="0" applyAlignment="0"/>
    <xf numFmtId="164" fontId="169" fillId="53" borderId="20" applyNumberFormat="0" applyAlignment="0" applyProtection="0">
      <alignment vertical="center"/>
    </xf>
    <xf numFmtId="164" fontId="123" fillId="45" borderId="0" applyNumberFormat="0" applyBorder="0" applyAlignment="0" applyProtection="0">
      <alignment vertical="center"/>
    </xf>
    <xf numFmtId="221" fontId="88" fillId="0" borderId="0" applyFill="0" applyBorder="0" applyAlignment="0"/>
    <xf numFmtId="218" fontId="51" fillId="0" borderId="0" applyFill="0" applyBorder="0" applyAlignment="0"/>
    <xf numFmtId="164" fontId="31" fillId="0" borderId="0">
      <alignment horizontal="center" wrapText="1"/>
      <protection locked="0"/>
    </xf>
    <xf numFmtId="164" fontId="124" fillId="61" borderId="0" applyNumberFormat="0" applyBorder="0" applyAlignment="0" applyProtection="0">
      <alignment vertical="center"/>
    </xf>
    <xf numFmtId="164" fontId="174" fillId="42" borderId="0" applyNumberFormat="0" applyBorder="0" applyAlignment="0" applyProtection="0">
      <alignment vertical="center"/>
    </xf>
    <xf numFmtId="164" fontId="156" fillId="37" borderId="0" applyNumberFormat="0" applyBorder="0" applyAlignment="0" applyProtection="0">
      <alignment vertical="center"/>
    </xf>
    <xf numFmtId="213" fontId="51" fillId="0" borderId="0" applyFill="0" applyBorder="0" applyAlignment="0"/>
    <xf numFmtId="200" fontId="88" fillId="57" borderId="0"/>
    <xf numFmtId="213" fontId="51" fillId="0" borderId="0" applyFont="0" applyFill="0" applyBorder="0" applyAlignment="0" applyProtection="0"/>
    <xf numFmtId="164" fontId="123" fillId="46" borderId="0" applyNumberFormat="0" applyBorder="0" applyAlignment="0" applyProtection="0">
      <alignment vertical="center"/>
    </xf>
    <xf numFmtId="221" fontId="88" fillId="0" borderId="0" applyFill="0" applyBorder="0" applyAlignment="0"/>
    <xf numFmtId="217" fontId="51" fillId="0" borderId="0" applyFill="0" applyBorder="0" applyAlignment="0"/>
    <xf numFmtId="164" fontId="173" fillId="35" borderId="0" applyNumberFormat="0" applyBorder="0" applyAlignment="0" applyProtection="0">
      <alignment vertical="center"/>
    </xf>
    <xf numFmtId="164" fontId="179" fillId="0" borderId="18" applyNumberFormat="0" applyFill="0" applyAlignment="0" applyProtection="0">
      <alignment vertical="center"/>
    </xf>
    <xf numFmtId="164" fontId="123" fillId="52" borderId="0" applyNumberFormat="0" applyBorder="0" applyAlignment="0" applyProtection="0">
      <alignment vertical="center"/>
    </xf>
    <xf numFmtId="164" fontId="157" fillId="47" borderId="0" applyNumberFormat="0" applyBorder="0" applyAlignment="0" applyProtection="0">
      <alignment vertical="center"/>
    </xf>
    <xf numFmtId="164" fontId="173" fillId="39" borderId="0" applyNumberFormat="0" applyBorder="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9" fillId="53" borderId="20" applyNumberFormat="0" applyAlignment="0" applyProtection="0">
      <alignment vertical="center"/>
    </xf>
    <xf numFmtId="164" fontId="173" fillId="37" borderId="0" applyNumberFormat="0" applyBorder="0" applyAlignment="0" applyProtection="0">
      <alignment vertical="center"/>
    </xf>
    <xf numFmtId="164" fontId="181" fillId="0" borderId="0" applyNumberFormat="0" applyFill="0" applyBorder="0" applyAlignment="0" applyProtection="0">
      <alignment vertical="center"/>
    </xf>
    <xf numFmtId="164" fontId="122" fillId="35" borderId="0" applyNumberFormat="0" applyBorder="0" applyAlignment="0" applyProtection="0">
      <alignment vertical="center"/>
    </xf>
    <xf numFmtId="220" fontId="51" fillId="0" borderId="0" applyFont="0" applyFill="0" applyBorder="0" applyAlignment="0" applyProtection="0"/>
    <xf numFmtId="14" fontId="31" fillId="0" borderId="0">
      <alignment horizontal="center" wrapText="1"/>
      <protection locked="0"/>
    </xf>
    <xf numFmtId="164" fontId="85" fillId="65" borderId="27" applyNumberFormat="0" applyFont="0" applyAlignment="0" applyProtection="0">
      <alignment vertical="center"/>
    </xf>
    <xf numFmtId="217" fontId="51" fillId="0" borderId="0" applyFill="0" applyBorder="0" applyAlignment="0"/>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25" fillId="0" borderId="28" applyNumberFormat="0" applyFill="0" applyAlignment="0" applyProtection="0">
      <alignment vertical="center"/>
    </xf>
    <xf numFmtId="164" fontId="122" fillId="38" borderId="0" applyNumberFormat="0" applyBorder="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3" fillId="49" borderId="0" applyNumberFormat="0" applyBorder="0" applyAlignment="0" applyProtection="0">
      <alignment vertical="center"/>
    </xf>
    <xf numFmtId="164" fontId="122" fillId="39" borderId="0" applyNumberFormat="0" applyBorder="0" applyAlignment="0" applyProtection="0">
      <alignment vertical="center"/>
    </xf>
    <xf numFmtId="164" fontId="166" fillId="39" borderId="11" applyNumberFormat="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164" fontId="137" fillId="36" borderId="0" applyNumberFormat="0" applyBorder="0" applyAlignment="0" applyProtection="0">
      <alignment vertical="center"/>
    </xf>
    <xf numFmtId="164" fontId="156" fillId="40" borderId="0" applyNumberFormat="0" applyBorder="0" applyAlignment="0" applyProtection="0">
      <alignment vertical="center"/>
    </xf>
    <xf numFmtId="213" fontId="51" fillId="0" borderId="0" applyFill="0" applyBorder="0" applyAlignment="0"/>
    <xf numFmtId="164" fontId="122" fillId="36" borderId="0" applyNumberFormat="0" applyBorder="0" applyAlignment="0" applyProtection="0">
      <alignment vertical="center"/>
    </xf>
    <xf numFmtId="200" fontId="88" fillId="58" borderId="0"/>
    <xf numFmtId="164" fontId="125" fillId="0" borderId="28" applyNumberFormat="0" applyFill="0" applyAlignment="0" applyProtection="0">
      <alignment vertical="center"/>
    </xf>
    <xf numFmtId="164" fontId="134" fillId="39" borderId="11" applyNumberFormat="0" applyAlignment="0" applyProtection="0">
      <alignment vertical="center"/>
    </xf>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23" fillId="45" borderId="0" applyNumberFormat="0" applyBorder="0" applyAlignment="0" applyProtection="0">
      <alignment vertical="center"/>
    </xf>
    <xf numFmtId="164" fontId="63" fillId="0" borderId="21"/>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219" fontId="88" fillId="0" borderId="0"/>
    <xf numFmtId="212" fontId="88" fillId="0" borderId="0" applyFill="0" applyBorder="0" applyAlignment="0"/>
    <xf numFmtId="164" fontId="183" fillId="0" borderId="26" applyNumberFormat="0" applyFill="0" applyAlignment="0" applyProtection="0">
      <alignment vertical="center"/>
    </xf>
    <xf numFmtId="213" fontId="88" fillId="0" borderId="0" applyFill="0" applyBorder="0" applyAlignment="0"/>
    <xf numFmtId="164" fontId="164" fillId="0" borderId="26" applyNumberFormat="0" applyFill="0" applyAlignment="0" applyProtection="0">
      <alignment vertical="center"/>
    </xf>
    <xf numFmtId="164" fontId="174" fillId="45" borderId="0" applyNumberFormat="0" applyBorder="0" applyAlignment="0" applyProtection="0">
      <alignment vertical="center"/>
    </xf>
    <xf numFmtId="164" fontId="156" fillId="3" borderId="0" applyNumberFormat="0" applyBorder="0" applyAlignment="0" applyProtection="0">
      <alignment vertical="center"/>
    </xf>
    <xf numFmtId="217" fontId="88" fillId="0" borderId="0" applyFill="0" applyBorder="0" applyAlignment="0"/>
    <xf numFmtId="217" fontId="88" fillId="0" borderId="0" applyFill="0" applyBorder="0" applyAlignment="0"/>
    <xf numFmtId="164" fontId="157" fillId="46" borderId="0" applyNumberFormat="0" applyBorder="0" applyAlignment="0" applyProtection="0">
      <alignment vertical="center"/>
    </xf>
    <xf numFmtId="215" fontId="51" fillId="0" borderId="0" applyFill="0" applyBorder="0" applyAlignment="0"/>
    <xf numFmtId="164" fontId="166" fillId="39" borderId="11" applyNumberFormat="0" applyAlignment="0" applyProtection="0">
      <alignment vertical="center"/>
    </xf>
    <xf numFmtId="164" fontId="126" fillId="3" borderId="0" applyNumberFormat="0" applyBorder="0" applyAlignment="0" applyProtection="0">
      <alignment vertical="center"/>
    </xf>
    <xf numFmtId="164" fontId="173" fillId="43" borderId="0" applyNumberFormat="0" applyBorder="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156" fillId="37" borderId="0" applyNumberFormat="0" applyBorder="0" applyAlignment="0" applyProtection="0">
      <alignment vertical="center"/>
    </xf>
    <xf numFmtId="222" fontId="51" fillId="0" borderId="0" applyFill="0" applyBorder="0" applyAlignment="0"/>
    <xf numFmtId="216" fontId="51" fillId="0" borderId="0" applyFont="0" applyFill="0" applyBorder="0" applyAlignment="0" applyProtection="0"/>
    <xf numFmtId="219" fontId="51" fillId="0" borderId="0"/>
    <xf numFmtId="164" fontId="173" fillId="40" borderId="0" applyNumberFormat="0" applyBorder="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164" fontId="123" fillId="52" borderId="0" applyNumberFormat="0" applyBorder="0" applyAlignment="0" applyProtection="0">
      <alignment vertical="center"/>
    </xf>
    <xf numFmtId="164" fontId="188" fillId="36" borderId="0" applyNumberFormat="0" applyBorder="0" applyAlignment="0" applyProtection="0">
      <alignment vertical="center"/>
    </xf>
    <xf numFmtId="222" fontId="88" fillId="0" borderId="0" applyFill="0" applyBorder="0" applyAlignment="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56" fillId="40" borderId="0" applyNumberFormat="0" applyBorder="0" applyAlignment="0" applyProtection="0">
      <alignment vertical="center"/>
    </xf>
    <xf numFmtId="164" fontId="189" fillId="0" borderId="0" applyNumberFormat="0" applyFill="0" applyBorder="0" applyAlignment="0" applyProtection="0">
      <alignment vertical="center"/>
    </xf>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213" fontId="51" fillId="0" borderId="0" applyFill="0" applyBorder="0" applyAlignment="0"/>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164" fontId="156" fillId="65" borderId="27" applyNumberFormat="0" applyFont="0" applyAlignment="0" applyProtection="0">
      <alignment vertical="center"/>
    </xf>
    <xf numFmtId="213" fontId="51" fillId="0" borderId="0" applyFill="0" applyBorder="0" applyAlignment="0"/>
    <xf numFmtId="213" fontId="51" fillId="0" borderId="0" applyFill="0" applyBorder="0" applyAlignment="0"/>
    <xf numFmtId="164" fontId="126" fillId="3" borderId="0" applyNumberFormat="0" applyBorder="0" applyAlignment="0" applyProtection="0">
      <alignment vertical="center"/>
    </xf>
    <xf numFmtId="213" fontId="51" fillId="0" borderId="0" applyFill="0" applyBorder="0" applyAlignment="0"/>
    <xf numFmtId="164" fontId="123" fillId="41" borderId="0" applyNumberFormat="0" applyBorder="0" applyAlignment="0" applyProtection="0">
      <alignment vertical="center"/>
    </xf>
    <xf numFmtId="164" fontId="170" fillId="0" borderId="0" applyNumberFormat="0" applyFill="0" applyBorder="0" applyAlignment="0" applyProtection="0">
      <alignment vertical="center"/>
    </xf>
    <xf numFmtId="164" fontId="122" fillId="42" borderId="0" applyNumberFormat="0" applyBorder="0" applyAlignment="0" applyProtection="0">
      <alignment vertical="center"/>
    </xf>
    <xf numFmtId="218" fontId="51" fillId="0" borderId="0" applyFill="0" applyBorder="0" applyAlignment="0"/>
    <xf numFmtId="217" fontId="88" fillId="0" borderId="0" applyFill="0" applyBorder="0" applyAlignment="0"/>
    <xf numFmtId="164" fontId="173" fillId="41" borderId="0" applyNumberFormat="0" applyBorder="0" applyAlignment="0" applyProtection="0">
      <alignment vertical="center"/>
    </xf>
    <xf numFmtId="212" fontId="51" fillId="0" borderId="0" applyFill="0" applyBorder="0" applyAlignment="0"/>
    <xf numFmtId="220" fontId="88" fillId="0" borderId="0" applyFont="0" applyFill="0" applyBorder="0" applyAlignment="0" applyProtection="0"/>
    <xf numFmtId="164" fontId="173" fillId="43" borderId="0" applyNumberFormat="0" applyBorder="0" applyAlignment="0" applyProtection="0">
      <alignment vertical="center"/>
    </xf>
    <xf numFmtId="218" fontId="88" fillId="0" borderId="0" applyFill="0" applyBorder="0" applyAlignment="0"/>
    <xf numFmtId="217" fontId="88" fillId="0" borderId="0" applyFont="0" applyFill="0" applyBorder="0" applyAlignment="0" applyProtection="0"/>
    <xf numFmtId="164" fontId="124" fillId="61" borderId="0" applyNumberFormat="0" applyBorder="0" applyAlignment="0" applyProtection="0">
      <alignment vertical="center"/>
    </xf>
    <xf numFmtId="164" fontId="123" fillId="42" borderId="0" applyNumberFormat="0" applyBorder="0" applyAlignment="0" applyProtection="0">
      <alignment vertical="center"/>
    </xf>
    <xf numFmtId="164" fontId="161" fillId="0" borderId="0" applyNumberFormat="0" applyFill="0" applyBorder="0" applyAlignment="0" applyProtection="0">
      <alignment vertical="center"/>
    </xf>
    <xf numFmtId="218" fontId="51" fillId="0" borderId="0" applyFill="0" applyBorder="0" applyAlignment="0"/>
    <xf numFmtId="164" fontId="157" fillId="44" borderId="0" applyNumberFormat="0" applyBorder="0" applyAlignment="0" applyProtection="0">
      <alignment vertical="center"/>
    </xf>
    <xf numFmtId="164" fontId="174" fillId="44" borderId="0" applyNumberFormat="0" applyBorder="0" applyAlignment="0" applyProtection="0">
      <alignment vertical="center"/>
    </xf>
    <xf numFmtId="164" fontId="156" fillId="65" borderId="27" applyNumberFormat="0" applyFont="0" applyAlignment="0" applyProtection="0">
      <alignment vertical="center"/>
    </xf>
    <xf numFmtId="164" fontId="157" fillId="45" borderId="0" applyNumberFormat="0" applyBorder="0" applyAlignment="0" applyProtection="0">
      <alignment vertical="center"/>
    </xf>
    <xf numFmtId="164" fontId="157" fillId="47" borderId="0" applyNumberFormat="0" applyBorder="0" applyAlignment="0" applyProtection="0">
      <alignment vertical="center"/>
    </xf>
    <xf numFmtId="213" fontId="88" fillId="0" borderId="0" applyFill="0" applyBorder="0" applyAlignment="0"/>
    <xf numFmtId="217" fontId="51" fillId="0" borderId="0" applyFill="0" applyBorder="0" applyAlignment="0"/>
    <xf numFmtId="164" fontId="157" fillId="49" borderId="0" applyNumberFormat="0" applyBorder="0" applyAlignment="0" applyProtection="0">
      <alignment vertical="center"/>
    </xf>
    <xf numFmtId="164" fontId="156" fillId="42" borderId="0" applyNumberFormat="0" applyBorder="0" applyAlignment="0" applyProtection="0">
      <alignment vertical="center"/>
    </xf>
    <xf numFmtId="164" fontId="170" fillId="0" borderId="0" applyNumberFormat="0" applyFill="0" applyBorder="0" applyAlignment="0" applyProtection="0">
      <alignment vertical="center"/>
    </xf>
    <xf numFmtId="164" fontId="96" fillId="0" borderId="21"/>
    <xf numFmtId="213" fontId="88" fillId="0" borderId="0" applyFill="0" applyBorder="0" applyAlignment="0"/>
    <xf numFmtId="164" fontId="170" fillId="0" borderId="0" applyNumberFormat="0" applyFill="0" applyBorder="0" applyAlignment="0" applyProtection="0">
      <alignment vertical="center"/>
    </xf>
    <xf numFmtId="164" fontId="157" fillId="51" borderId="0" applyNumberFormat="0" applyBorder="0" applyAlignment="0" applyProtection="0">
      <alignment vertical="center"/>
    </xf>
    <xf numFmtId="164" fontId="156" fillId="38" borderId="0" applyNumberFormat="0" applyBorder="0" applyAlignment="0" applyProtection="0">
      <alignment vertical="center"/>
    </xf>
    <xf numFmtId="218" fontId="51" fillId="0" borderId="0" applyFill="0" applyBorder="0" applyAlignment="0"/>
    <xf numFmtId="164" fontId="123" fillId="46" borderId="0" applyNumberFormat="0" applyBorder="0" applyAlignment="0" applyProtection="0">
      <alignment vertical="center"/>
    </xf>
    <xf numFmtId="164" fontId="188" fillId="36" borderId="0" applyNumberFormat="0" applyBorder="0" applyAlignment="0" applyProtection="0">
      <alignment vertical="center"/>
    </xf>
    <xf numFmtId="164" fontId="63" fillId="0" borderId="21"/>
    <xf numFmtId="164" fontId="173" fillId="37" borderId="0" applyNumberFormat="0" applyBorder="0" applyAlignment="0" applyProtection="0">
      <alignment vertical="center"/>
    </xf>
    <xf numFmtId="218" fontId="88" fillId="0" borderId="0" applyFill="0" applyBorder="0" applyAlignment="0"/>
    <xf numFmtId="164" fontId="157" fillId="49" borderId="0" applyNumberFormat="0" applyBorder="0" applyAlignment="0" applyProtection="0">
      <alignment vertical="center"/>
    </xf>
    <xf numFmtId="218" fontId="51" fillId="0" borderId="0" applyFill="0" applyBorder="0" applyAlignment="0"/>
    <xf numFmtId="164" fontId="182" fillId="0" borderId="25" applyNumberFormat="0" applyFill="0" applyAlignment="0" applyProtection="0">
      <alignment vertical="center"/>
    </xf>
    <xf numFmtId="164" fontId="138" fillId="0" borderId="0" applyNumberFormat="0" applyFill="0" applyBorder="0" applyAlignment="0" applyProtection="0">
      <alignment vertical="center"/>
    </xf>
    <xf numFmtId="164" fontId="90" fillId="65" borderId="27" applyNumberFormat="0" applyFont="0" applyAlignment="0" applyProtection="0"/>
    <xf numFmtId="213" fontId="88" fillId="0" borderId="0" applyFont="0" applyFill="0" applyBorder="0" applyAlignment="0" applyProtection="0"/>
    <xf numFmtId="164" fontId="173" fillId="3" borderId="0" applyNumberFormat="0" applyBorder="0" applyAlignment="0" applyProtection="0">
      <alignment vertical="center"/>
    </xf>
    <xf numFmtId="213" fontId="88" fillId="0" borderId="0" applyFill="0" applyBorder="0" applyAlignment="0"/>
    <xf numFmtId="164" fontId="123" fillId="46" borderId="0" applyNumberFormat="0" applyBorder="0" applyAlignment="0" applyProtection="0">
      <alignment vertical="center"/>
    </xf>
    <xf numFmtId="217" fontId="51" fillId="0" borderId="0" applyFill="0" applyBorder="0" applyAlignment="0"/>
    <xf numFmtId="164" fontId="122" fillId="35" borderId="0" applyNumberFormat="0" applyBorder="0" applyAlignment="0" applyProtection="0">
      <alignment vertical="center"/>
    </xf>
    <xf numFmtId="164" fontId="122" fillId="41" borderId="0" applyNumberFormat="0" applyBorder="0" applyAlignment="0" applyProtection="0">
      <alignment vertical="center"/>
    </xf>
    <xf numFmtId="164" fontId="188" fillId="36" borderId="0" applyNumberFormat="0" applyBorder="0" applyAlignment="0" applyProtection="0">
      <alignment vertical="center"/>
    </xf>
    <xf numFmtId="164" fontId="184" fillId="0" borderId="15" applyNumberFormat="0" applyFill="0" applyAlignment="0" applyProtection="0">
      <alignment vertical="center"/>
    </xf>
    <xf numFmtId="164" fontId="176" fillId="0" borderId="28" applyNumberFormat="0" applyFill="0" applyAlignment="0" applyProtection="0">
      <alignment vertical="center"/>
    </xf>
    <xf numFmtId="164" fontId="156" fillId="35" borderId="0" applyNumberFormat="0" applyBorder="0" applyAlignment="0" applyProtection="0">
      <alignment vertical="center"/>
    </xf>
    <xf numFmtId="164" fontId="161" fillId="0" borderId="0" applyNumberFormat="0" applyFill="0" applyBorder="0" applyAlignment="0" applyProtection="0">
      <alignment vertical="center"/>
    </xf>
    <xf numFmtId="164" fontId="175" fillId="61"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217" fontId="88" fillId="0" borderId="0" applyFill="0" applyBorder="0" applyAlignment="0"/>
    <xf numFmtId="222" fontId="51" fillId="0" borderId="0" applyFill="0" applyBorder="0" applyAlignment="0"/>
    <xf numFmtId="216" fontId="51" fillId="0" borderId="0" applyFill="0" applyBorder="0" applyAlignment="0"/>
    <xf numFmtId="213" fontId="88" fillId="0" borderId="0" applyFill="0" applyBorder="0" applyAlignment="0"/>
    <xf numFmtId="216" fontId="88" fillId="0" borderId="0" applyFont="0" applyFill="0" applyBorder="0" applyAlignment="0" applyProtection="0"/>
    <xf numFmtId="217" fontId="51"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57" fillId="45" borderId="0" applyNumberFormat="0" applyBorder="0" applyAlignment="0" applyProtection="0">
      <alignment vertical="center"/>
    </xf>
    <xf numFmtId="217" fontId="51" fillId="0" borderId="0" applyFill="0" applyBorder="0" applyAlignment="0"/>
    <xf numFmtId="164" fontId="174" fillId="41" borderId="0" applyNumberFormat="0" applyBorder="0" applyAlignment="0" applyProtection="0">
      <alignment vertical="center"/>
    </xf>
    <xf numFmtId="213" fontId="51" fillId="0" borderId="0" applyFill="0" applyBorder="0" applyAlignment="0"/>
    <xf numFmtId="214" fontId="51" fillId="0" borderId="0" applyFill="0" applyBorder="0" applyAlignment="0"/>
    <xf numFmtId="164" fontId="163" fillId="0" borderId="25" applyNumberFormat="0" applyFill="0" applyAlignment="0" applyProtection="0">
      <alignment vertical="center"/>
    </xf>
    <xf numFmtId="164" fontId="182" fillId="0" borderId="25" applyNumberFormat="0" applyFill="0" applyAlignment="0" applyProtection="0">
      <alignment vertical="center"/>
    </xf>
    <xf numFmtId="164" fontId="157" fillId="50" borderId="0" applyNumberFormat="0" applyBorder="0" applyAlignment="0" applyProtection="0">
      <alignment vertical="center"/>
    </xf>
    <xf numFmtId="219" fontId="88" fillId="0" borderId="0"/>
    <xf numFmtId="164" fontId="156" fillId="43" borderId="0" applyNumberFormat="0" applyBorder="0" applyAlignment="0" applyProtection="0">
      <alignment vertical="center"/>
    </xf>
    <xf numFmtId="164" fontId="85" fillId="65" borderId="27" applyNumberFormat="0" applyFont="0" applyAlignment="0" applyProtection="0">
      <alignment vertical="center"/>
    </xf>
    <xf numFmtId="164" fontId="164" fillId="0" borderId="26" applyNumberFormat="0" applyFill="0" applyAlignment="0" applyProtection="0">
      <alignment vertical="center"/>
    </xf>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164" fontId="174" fillId="46" borderId="0" applyNumberFormat="0" applyBorder="0" applyAlignment="0" applyProtection="0">
      <alignment vertical="center"/>
    </xf>
    <xf numFmtId="213" fontId="51" fillId="0" borderId="0" applyFill="0" applyBorder="0" applyAlignment="0"/>
    <xf numFmtId="164" fontId="122" fillId="43" borderId="0" applyNumberFormat="0" applyBorder="0" applyAlignment="0" applyProtection="0">
      <alignment vertical="center"/>
    </xf>
    <xf numFmtId="164" fontId="135" fillId="53" borderId="20" applyNumberFormat="0" applyAlignment="0" applyProtection="0">
      <alignment vertical="center"/>
    </xf>
    <xf numFmtId="216" fontId="51" fillId="0" borderId="0" applyFill="0" applyBorder="0" applyAlignment="0"/>
    <xf numFmtId="164" fontId="174" fillId="47" borderId="0" applyNumberFormat="0" applyBorder="0" applyAlignment="0" applyProtection="0">
      <alignment vertical="center"/>
    </xf>
    <xf numFmtId="164" fontId="174" fillId="44" borderId="0" applyNumberFormat="0" applyBorder="0" applyAlignment="0" applyProtection="0">
      <alignment vertical="center"/>
    </xf>
    <xf numFmtId="164" fontId="123" fillId="45"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31" fillId="0" borderId="0">
      <alignment horizontal="center" wrapText="1"/>
      <protection locked="0"/>
    </xf>
    <xf numFmtId="164" fontId="124" fillId="61" borderId="0" applyNumberFormat="0" applyBorder="0" applyAlignment="0" applyProtection="0">
      <alignment vertical="center"/>
    </xf>
    <xf numFmtId="215" fontId="88" fillId="0" borderId="0" applyFill="0" applyBorder="0" applyAlignment="0"/>
    <xf numFmtId="164" fontId="156" fillId="37" borderId="0" applyNumberFormat="0" applyBorder="0" applyAlignment="0" applyProtection="0">
      <alignment vertical="center"/>
    </xf>
    <xf numFmtId="217" fontId="51" fillId="0" borderId="0" applyFill="0" applyBorder="0" applyAlignment="0"/>
    <xf numFmtId="200" fontId="88" fillId="57" borderId="0"/>
    <xf numFmtId="213" fontId="51" fillId="0" borderId="0" applyFont="0" applyFill="0" applyBorder="0" applyAlignment="0" applyProtection="0"/>
    <xf numFmtId="164" fontId="123" fillId="46" borderId="0" applyNumberFormat="0" applyBorder="0" applyAlignment="0" applyProtection="0">
      <alignment vertical="center"/>
    </xf>
    <xf numFmtId="164" fontId="168" fillId="61" borderId="0" applyNumberFormat="0" applyBorder="0" applyAlignment="0" applyProtection="0">
      <alignment vertical="center"/>
    </xf>
    <xf numFmtId="217" fontId="51" fillId="0" borderId="0" applyFill="0" applyBorder="0" applyAlignment="0"/>
    <xf numFmtId="164" fontId="173" fillId="35" borderId="0" applyNumberFormat="0" applyBorder="0" applyAlignment="0" applyProtection="0">
      <alignment vertical="center"/>
    </xf>
    <xf numFmtId="164" fontId="179" fillId="0" borderId="18" applyNumberFormat="0" applyFill="0" applyAlignment="0" applyProtection="0">
      <alignment vertical="center"/>
    </xf>
    <xf numFmtId="164" fontId="123" fillId="52" borderId="0" applyNumberFormat="0" applyBorder="0" applyAlignment="0" applyProtection="0">
      <alignment vertical="center"/>
    </xf>
    <xf numFmtId="164" fontId="157" fillId="47" borderId="0" applyNumberFormat="0" applyBorder="0" applyAlignment="0" applyProtection="0">
      <alignment vertical="center"/>
    </xf>
    <xf numFmtId="164" fontId="173" fillId="39" borderId="0" applyNumberFormat="0" applyBorder="0" applyAlignment="0" applyProtection="0">
      <alignment vertical="center"/>
    </xf>
    <xf numFmtId="164" fontId="174" fillId="50" borderId="0" applyNumberFormat="0" applyBorder="0" applyAlignment="0" applyProtection="0">
      <alignment vertical="center"/>
    </xf>
    <xf numFmtId="164" fontId="173" fillId="37" borderId="0" applyNumberFormat="0" applyBorder="0" applyAlignment="0" applyProtection="0">
      <alignment vertical="center"/>
    </xf>
    <xf numFmtId="164" fontId="181" fillId="0" borderId="0" applyNumberFormat="0" applyFill="0" applyBorder="0" applyAlignment="0" applyProtection="0">
      <alignment vertical="center"/>
    </xf>
    <xf numFmtId="221" fontId="88" fillId="0" borderId="0" applyFill="0" applyBorder="0" applyAlignment="0"/>
    <xf numFmtId="220" fontId="51" fillId="0" borderId="0" applyFont="0" applyFill="0" applyBorder="0" applyAlignment="0" applyProtection="0"/>
    <xf numFmtId="14" fontId="31" fillId="0" borderId="0">
      <alignment horizontal="center" wrapText="1"/>
      <protection locked="0"/>
    </xf>
    <xf numFmtId="164" fontId="175" fillId="61" borderId="0" applyNumberFormat="0" applyBorder="0" applyAlignment="0" applyProtection="0">
      <alignment vertical="center"/>
    </xf>
    <xf numFmtId="217" fontId="51" fillId="0" borderId="0" applyFill="0" applyBorder="0" applyAlignment="0"/>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86" fillId="53" borderId="20" applyNumberFormat="0" applyAlignment="0" applyProtection="0">
      <alignment vertical="center"/>
    </xf>
    <xf numFmtId="164" fontId="156" fillId="40" borderId="0" applyNumberFormat="0" applyBorder="0" applyAlignment="0" applyProtection="0">
      <alignment vertical="center"/>
    </xf>
    <xf numFmtId="164" fontId="173" fillId="42" borderId="0" applyNumberFormat="0" applyBorder="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3" fillId="49" borderId="0" applyNumberFormat="0" applyBorder="0" applyAlignment="0" applyProtection="0">
      <alignment vertical="center"/>
    </xf>
    <xf numFmtId="164" fontId="122" fillId="39" borderId="0" applyNumberFormat="0" applyBorder="0" applyAlignment="0" applyProtection="0">
      <alignment vertical="center"/>
    </xf>
    <xf numFmtId="164" fontId="166" fillId="39" borderId="11" applyNumberFormat="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164" fontId="185" fillId="39" borderId="11" applyNumberFormat="0" applyAlignment="0" applyProtection="0">
      <alignment vertical="center"/>
    </xf>
    <xf numFmtId="214" fontId="88" fillId="0" borderId="0" applyFill="0" applyBorder="0" applyAlignment="0"/>
    <xf numFmtId="164" fontId="31" fillId="0" borderId="0">
      <alignment horizontal="center" wrapText="1"/>
      <protection locked="0"/>
    </xf>
    <xf numFmtId="164" fontId="122" fillId="36" borderId="0" applyNumberFormat="0" applyBorder="0" applyAlignment="0" applyProtection="0">
      <alignment vertical="center"/>
    </xf>
    <xf numFmtId="200" fontId="88" fillId="58" borderId="0"/>
    <xf numFmtId="164" fontId="168" fillId="61" borderId="0" applyNumberFormat="0" applyBorder="0" applyAlignment="0" applyProtection="0">
      <alignment vertical="center"/>
    </xf>
    <xf numFmtId="212" fontId="88" fillId="0" borderId="0" applyFill="0" applyBorder="0" applyAlignment="0"/>
    <xf numFmtId="217" fontId="51" fillId="0" borderId="0" applyFill="0" applyBorder="0" applyAlignment="0"/>
    <xf numFmtId="200" fontId="51" fillId="58" borderId="0"/>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23" fillId="45" borderId="0" applyNumberFormat="0" applyBorder="0" applyAlignment="0" applyProtection="0">
      <alignment vertical="center"/>
    </xf>
    <xf numFmtId="164" fontId="63" fillId="0" borderId="21"/>
    <xf numFmtId="164" fontId="122" fillId="40" borderId="0" applyNumberFormat="0" applyBorder="0" applyAlignment="0" applyProtection="0">
      <alignment vertical="center"/>
    </xf>
    <xf numFmtId="164" fontId="123" fillId="42" borderId="0" applyNumberFormat="0" applyBorder="0" applyAlignment="0" applyProtection="0">
      <alignment vertical="center"/>
    </xf>
    <xf numFmtId="219" fontId="88" fillId="0" borderId="0"/>
    <xf numFmtId="212" fontId="88" fillId="0" borderId="0" applyFill="0" applyBorder="0" applyAlignment="0"/>
    <xf numFmtId="164" fontId="183" fillId="0" borderId="26" applyNumberFormat="0" applyFill="0" applyAlignment="0" applyProtection="0">
      <alignment vertical="center"/>
    </xf>
    <xf numFmtId="213" fontId="88" fillId="0" borderId="0" applyFill="0" applyBorder="0" applyAlignment="0"/>
    <xf numFmtId="164" fontId="164" fillId="0" borderId="26" applyNumberFormat="0" applyFill="0" applyAlignment="0" applyProtection="0">
      <alignment vertical="center"/>
    </xf>
    <xf numFmtId="164" fontId="156" fillId="3" borderId="0" applyNumberFormat="0" applyBorder="0" applyAlignment="0" applyProtection="0">
      <alignment vertical="center"/>
    </xf>
    <xf numFmtId="215" fontId="88" fillId="0" borderId="0" applyFill="0" applyBorder="0" applyAlignment="0"/>
    <xf numFmtId="164" fontId="157" fillId="46" borderId="0" applyNumberFormat="0" applyBorder="0" applyAlignment="0" applyProtection="0">
      <alignment vertical="center"/>
    </xf>
    <xf numFmtId="164" fontId="157" fillId="51" borderId="0" applyNumberFormat="0" applyBorder="0" applyAlignment="0" applyProtection="0">
      <alignment vertical="center"/>
    </xf>
    <xf numFmtId="164" fontId="126" fillId="3" borderId="0" applyNumberFormat="0" applyBorder="0" applyAlignment="0" applyProtection="0">
      <alignment vertical="center"/>
    </xf>
    <xf numFmtId="164" fontId="173" fillId="43" borderId="0" applyNumberFormat="0" applyBorder="0" applyAlignment="0" applyProtection="0">
      <alignment vertical="center"/>
    </xf>
    <xf numFmtId="164" fontId="165" fillId="0" borderId="0" applyNumberFormat="0" applyFill="0" applyBorder="0" applyAlignment="0" applyProtection="0">
      <alignment vertical="center"/>
    </xf>
    <xf numFmtId="164" fontId="90" fillId="65" borderId="27" applyNumberFormat="0" applyFont="0" applyAlignment="0" applyProtection="0"/>
    <xf numFmtId="164" fontId="173" fillId="42" borderId="0" applyNumberFormat="0" applyBorder="0" applyAlignment="0" applyProtection="0">
      <alignment vertical="center"/>
    </xf>
    <xf numFmtId="164" fontId="173" fillId="40" borderId="0" applyNumberFormat="0" applyBorder="0" applyAlignment="0" applyProtection="0">
      <alignment vertical="center"/>
    </xf>
    <xf numFmtId="222" fontId="51" fillId="0" borderId="0" applyFill="0" applyBorder="0" applyAlignment="0"/>
    <xf numFmtId="216" fontId="51" fillId="0" borderId="0" applyFont="0" applyFill="0" applyBorder="0" applyAlignment="0" applyProtection="0"/>
    <xf numFmtId="219" fontId="51" fillId="0" borderId="0"/>
    <xf numFmtId="164" fontId="173" fillId="40" borderId="0" applyNumberFormat="0" applyBorder="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214" fontId="51" fillId="0" borderId="0" applyFill="0" applyBorder="0" applyAlignment="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56" fillId="40" borderId="0" applyNumberFormat="0" applyBorder="0" applyAlignment="0" applyProtection="0">
      <alignment vertical="center"/>
    </xf>
    <xf numFmtId="164" fontId="170" fillId="0" borderId="0" applyNumberFormat="0" applyFill="0" applyBorder="0" applyAlignment="0" applyProtection="0">
      <alignment vertical="center"/>
    </xf>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164" fontId="156" fillId="65" borderId="27" applyNumberFormat="0" applyFont="0" applyAlignment="0" applyProtection="0">
      <alignment vertical="center"/>
    </xf>
    <xf numFmtId="164" fontId="181" fillId="0" borderId="0" applyNumberFormat="0" applyFill="0" applyBorder="0" applyAlignment="0" applyProtection="0">
      <alignment vertical="center"/>
    </xf>
    <xf numFmtId="213" fontId="51" fillId="0" borderId="0" applyFill="0" applyBorder="0" applyAlignment="0"/>
    <xf numFmtId="164" fontId="157" fillId="50" borderId="0" applyNumberFormat="0" applyBorder="0" applyAlignment="0" applyProtection="0">
      <alignment vertical="center"/>
    </xf>
    <xf numFmtId="213" fontId="88" fillId="0" borderId="0" applyFill="0" applyBorder="0" applyAlignment="0"/>
    <xf numFmtId="164" fontId="157" fillId="47" borderId="0" applyNumberFormat="0" applyBorder="0" applyAlignment="0" applyProtection="0">
      <alignment vertical="center"/>
    </xf>
    <xf numFmtId="164" fontId="122" fillId="42" borderId="0" applyNumberFormat="0" applyBorder="0" applyAlignment="0" applyProtection="0">
      <alignment vertical="center"/>
    </xf>
    <xf numFmtId="218" fontId="51" fillId="0" borderId="0" applyFill="0" applyBorder="0" applyAlignment="0"/>
    <xf numFmtId="164" fontId="173" fillId="41" borderId="0" applyNumberFormat="0" applyBorder="0" applyAlignment="0" applyProtection="0">
      <alignment vertical="center"/>
    </xf>
    <xf numFmtId="164" fontId="157" fillId="46" borderId="0" applyNumberFormat="0" applyBorder="0" applyAlignment="0" applyProtection="0">
      <alignment vertical="center"/>
    </xf>
    <xf numFmtId="164" fontId="156" fillId="65" borderId="27" applyNumberFormat="0" applyFont="0" applyAlignment="0" applyProtection="0">
      <alignment vertical="center"/>
    </xf>
    <xf numFmtId="164" fontId="122" fillId="41" borderId="0" applyNumberFormat="0" applyBorder="0" applyAlignment="0" applyProtection="0">
      <alignment vertical="center"/>
    </xf>
    <xf numFmtId="212" fontId="51" fillId="0" borderId="0" applyFill="0" applyBorder="0" applyAlignment="0"/>
    <xf numFmtId="218" fontId="88" fillId="0" borderId="0" applyFill="0" applyBorder="0" applyAlignment="0"/>
    <xf numFmtId="164" fontId="161" fillId="0" borderId="0" applyNumberFormat="0" applyFill="0" applyBorder="0" applyAlignment="0" applyProtection="0">
      <alignment vertical="center"/>
    </xf>
    <xf numFmtId="164" fontId="123" fillId="42" borderId="0" applyNumberFormat="0" applyBorder="0" applyAlignment="0" applyProtection="0">
      <alignment vertical="center"/>
    </xf>
    <xf numFmtId="218" fontId="51" fillId="0" borderId="0" applyFill="0" applyBorder="0" applyAlignment="0"/>
    <xf numFmtId="164" fontId="157" fillId="44" borderId="0" applyNumberFormat="0" applyBorder="0" applyAlignment="0" applyProtection="0">
      <alignment vertical="center"/>
    </xf>
    <xf numFmtId="164" fontId="174" fillId="44" borderId="0" applyNumberFormat="0" applyBorder="0" applyAlignment="0" applyProtection="0">
      <alignment vertical="center"/>
    </xf>
    <xf numFmtId="222" fontId="88" fillId="0" borderId="0" applyFill="0" applyBorder="0" applyAlignment="0"/>
    <xf numFmtId="164" fontId="157" fillId="47" borderId="0" applyNumberFormat="0" applyBorder="0" applyAlignment="0" applyProtection="0">
      <alignment vertical="center"/>
    </xf>
    <xf numFmtId="216" fontId="51" fillId="0" borderId="0" applyFont="0" applyFill="0" applyBorder="0" applyAlignment="0" applyProtection="0"/>
    <xf numFmtId="212" fontId="51" fillId="0" borderId="0" applyFill="0" applyBorder="0" applyAlignment="0"/>
    <xf numFmtId="164" fontId="123" fillId="45" borderId="0" applyNumberFormat="0" applyBorder="0" applyAlignment="0" applyProtection="0">
      <alignment vertical="center"/>
    </xf>
    <xf numFmtId="164" fontId="123" fillId="44" borderId="0" applyNumberFormat="0" applyBorder="0" applyAlignment="0" applyProtection="0">
      <alignment vertical="center"/>
    </xf>
    <xf numFmtId="164" fontId="156" fillId="42" borderId="0" applyNumberFormat="0" applyBorder="0" applyAlignment="0" applyProtection="0">
      <alignment vertical="center"/>
    </xf>
    <xf numFmtId="164" fontId="30" fillId="0" borderId="23"/>
    <xf numFmtId="217" fontId="88" fillId="0" borderId="0" applyFill="0" applyBorder="0" applyAlignment="0"/>
    <xf numFmtId="164" fontId="157" fillId="41" borderId="0" applyNumberFormat="0" applyBorder="0" applyAlignment="0" applyProtection="0">
      <alignment vertical="center"/>
    </xf>
    <xf numFmtId="164" fontId="122" fillId="41" borderId="0" applyNumberFormat="0" applyBorder="0" applyAlignment="0" applyProtection="0">
      <alignment vertical="center"/>
    </xf>
    <xf numFmtId="164" fontId="156" fillId="65" borderId="27" applyNumberFormat="0" applyFont="0" applyAlignment="0" applyProtection="0">
      <alignment vertical="center"/>
    </xf>
    <xf numFmtId="164" fontId="156" fillId="38" borderId="0" applyNumberFormat="0" applyBorder="0" applyAlignment="0" applyProtection="0">
      <alignment vertical="center"/>
    </xf>
    <xf numFmtId="213" fontId="51" fillId="0" borderId="0" applyFill="0" applyBorder="0" applyAlignment="0"/>
    <xf numFmtId="164" fontId="157" fillId="46" borderId="0" applyNumberFormat="0" applyBorder="0" applyAlignment="0" applyProtection="0">
      <alignment vertical="center"/>
    </xf>
    <xf numFmtId="164" fontId="188" fillId="36" borderId="0" applyNumberFormat="0" applyBorder="0" applyAlignment="0" applyProtection="0">
      <alignment vertical="center"/>
    </xf>
    <xf numFmtId="213" fontId="88" fillId="0" borderId="0" applyFill="0" applyBorder="0" applyAlignment="0"/>
    <xf numFmtId="164" fontId="174" fillId="52" borderId="0" applyNumberFormat="0" applyBorder="0" applyAlignment="0" applyProtection="0">
      <alignment vertical="center"/>
    </xf>
    <xf numFmtId="218" fontId="88" fillId="0" borderId="0" applyFill="0" applyBorder="0" applyAlignment="0"/>
    <xf numFmtId="164" fontId="177" fillId="3" borderId="0" applyNumberFormat="0" applyBorder="0" applyAlignment="0" applyProtection="0">
      <alignment vertical="center"/>
    </xf>
    <xf numFmtId="212" fontId="51" fillId="0" borderId="0" applyFill="0" applyBorder="0" applyAlignment="0"/>
    <xf numFmtId="164" fontId="182" fillId="0" borderId="25" applyNumberFormat="0" applyFill="0" applyAlignment="0" applyProtection="0">
      <alignment vertical="center"/>
    </xf>
    <xf numFmtId="164" fontId="138" fillId="0" borderId="0" applyNumberFormat="0" applyFill="0" applyBorder="0" applyAlignment="0" applyProtection="0">
      <alignment vertical="center"/>
    </xf>
    <xf numFmtId="164" fontId="174" fillId="50" borderId="0" applyNumberFormat="0" applyBorder="0" applyAlignment="0" applyProtection="0">
      <alignment vertical="center"/>
    </xf>
    <xf numFmtId="213" fontId="88" fillId="0" borderId="0" applyFont="0" applyFill="0" applyBorder="0" applyAlignment="0" applyProtection="0"/>
    <xf numFmtId="164" fontId="173" fillId="3" borderId="0" applyNumberFormat="0" applyBorder="0" applyAlignment="0" applyProtection="0">
      <alignment vertical="center"/>
    </xf>
    <xf numFmtId="164" fontId="122" fillId="37" borderId="0" applyNumberFormat="0" applyBorder="0" applyAlignment="0" applyProtection="0">
      <alignment vertical="center"/>
    </xf>
    <xf numFmtId="213" fontId="88" fillId="0" borderId="0" applyFill="0" applyBorder="0" applyAlignment="0"/>
    <xf numFmtId="164" fontId="124" fillId="61" borderId="0" applyNumberFormat="0" applyBorder="0" applyAlignment="0" applyProtection="0">
      <alignment vertical="center"/>
    </xf>
    <xf numFmtId="164" fontId="30" fillId="0" borderId="23"/>
    <xf numFmtId="217" fontId="51" fillId="0" borderId="0" applyFill="0" applyBorder="0" applyAlignment="0"/>
    <xf numFmtId="164" fontId="184" fillId="0" borderId="15" applyNumberFormat="0" applyFill="0" applyAlignment="0" applyProtection="0">
      <alignment vertical="center"/>
    </xf>
    <xf numFmtId="164" fontId="176" fillId="0" borderId="28" applyNumberFormat="0" applyFill="0" applyAlignment="0" applyProtection="0">
      <alignment vertical="center"/>
    </xf>
    <xf numFmtId="217" fontId="88" fillId="0" borderId="0" applyFill="0" applyBorder="0" applyAlignment="0"/>
    <xf numFmtId="217" fontId="88" fillId="0" borderId="0" applyFont="0" applyFill="0" applyBorder="0" applyAlignment="0" applyProtection="0"/>
    <xf numFmtId="164" fontId="175" fillId="61"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213" fontId="88" fillId="0" borderId="0" applyFill="0" applyBorder="0" applyAlignment="0"/>
    <xf numFmtId="164" fontId="171" fillId="0" borderId="28" applyNumberFormat="0" applyFill="0" applyAlignment="0" applyProtection="0">
      <alignment vertical="center"/>
    </xf>
    <xf numFmtId="218" fontId="51"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22" fillId="3" borderId="0" applyNumberFormat="0" applyBorder="0" applyAlignment="0" applyProtection="0">
      <alignment vertical="center"/>
    </xf>
    <xf numFmtId="164" fontId="122" fillId="38" borderId="0" applyNumberFormat="0" applyBorder="0" applyAlignment="0" applyProtection="0">
      <alignment vertical="center"/>
    </xf>
    <xf numFmtId="164" fontId="157" fillId="45" borderId="0" applyNumberFormat="0" applyBorder="0" applyAlignment="0" applyProtection="0">
      <alignment vertical="center"/>
    </xf>
    <xf numFmtId="217" fontId="51" fillId="0" borderId="0" applyFill="0" applyBorder="0" applyAlignment="0"/>
    <xf numFmtId="164" fontId="174" fillId="41" borderId="0" applyNumberFormat="0" applyBorder="0" applyAlignment="0" applyProtection="0">
      <alignment vertical="center"/>
    </xf>
    <xf numFmtId="213" fontId="88" fillId="0" borderId="0" applyFill="0" applyBorder="0" applyAlignment="0"/>
    <xf numFmtId="219" fontId="51" fillId="0" borderId="0"/>
    <xf numFmtId="164" fontId="127" fillId="53" borderId="11" applyNumberFormat="0" applyAlignment="0" applyProtection="0">
      <alignment vertical="center"/>
    </xf>
    <xf numFmtId="213" fontId="51" fillId="0" borderId="0" applyFill="0" applyBorder="0" applyAlignment="0"/>
    <xf numFmtId="164" fontId="137" fillId="36" borderId="0" applyNumberFormat="0" applyBorder="0" applyAlignment="0" applyProtection="0">
      <alignment vertical="center"/>
    </xf>
    <xf numFmtId="214" fontId="88" fillId="0" borderId="0" applyFill="0" applyBorder="0" applyAlignment="0"/>
    <xf numFmtId="164" fontId="170" fillId="0" borderId="0" applyNumberFormat="0" applyFill="0" applyBorder="0" applyAlignment="0" applyProtection="0">
      <alignment vertical="center"/>
    </xf>
    <xf numFmtId="164" fontId="173" fillId="41" borderId="0" applyNumberFormat="0" applyBorder="0" applyAlignment="0" applyProtection="0">
      <alignment vertical="center"/>
    </xf>
    <xf numFmtId="164" fontId="169" fillId="53" borderId="20" applyNumberFormat="0" applyAlignment="0" applyProtection="0">
      <alignment vertical="center"/>
    </xf>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213" fontId="51" fillId="0" borderId="0" applyFill="0" applyBorder="0" applyAlignment="0"/>
    <xf numFmtId="164" fontId="122" fillId="43" borderId="0" applyNumberFormat="0" applyBorder="0" applyAlignment="0" applyProtection="0">
      <alignment vertical="center"/>
    </xf>
    <xf numFmtId="164" fontId="173" fillId="37" borderId="0" applyNumberFormat="0" applyBorder="0" applyAlignment="0" applyProtection="0">
      <alignment vertical="center"/>
    </xf>
    <xf numFmtId="216" fontId="51" fillId="0" borderId="0" applyFill="0" applyBorder="0" applyAlignment="0"/>
    <xf numFmtId="164" fontId="174" fillId="47" borderId="0" applyNumberFormat="0" applyBorder="0" applyAlignment="0" applyProtection="0">
      <alignment vertical="center"/>
    </xf>
    <xf numFmtId="164" fontId="122" fillId="3" borderId="0" applyNumberFormat="0" applyBorder="0" applyAlignment="0" applyProtection="0">
      <alignment vertical="center"/>
    </xf>
    <xf numFmtId="217" fontId="51" fillId="0" borderId="0" applyFont="0" applyFill="0" applyBorder="0" applyAlignment="0" applyProtection="0"/>
    <xf numFmtId="164" fontId="123" fillId="45" borderId="0" applyNumberFormat="0" applyBorder="0" applyAlignment="0" applyProtection="0">
      <alignment vertical="center"/>
    </xf>
    <xf numFmtId="164" fontId="174" fillId="50" borderId="0" applyNumberFormat="0" applyBorder="0" applyAlignment="0" applyProtection="0">
      <alignment vertical="center"/>
    </xf>
    <xf numFmtId="218" fontId="51" fillId="0" borderId="0" applyFill="0" applyBorder="0" applyAlignment="0"/>
    <xf numFmtId="164" fontId="31" fillId="0" borderId="0">
      <alignment horizontal="center" wrapText="1"/>
      <protection locked="0"/>
    </xf>
    <xf numFmtId="218" fontId="51" fillId="0" borderId="0" applyFill="0" applyBorder="0" applyAlignment="0"/>
    <xf numFmtId="164" fontId="174" fillId="46" borderId="0" applyNumberFormat="0" applyBorder="0" applyAlignment="0" applyProtection="0">
      <alignment vertical="center"/>
    </xf>
    <xf numFmtId="164" fontId="156" fillId="37" borderId="0" applyNumberFormat="0" applyBorder="0" applyAlignment="0" applyProtection="0">
      <alignment vertical="center"/>
    </xf>
    <xf numFmtId="164" fontId="181" fillId="0" borderId="0" applyNumberFormat="0" applyFill="0" applyBorder="0" applyAlignment="0" applyProtection="0">
      <alignment vertical="center"/>
    </xf>
    <xf numFmtId="200" fontId="88" fillId="57" borderId="0"/>
    <xf numFmtId="213" fontId="51" fillId="0" borderId="0" applyFont="0" applyFill="0" applyBorder="0" applyAlignment="0" applyProtection="0"/>
    <xf numFmtId="217" fontId="51" fillId="0" borderId="0" applyFill="0" applyBorder="0" applyAlignment="0"/>
    <xf numFmtId="164" fontId="170" fillId="0" borderId="0" applyNumberFormat="0" applyFill="0" applyBorder="0" applyAlignment="0" applyProtection="0">
      <alignment vertical="center"/>
    </xf>
    <xf numFmtId="217" fontId="51" fillId="0" borderId="0" applyFill="0" applyBorder="0" applyAlignment="0"/>
    <xf numFmtId="164" fontId="173" fillId="35" borderId="0" applyNumberFormat="0" applyBorder="0" applyAlignment="0" applyProtection="0">
      <alignment vertical="center"/>
    </xf>
    <xf numFmtId="164" fontId="174" fillId="46" borderId="0" applyNumberFormat="0" applyBorder="0" applyAlignment="0" applyProtection="0">
      <alignment vertical="center"/>
    </xf>
    <xf numFmtId="164" fontId="125" fillId="0" borderId="28" applyNumberFormat="0" applyFill="0" applyAlignment="0" applyProtection="0">
      <alignment vertical="center"/>
    </xf>
    <xf numFmtId="217" fontId="88" fillId="0" borderId="0" applyFill="0" applyBorder="0" applyAlignment="0"/>
    <xf numFmtId="164" fontId="157" fillId="47" borderId="0" applyNumberFormat="0" applyBorder="0" applyAlignment="0" applyProtection="0">
      <alignment vertical="center"/>
    </xf>
    <xf numFmtId="164" fontId="173" fillId="39" borderId="0" applyNumberFormat="0" applyBorder="0" applyAlignment="0" applyProtection="0">
      <alignment vertical="center"/>
    </xf>
    <xf numFmtId="164" fontId="184" fillId="0" borderId="15" applyNumberFormat="0" applyFill="0" applyAlignment="0" applyProtection="0">
      <alignment vertical="center"/>
    </xf>
    <xf numFmtId="164" fontId="173" fillId="37" borderId="0" applyNumberFormat="0" applyBorder="0" applyAlignment="0" applyProtection="0">
      <alignment vertical="center"/>
    </xf>
    <xf numFmtId="164" fontId="173" fillId="37" borderId="0" applyNumberFormat="0" applyBorder="0" applyAlignment="0" applyProtection="0">
      <alignment vertical="center"/>
    </xf>
    <xf numFmtId="164" fontId="181" fillId="0" borderId="0" applyNumberFormat="0" applyFill="0" applyBorder="0" applyAlignment="0" applyProtection="0">
      <alignment vertical="center"/>
    </xf>
    <xf numFmtId="164" fontId="172" fillId="0" borderId="0" applyNumberFormat="0" applyFill="0" applyBorder="0" applyAlignment="0" applyProtection="0">
      <alignment vertical="center"/>
    </xf>
    <xf numFmtId="220" fontId="51" fillId="0" borderId="0" applyFont="0" applyFill="0" applyBorder="0" applyAlignment="0" applyProtection="0"/>
    <xf numFmtId="14" fontId="31" fillId="0" borderId="0">
      <alignment horizontal="center" wrapText="1"/>
      <protection locked="0"/>
    </xf>
    <xf numFmtId="200" fontId="51" fillId="57" borderId="0"/>
    <xf numFmtId="213" fontId="51" fillId="0" borderId="0" applyFill="0" applyBorder="0" applyAlignment="0"/>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23" fillId="46" borderId="0" applyNumberFormat="0" applyBorder="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2" fillId="39" borderId="0" applyNumberFormat="0" applyBorder="0" applyAlignment="0" applyProtection="0">
      <alignment vertical="center"/>
    </xf>
    <xf numFmtId="164" fontId="166" fillId="39" borderId="11" applyNumberFormat="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222" fontId="51" fillId="0" borderId="0" applyFill="0" applyBorder="0" applyAlignment="0"/>
    <xf numFmtId="164" fontId="122" fillId="40" borderId="0" applyNumberFormat="0" applyBorder="0" applyAlignment="0" applyProtection="0">
      <alignment vertical="center"/>
    </xf>
    <xf numFmtId="164" fontId="156" fillId="39" borderId="0" applyNumberFormat="0" applyBorder="0" applyAlignment="0" applyProtection="0">
      <alignment vertical="center"/>
    </xf>
    <xf numFmtId="14" fontId="31" fillId="0" borderId="0">
      <alignment horizontal="center" wrapText="1"/>
      <protection locked="0"/>
    </xf>
    <xf numFmtId="164" fontId="122" fillId="36" borderId="0" applyNumberFormat="0" applyBorder="0" applyAlignment="0" applyProtection="0">
      <alignment vertical="center"/>
    </xf>
    <xf numFmtId="200" fontId="88" fillId="58" borderId="0"/>
    <xf numFmtId="164" fontId="157" fillId="46" borderId="0" applyNumberFormat="0" applyBorder="0" applyAlignment="0" applyProtection="0">
      <alignment vertical="center"/>
    </xf>
    <xf numFmtId="164" fontId="183" fillId="0" borderId="26" applyNumberFormat="0" applyFill="0" applyAlignment="0" applyProtection="0">
      <alignment vertical="center"/>
    </xf>
    <xf numFmtId="164" fontId="174" fillId="52" borderId="0" applyNumberFormat="0" applyBorder="0" applyAlignment="0" applyProtection="0">
      <alignment vertical="center"/>
    </xf>
    <xf numFmtId="164" fontId="173" fillId="37" borderId="0" applyNumberFormat="0" applyBorder="0" applyAlignment="0" applyProtection="0">
      <alignment vertical="center"/>
    </xf>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23" fillId="45" borderId="0" applyNumberFormat="0" applyBorder="0" applyAlignment="0" applyProtection="0">
      <alignment vertical="center"/>
    </xf>
    <xf numFmtId="164" fontId="63" fillId="0" borderId="21"/>
    <xf numFmtId="164" fontId="122" fillId="40" borderId="0" applyNumberFormat="0" applyBorder="0" applyAlignment="0" applyProtection="0">
      <alignment vertical="center"/>
    </xf>
    <xf numFmtId="213" fontId="51" fillId="0" borderId="0" applyFill="0" applyBorder="0" applyAlignment="0"/>
    <xf numFmtId="218" fontId="88" fillId="0" borderId="0" applyFill="0" applyBorder="0" applyAlignment="0"/>
    <xf numFmtId="212" fontId="88" fillId="0" borderId="0" applyFill="0" applyBorder="0" applyAlignment="0"/>
    <xf numFmtId="217" fontId="51" fillId="0" borderId="0" applyFill="0" applyBorder="0" applyAlignment="0"/>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213" fontId="51" fillId="0" borderId="0" applyFill="0" applyBorder="0" applyAlignment="0"/>
    <xf numFmtId="164" fontId="156" fillId="3" borderId="0" applyNumberFormat="0" applyBorder="0" applyAlignment="0" applyProtection="0">
      <alignment vertical="center"/>
    </xf>
    <xf numFmtId="200" fontId="51" fillId="57" borderId="0"/>
    <xf numFmtId="164" fontId="168" fillId="61" borderId="0" applyNumberFormat="0" applyBorder="0" applyAlignment="0" applyProtection="0">
      <alignment vertical="center"/>
    </xf>
    <xf numFmtId="217" fontId="51" fillId="0" borderId="0" applyFont="0" applyFill="0" applyBorder="0" applyAlignment="0" applyProtection="0"/>
    <xf numFmtId="164" fontId="136" fillId="54" borderId="12" applyNumberFormat="0" applyAlignment="0" applyProtection="0">
      <alignment vertical="center"/>
    </xf>
    <xf numFmtId="164" fontId="174" fillId="51" borderId="0" applyNumberFormat="0" applyBorder="0" applyAlignment="0" applyProtection="0">
      <alignment vertical="center"/>
    </xf>
    <xf numFmtId="164" fontId="180" fillId="0" borderId="0" applyNumberFormat="0" applyFill="0" applyBorder="0" applyAlignment="0" applyProtection="0">
      <alignment vertical="center"/>
    </xf>
    <xf numFmtId="164" fontId="173" fillId="43" borderId="0" applyNumberFormat="0" applyBorder="0" applyAlignment="0" applyProtection="0">
      <alignment vertical="center"/>
    </xf>
    <xf numFmtId="200" fontId="88" fillId="57" borderId="0"/>
    <xf numFmtId="164" fontId="85" fillId="65" borderId="27" applyNumberFormat="0" applyFont="0" applyAlignment="0" applyProtection="0">
      <alignment vertical="center"/>
    </xf>
    <xf numFmtId="222" fontId="51" fillId="0" borderId="0" applyFill="0" applyBorder="0" applyAlignment="0"/>
    <xf numFmtId="216" fontId="51" fillId="0" borderId="0" applyFont="0" applyFill="0" applyBorder="0" applyAlignment="0" applyProtection="0"/>
    <xf numFmtId="219" fontId="51" fillId="0" borderId="0"/>
    <xf numFmtId="164" fontId="173" fillId="40" borderId="0" applyNumberFormat="0" applyBorder="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164" fontId="170" fillId="0" borderId="0" applyNumberFormat="0" applyFill="0" applyBorder="0" applyAlignment="0" applyProtection="0">
      <alignment vertical="center"/>
    </xf>
    <xf numFmtId="164" fontId="125" fillId="0" borderId="28" applyNumberFormat="0" applyFill="0" applyAlignment="0" applyProtection="0">
      <alignment vertical="center"/>
    </xf>
    <xf numFmtId="217" fontId="51" fillId="0" borderId="0" applyFill="0" applyBorder="0" applyAlignment="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56" fillId="40" borderId="0" applyNumberFormat="0" applyBorder="0" applyAlignment="0" applyProtection="0">
      <alignment vertical="center"/>
    </xf>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164" fontId="156" fillId="65" borderId="27" applyNumberFormat="0" applyFont="0" applyAlignment="0" applyProtection="0">
      <alignment vertical="center"/>
    </xf>
    <xf numFmtId="164" fontId="174" fillId="47" borderId="0" applyNumberFormat="0" applyBorder="0" applyAlignment="0" applyProtection="0">
      <alignment vertical="center"/>
    </xf>
    <xf numFmtId="164" fontId="123" fillId="49" borderId="0" applyNumberFormat="0" applyBorder="0" applyAlignment="0" applyProtection="0">
      <alignment vertical="center"/>
    </xf>
    <xf numFmtId="164" fontId="134" fillId="39" borderId="11" applyNumberFormat="0" applyAlignment="0" applyProtection="0">
      <alignment vertical="center"/>
    </xf>
    <xf numFmtId="213" fontId="51" fillId="0" borderId="0" applyFill="0" applyBorder="0" applyAlignment="0"/>
    <xf numFmtId="164" fontId="156" fillId="42" borderId="0" applyNumberFormat="0" applyBorder="0" applyAlignment="0" applyProtection="0">
      <alignment vertical="center"/>
    </xf>
    <xf numFmtId="218" fontId="51" fillId="0" borderId="0" applyFill="0" applyBorder="0" applyAlignment="0"/>
    <xf numFmtId="164" fontId="168" fillId="61" borderId="0" applyNumberFormat="0" applyBorder="0" applyAlignment="0" applyProtection="0">
      <alignment vertical="center"/>
    </xf>
    <xf numFmtId="164" fontId="173" fillId="41" borderId="0" applyNumberFormat="0" applyBorder="0" applyAlignment="0" applyProtection="0">
      <alignment vertical="center"/>
    </xf>
    <xf numFmtId="218" fontId="88" fillId="0" borderId="0" applyFill="0" applyBorder="0" applyAlignment="0"/>
    <xf numFmtId="214" fontId="88" fillId="0" borderId="0" applyFill="0" applyBorder="0" applyAlignment="0"/>
    <xf numFmtId="164" fontId="136" fillId="54" borderId="12" applyNumberFormat="0" applyAlignment="0" applyProtection="0">
      <alignment vertical="center"/>
    </xf>
    <xf numFmtId="218" fontId="88" fillId="0" borderId="0" applyFill="0" applyBorder="0" applyAlignment="0"/>
    <xf numFmtId="164" fontId="174" fillId="44" borderId="0" applyNumberFormat="0" applyBorder="0" applyAlignment="0" applyProtection="0">
      <alignment vertical="center"/>
    </xf>
    <xf numFmtId="164" fontId="156" fillId="43"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164" fontId="187" fillId="54" borderId="12" applyNumberFormat="0" applyAlignment="0" applyProtection="0">
      <alignment vertical="center"/>
    </xf>
    <xf numFmtId="164" fontId="157" fillId="44"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21" fontId="51" fillId="0" borderId="0" applyFill="0" applyBorder="0" applyAlignment="0"/>
    <xf numFmtId="215" fontId="51" fillId="0" borderId="0" applyFill="0" applyBorder="0" applyAlignment="0"/>
    <xf numFmtId="164" fontId="128" fillId="0" borderId="18" applyNumberFormat="0" applyFill="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86" fillId="53" borderId="20" applyNumberFormat="0" applyAlignment="0" applyProtection="0">
      <alignment vertical="center"/>
    </xf>
    <xf numFmtId="164" fontId="123" fillId="47" borderId="0" applyNumberFormat="0" applyBorder="0" applyAlignment="0" applyProtection="0">
      <alignment vertical="center"/>
    </xf>
    <xf numFmtId="164" fontId="178" fillId="53" borderId="11" applyNumberFormat="0" applyAlignment="0" applyProtection="0">
      <alignment vertical="center"/>
    </xf>
    <xf numFmtId="14" fontId="31" fillId="0" borderId="0">
      <alignment horizontal="center" wrapText="1"/>
      <protection locked="0"/>
    </xf>
    <xf numFmtId="164" fontId="156" fillId="38" borderId="0" applyNumberFormat="0" applyBorder="0" applyAlignment="0" applyProtection="0">
      <alignment vertical="center"/>
    </xf>
    <xf numFmtId="213" fontId="88" fillId="0" borderId="0" applyFill="0" applyBorder="0" applyAlignment="0"/>
    <xf numFmtId="164" fontId="157" fillId="47"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218" fontId="88" fillId="0" borderId="0" applyFill="0" applyBorder="0" applyAlignment="0"/>
    <xf numFmtId="213" fontId="51" fillId="0" borderId="0" applyFill="0" applyBorder="0" applyAlignment="0"/>
    <xf numFmtId="164" fontId="163" fillId="0" borderId="25" applyNumberFormat="0" applyFill="0" applyAlignment="0" applyProtection="0">
      <alignment vertical="center"/>
    </xf>
    <xf numFmtId="164" fontId="182" fillId="0" borderId="25" applyNumberFormat="0" applyFill="0" applyAlignment="0" applyProtection="0">
      <alignment vertical="center"/>
    </xf>
    <xf numFmtId="164" fontId="138" fillId="0" borderId="0" applyNumberFormat="0" applyFill="0" applyBorder="0" applyAlignment="0" applyProtection="0">
      <alignment vertical="center"/>
    </xf>
    <xf numFmtId="164" fontId="157" fillId="46" borderId="0" applyNumberFormat="0" applyBorder="0" applyAlignment="0" applyProtection="0">
      <alignment vertical="center"/>
    </xf>
    <xf numFmtId="214" fontId="88" fillId="0" borderId="0" applyFill="0" applyBorder="0" applyAlignment="0"/>
    <xf numFmtId="164" fontId="173" fillId="3" borderId="0" applyNumberFormat="0" applyBorder="0" applyAlignment="0" applyProtection="0">
      <alignment vertical="center"/>
    </xf>
    <xf numFmtId="164" fontId="123" fillId="41" borderId="0" applyNumberFormat="0" applyBorder="0" applyAlignment="0" applyProtection="0">
      <alignment vertical="center"/>
    </xf>
    <xf numFmtId="213" fontId="88" fillId="0" borderId="0" applyFill="0" applyBorder="0" applyAlignment="0"/>
    <xf numFmtId="214" fontId="51" fillId="0" borderId="0" applyFill="0" applyBorder="0" applyAlignment="0"/>
    <xf numFmtId="164" fontId="127" fillId="53" borderId="11" applyNumberFormat="0" applyAlignment="0" applyProtection="0">
      <alignment vertical="center"/>
    </xf>
    <xf numFmtId="217" fontId="51" fillId="0" borderId="0" applyFill="0" applyBorder="0" applyAlignment="0"/>
    <xf numFmtId="218" fontId="51" fillId="0" borderId="0" applyFill="0" applyBorder="0" applyAlignment="0"/>
    <xf numFmtId="164" fontId="175" fillId="61" borderId="0" applyNumberFormat="0" applyBorder="0" applyAlignment="0" applyProtection="0">
      <alignment vertical="center"/>
    </xf>
    <xf numFmtId="164" fontId="157" fillId="51" borderId="0" applyNumberFormat="0" applyBorder="0" applyAlignment="0" applyProtection="0">
      <alignment vertical="center"/>
    </xf>
    <xf numFmtId="164" fontId="184" fillId="0" borderId="15" applyNumberFormat="0" applyFill="0" applyAlignment="0" applyProtection="0">
      <alignment vertical="center"/>
    </xf>
    <xf numFmtId="164" fontId="176" fillId="0" borderId="28" applyNumberFormat="0" applyFill="0" applyAlignment="0" applyProtection="0">
      <alignment vertical="center"/>
    </xf>
    <xf numFmtId="216" fontId="88" fillId="0" borderId="0" applyFont="0" applyFill="0" applyBorder="0" applyAlignment="0" applyProtection="0"/>
    <xf numFmtId="216" fontId="51" fillId="0" borderId="0" applyFill="0" applyBorder="0" applyAlignment="0"/>
    <xf numFmtId="164" fontId="175" fillId="61"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1" fillId="0" borderId="28" applyNumberFormat="0" applyFill="0" applyAlignment="0" applyProtection="0">
      <alignment vertical="center"/>
    </xf>
    <xf numFmtId="217" fontId="88" fillId="0" borderId="0" applyFill="0" applyBorder="0" applyAlignment="0"/>
    <xf numFmtId="164" fontId="172" fillId="0" borderId="0" applyNumberFormat="0" applyFill="0" applyBorder="0" applyAlignment="0" applyProtection="0">
      <alignment vertical="center"/>
    </xf>
    <xf numFmtId="217" fontId="88"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217" fontId="51" fillId="0" borderId="0" applyFill="0" applyBorder="0" applyAlignment="0"/>
    <xf numFmtId="164" fontId="122" fillId="38" borderId="0" applyNumberFormat="0" applyBorder="0" applyAlignment="0" applyProtection="0">
      <alignment vertical="center"/>
    </xf>
    <xf numFmtId="164" fontId="157" fillId="45" borderId="0" applyNumberFormat="0" applyBorder="0" applyAlignment="0" applyProtection="0">
      <alignment vertical="center"/>
    </xf>
    <xf numFmtId="212" fontId="51" fillId="0" borderId="0" applyFill="0" applyBorder="0" applyAlignment="0"/>
    <xf numFmtId="164" fontId="182" fillId="0" borderId="25" applyNumberFormat="0" applyFill="0" applyAlignment="0" applyProtection="0">
      <alignment vertical="center"/>
    </xf>
    <xf numFmtId="164" fontId="174" fillId="41" borderId="0" applyNumberFormat="0" applyBorder="0" applyAlignment="0" applyProtection="0">
      <alignment vertical="center"/>
    </xf>
    <xf numFmtId="164" fontId="169" fillId="53" borderId="20" applyNumberFormat="0" applyAlignment="0" applyProtection="0">
      <alignment vertical="center"/>
    </xf>
    <xf numFmtId="164" fontId="125" fillId="0" borderId="28" applyNumberFormat="0" applyFill="0" applyAlignment="0" applyProtection="0">
      <alignment vertical="center"/>
    </xf>
    <xf numFmtId="217" fontId="51" fillId="0" borderId="0" applyFill="0" applyBorder="0" applyAlignment="0"/>
    <xf numFmtId="218" fontId="51" fillId="0" borderId="0" applyFill="0" applyBorder="0" applyAlignment="0"/>
    <xf numFmtId="164" fontId="122" fillId="36" borderId="0" applyNumberFormat="0" applyBorder="0" applyAlignment="0" applyProtection="0">
      <alignment vertical="center"/>
    </xf>
    <xf numFmtId="218" fontId="51" fillId="0" borderId="0" applyFill="0" applyBorder="0" applyAlignment="0"/>
    <xf numFmtId="217" fontId="51" fillId="0" borderId="0" applyFont="0" applyFill="0" applyBorder="0" applyAlignment="0" applyProtection="0"/>
    <xf numFmtId="220" fontId="88" fillId="0" borderId="0" applyFont="0" applyFill="0" applyBorder="0" applyAlignment="0" applyProtection="0"/>
    <xf numFmtId="213" fontId="51" fillId="0" borderId="0" applyFont="0" applyFill="0" applyBorder="0" applyAlignment="0" applyProtection="0"/>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164" fontId="164" fillId="0" borderId="26" applyNumberFormat="0" applyFill="0" applyAlignment="0" applyProtection="0">
      <alignment vertical="center"/>
    </xf>
    <xf numFmtId="213" fontId="51" fillId="0" borderId="0" applyFill="0" applyBorder="0" applyAlignment="0"/>
    <xf numFmtId="164" fontId="122" fillId="43" borderId="0" applyNumberFormat="0" applyBorder="0" applyAlignment="0" applyProtection="0">
      <alignment vertical="center"/>
    </xf>
    <xf numFmtId="164" fontId="167" fillId="0" borderId="18" applyNumberFormat="0" applyFill="0" applyAlignment="0" applyProtection="0">
      <alignment vertical="center"/>
    </xf>
    <xf numFmtId="164" fontId="174" fillId="50" borderId="0" applyNumberFormat="0" applyBorder="0" applyAlignment="0" applyProtection="0">
      <alignment vertical="center"/>
    </xf>
    <xf numFmtId="164" fontId="173" fillId="37" borderId="0" applyNumberFormat="0" applyBorder="0" applyAlignment="0" applyProtection="0">
      <alignment vertical="center"/>
    </xf>
    <xf numFmtId="164" fontId="164" fillId="0" borderId="26" applyNumberFormat="0" applyFill="0" applyAlignment="0" applyProtection="0">
      <alignment vertical="center"/>
    </xf>
    <xf numFmtId="164" fontId="123" fillId="45" borderId="0" applyNumberFormat="0" applyBorder="0" applyAlignment="0" applyProtection="0">
      <alignment vertical="center"/>
    </xf>
    <xf numFmtId="164" fontId="174" fillId="45" borderId="0" applyNumberFormat="0" applyBorder="0" applyAlignment="0" applyProtection="0">
      <alignment vertical="center"/>
    </xf>
    <xf numFmtId="164" fontId="31" fillId="0" borderId="0">
      <alignment horizontal="center" wrapText="1"/>
      <protection locked="0"/>
    </xf>
    <xf numFmtId="164" fontId="30" fillId="0" borderId="23"/>
    <xf numFmtId="164" fontId="156" fillId="37" borderId="0" applyNumberFormat="0" applyBorder="0" applyAlignment="0" applyProtection="0">
      <alignment vertical="center"/>
    </xf>
    <xf numFmtId="164" fontId="173" fillId="38" borderId="0" applyNumberFormat="0" applyBorder="0" applyAlignment="0" applyProtection="0">
      <alignment vertical="center"/>
    </xf>
    <xf numFmtId="217" fontId="51" fillId="0" borderId="0" applyFont="0" applyFill="0" applyBorder="0" applyAlignment="0" applyProtection="0"/>
    <xf numFmtId="214" fontId="51" fillId="0" borderId="0" applyFill="0" applyBorder="0" applyAlignment="0"/>
    <xf numFmtId="164" fontId="174" fillId="45" borderId="0" applyNumberFormat="0" applyBorder="0" applyAlignment="0" applyProtection="0">
      <alignment vertical="center"/>
    </xf>
    <xf numFmtId="217" fontId="51" fillId="0" borderId="0" applyFill="0" applyBorder="0" applyAlignment="0"/>
    <xf numFmtId="164" fontId="173" fillId="35" borderId="0" applyNumberFormat="0" applyBorder="0" applyAlignment="0" applyProtection="0">
      <alignment vertical="center"/>
    </xf>
    <xf numFmtId="216" fontId="51" fillId="0" borderId="0" applyFill="0" applyBorder="0" applyAlignment="0"/>
    <xf numFmtId="217"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164" fontId="173" fillId="39" borderId="0" applyNumberFormat="0" applyBorder="0" applyAlignment="0" applyProtection="0">
      <alignment vertical="center"/>
    </xf>
    <xf numFmtId="164" fontId="161" fillId="0" borderId="0" applyNumberFormat="0" applyFill="0" applyBorder="0" applyAlignment="0" applyProtection="0">
      <alignment vertical="center"/>
    </xf>
    <xf numFmtId="213" fontId="88" fillId="0" borderId="0" applyFill="0" applyBorder="0" applyAlignment="0"/>
    <xf numFmtId="164" fontId="175" fillId="61" borderId="0" applyNumberFormat="0" applyBorder="0" applyAlignment="0" applyProtection="0">
      <alignment vertical="center"/>
    </xf>
    <xf numFmtId="164" fontId="181" fillId="0" borderId="0" applyNumberFormat="0" applyFill="0" applyBorder="0" applyAlignment="0" applyProtection="0">
      <alignment vertical="center"/>
    </xf>
    <xf numFmtId="220" fontId="51" fillId="0" borderId="0" applyFont="0" applyFill="0" applyBorder="0" applyAlignment="0" applyProtection="0"/>
    <xf numFmtId="14" fontId="31" fillId="0" borderId="0">
      <alignment horizontal="center" wrapText="1"/>
      <protection locked="0"/>
    </xf>
    <xf numFmtId="164" fontId="167" fillId="0" borderId="18" applyNumberFormat="0" applyFill="0" applyAlignment="0" applyProtection="0">
      <alignment vertical="center"/>
    </xf>
    <xf numFmtId="164" fontId="138" fillId="0" borderId="0" applyNumberFormat="0" applyFill="0" applyBorder="0" applyAlignment="0" applyProtection="0">
      <alignment vertical="center"/>
    </xf>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72" fillId="0" borderId="0" applyNumberFormat="0" applyFill="0" applyBorder="0" applyAlignment="0" applyProtection="0">
      <alignment vertical="center"/>
    </xf>
    <xf numFmtId="164" fontId="166" fillId="39" borderId="11" applyNumberFormat="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57" fillId="50" borderId="0" applyNumberFormat="0" applyBorder="0" applyAlignment="0" applyProtection="0">
      <alignment vertical="center"/>
    </xf>
    <xf numFmtId="164" fontId="122" fillId="39" borderId="0" applyNumberFormat="0" applyBorder="0" applyAlignment="0" applyProtection="0">
      <alignment vertical="center"/>
    </xf>
    <xf numFmtId="164" fontId="166" fillId="39" borderId="11" applyNumberFormat="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164" fontId="173" fillId="40" borderId="0" applyNumberFormat="0" applyBorder="0" applyAlignment="0" applyProtection="0">
      <alignment vertical="center"/>
    </xf>
    <xf numFmtId="14" fontId="31" fillId="0" borderId="0">
      <alignment horizontal="center" wrapText="1"/>
      <protection locked="0"/>
    </xf>
    <xf numFmtId="164" fontId="159" fillId="53" borderId="11" applyNumberFormat="0" applyAlignment="0" applyProtection="0">
      <alignment vertical="center"/>
    </xf>
    <xf numFmtId="218" fontId="51" fillId="0" borderId="0" applyFill="0" applyBorder="0" applyAlignment="0"/>
    <xf numFmtId="164" fontId="156" fillId="36" borderId="0" applyNumberFormat="0" applyBorder="0" applyAlignment="0" applyProtection="0">
      <alignment vertical="center"/>
    </xf>
    <xf numFmtId="200" fontId="88" fillId="58" borderId="0"/>
    <xf numFmtId="218" fontId="88" fillId="0" borderId="0" applyFill="0" applyBorder="0" applyAlignment="0"/>
    <xf numFmtId="164" fontId="157" fillId="51" borderId="0" applyNumberFormat="0" applyBorder="0" applyAlignment="0" applyProtection="0">
      <alignment vertical="center"/>
    </xf>
    <xf numFmtId="164" fontId="165" fillId="0" borderId="15" applyNumberFormat="0" applyFill="0" applyAlignment="0" applyProtection="0">
      <alignment vertical="center"/>
    </xf>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57" fillId="46" borderId="0" applyNumberFormat="0" applyBorder="0" applyAlignment="0" applyProtection="0">
      <alignment vertical="center"/>
    </xf>
    <xf numFmtId="164" fontId="63" fillId="0" borderId="21"/>
    <xf numFmtId="164" fontId="122" fillId="40" borderId="0" applyNumberFormat="0" applyBorder="0" applyAlignment="0" applyProtection="0">
      <alignment vertical="center"/>
    </xf>
    <xf numFmtId="164" fontId="187" fillId="54" borderId="12" applyNumberFormat="0" applyAlignment="0" applyProtection="0">
      <alignment vertical="center"/>
    </xf>
    <xf numFmtId="14" fontId="91" fillId="0" borderId="0">
      <alignment horizontal="center" wrapText="1"/>
      <protection locked="0"/>
    </xf>
    <xf numFmtId="212" fontId="88" fillId="0" borderId="0" applyFill="0" applyBorder="0" applyAlignment="0"/>
    <xf numFmtId="164" fontId="157" fillId="51" borderId="0" applyNumberFormat="0" applyBorder="0" applyAlignment="0" applyProtection="0">
      <alignment vertical="center"/>
    </xf>
    <xf numFmtId="164" fontId="122" fillId="39" borderId="0" applyNumberFormat="0" applyBorder="0" applyAlignment="0" applyProtection="0">
      <alignment vertical="center"/>
    </xf>
    <xf numFmtId="164" fontId="122" fillId="37" borderId="0" applyNumberFormat="0" applyBorder="0" applyAlignment="0" applyProtection="0">
      <alignment vertical="center"/>
    </xf>
    <xf numFmtId="164" fontId="156" fillId="3" borderId="0" applyNumberFormat="0" applyBorder="0" applyAlignment="0" applyProtection="0">
      <alignment vertical="center"/>
    </xf>
    <xf numFmtId="164" fontId="174" fillId="50" borderId="0" applyNumberFormat="0" applyBorder="0" applyAlignment="0" applyProtection="0">
      <alignment vertical="center"/>
    </xf>
    <xf numFmtId="213" fontId="51" fillId="0" borderId="0" applyFill="0" applyBorder="0" applyAlignment="0"/>
    <xf numFmtId="164" fontId="156" fillId="35" borderId="0" applyNumberFormat="0" applyBorder="0" applyAlignment="0" applyProtection="0">
      <alignment vertical="center"/>
    </xf>
    <xf numFmtId="217" fontId="51" fillId="0" borderId="0" applyFill="0" applyBorder="0" applyAlignment="0"/>
    <xf numFmtId="164" fontId="173" fillId="43" borderId="0" applyNumberFormat="0" applyBorder="0" applyAlignment="0" applyProtection="0">
      <alignment vertical="center"/>
    </xf>
    <xf numFmtId="220" fontId="51" fillId="0" borderId="0" applyFont="0" applyFill="0" applyBorder="0" applyAlignment="0" applyProtection="0"/>
    <xf numFmtId="164" fontId="122" fillId="43" borderId="0" applyNumberFormat="0" applyBorder="0" applyAlignment="0" applyProtection="0">
      <alignment vertical="center"/>
    </xf>
    <xf numFmtId="212" fontId="88" fillId="0" borderId="0" applyFill="0" applyBorder="0" applyAlignment="0"/>
    <xf numFmtId="222" fontId="51" fillId="0" borderId="0" applyFill="0" applyBorder="0" applyAlignment="0"/>
    <xf numFmtId="217" fontId="88" fillId="0" borderId="0" applyFill="0" applyBorder="0" applyAlignment="0"/>
    <xf numFmtId="216" fontId="51" fillId="0" borderId="0" applyFont="0" applyFill="0" applyBorder="0" applyAlignment="0" applyProtection="0"/>
    <xf numFmtId="219" fontId="51" fillId="0" borderId="0"/>
    <xf numFmtId="164" fontId="173" fillId="35" borderId="0" applyNumberFormat="0" applyBorder="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200" fontId="51" fillId="58" borderId="0"/>
    <xf numFmtId="221" fontId="51" fillId="0" borderId="0" applyFill="0" applyBorder="0" applyAlignment="0"/>
    <xf numFmtId="217" fontId="51" fillId="0" borderId="0" applyFill="0" applyBorder="0" applyAlignment="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56" fillId="40" borderId="0" applyNumberFormat="0" applyBorder="0" applyAlignment="0" applyProtection="0">
      <alignment vertical="center"/>
    </xf>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218" fontId="51" fillId="0" borderId="0" applyFill="0" applyBorder="0" applyAlignment="0"/>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164" fontId="156" fillId="65" borderId="27" applyNumberFormat="0" applyFont="0" applyAlignment="0" applyProtection="0">
      <alignment vertical="center"/>
    </xf>
    <xf numFmtId="164" fontId="168" fillId="61" borderId="0" applyNumberFormat="0" applyBorder="0" applyAlignment="0" applyProtection="0">
      <alignment vertical="center"/>
    </xf>
    <xf numFmtId="164" fontId="134" fillId="39" borderId="11" applyNumberFormat="0" applyAlignment="0" applyProtection="0">
      <alignment vertical="center"/>
    </xf>
    <xf numFmtId="218" fontId="88" fillId="0" borderId="0" applyFill="0" applyBorder="0" applyAlignment="0"/>
    <xf numFmtId="164" fontId="156" fillId="35" borderId="0" applyNumberFormat="0" applyBorder="0" applyAlignment="0" applyProtection="0">
      <alignment vertical="center"/>
    </xf>
    <xf numFmtId="219" fontId="88" fillId="0" borderId="0"/>
    <xf numFmtId="164" fontId="173" fillId="38" borderId="0" applyNumberFormat="0" applyBorder="0" applyAlignment="0" applyProtection="0">
      <alignment vertical="center"/>
    </xf>
    <xf numFmtId="164" fontId="123" fillId="49" borderId="0" applyNumberFormat="0" applyBorder="0" applyAlignment="0" applyProtection="0">
      <alignment vertical="center"/>
    </xf>
    <xf numFmtId="164" fontId="184" fillId="0" borderId="0" applyNumberFormat="0" applyFill="0" applyBorder="0" applyAlignment="0" applyProtection="0">
      <alignment vertical="center"/>
    </xf>
    <xf numFmtId="164" fontId="157" fillId="45" borderId="0" applyNumberFormat="0" applyBorder="0" applyAlignment="0" applyProtection="0">
      <alignment vertical="center"/>
    </xf>
    <xf numFmtId="164" fontId="173" fillId="36" borderId="0" applyNumberFormat="0" applyBorder="0" applyAlignment="0" applyProtection="0">
      <alignment vertical="center"/>
    </xf>
    <xf numFmtId="213" fontId="88" fillId="0" borderId="0" applyFill="0" applyBorder="0" applyAlignment="0"/>
    <xf numFmtId="164" fontId="137" fillId="36" borderId="0" applyNumberFormat="0" applyBorder="0" applyAlignment="0" applyProtection="0">
      <alignment vertical="center"/>
    </xf>
    <xf numFmtId="164" fontId="164" fillId="0" borderId="26" applyNumberFormat="0" applyFill="0" applyAlignment="0" applyProtection="0">
      <alignment vertical="center"/>
    </xf>
    <xf numFmtId="217" fontId="51" fillId="0" borderId="0" applyFill="0" applyBorder="0" applyAlignment="0"/>
    <xf numFmtId="218" fontId="88" fillId="0" borderId="0" applyFill="0" applyBorder="0" applyAlignment="0"/>
    <xf numFmtId="164" fontId="123"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57" fillId="44" borderId="0" applyNumberFormat="0" applyBorder="0" applyAlignment="0" applyProtection="0">
      <alignment vertical="center"/>
    </xf>
    <xf numFmtId="164" fontId="90" fillId="65" borderId="27" applyNumberFormat="0" applyFont="0" applyAlignment="0" applyProtection="0"/>
    <xf numFmtId="164" fontId="183" fillId="0" borderId="26" applyNumberFormat="0" applyFill="0" applyAlignment="0" applyProtection="0">
      <alignment vertical="center"/>
    </xf>
    <xf numFmtId="164" fontId="181" fillId="0" borderId="0" applyNumberFormat="0" applyFill="0" applyBorder="0" applyAlignment="0" applyProtection="0">
      <alignment vertical="center"/>
    </xf>
    <xf numFmtId="218" fontId="51" fillId="0" borderId="0" applyFill="0" applyBorder="0" applyAlignment="0"/>
    <xf numFmtId="164" fontId="173" fillId="36" borderId="0" applyNumberFormat="0" applyBorder="0" applyAlignment="0" applyProtection="0">
      <alignment vertical="center"/>
    </xf>
    <xf numFmtId="217" fontId="51" fillId="0" borderId="0" applyFill="0" applyBorder="0" applyAlignment="0"/>
    <xf numFmtId="164" fontId="163" fillId="0" borderId="25" applyNumberFormat="0" applyFill="0" applyAlignment="0" applyProtection="0">
      <alignment vertical="center"/>
    </xf>
    <xf numFmtId="164" fontId="189" fillId="0" borderId="0" applyNumberFormat="0" applyFill="0" applyBorder="0" applyAlignment="0" applyProtection="0">
      <alignment vertical="center"/>
    </xf>
    <xf numFmtId="164" fontId="129" fillId="0" borderId="0" applyNumberFormat="0" applyFill="0" applyBorder="0" applyAlignment="0" applyProtection="0">
      <alignment vertical="center"/>
    </xf>
    <xf numFmtId="164" fontId="174" fillId="47" borderId="0" applyNumberFormat="0" applyBorder="0" applyAlignment="0" applyProtection="0">
      <alignment vertical="center"/>
    </xf>
    <xf numFmtId="164" fontId="165" fillId="0" borderId="0" applyNumberFormat="0" applyFill="0" applyBorder="0" applyAlignment="0" applyProtection="0">
      <alignment vertical="center"/>
    </xf>
    <xf numFmtId="215" fontId="88" fillId="0" borderId="0" applyFill="0" applyBorder="0" applyAlignment="0"/>
    <xf numFmtId="164" fontId="156" fillId="38" borderId="0" applyNumberFormat="0" applyBorder="0" applyAlignment="0" applyProtection="0">
      <alignment vertical="center"/>
    </xf>
    <xf numFmtId="200" fontId="88" fillId="57" borderId="0"/>
    <xf numFmtId="164" fontId="173" fillId="42" borderId="0" applyNumberFormat="0" applyBorder="0" applyAlignment="0" applyProtection="0">
      <alignment vertical="center"/>
    </xf>
    <xf numFmtId="213" fontId="88" fillId="0" borderId="0" applyFill="0" applyBorder="0" applyAlignment="0"/>
    <xf numFmtId="215" fontId="88" fillId="0" borderId="0" applyFill="0" applyBorder="0" applyAlignment="0"/>
    <xf numFmtId="164" fontId="156" fillId="42" borderId="0" applyNumberFormat="0" applyBorder="0" applyAlignment="0" applyProtection="0">
      <alignment vertical="center"/>
    </xf>
    <xf numFmtId="221" fontId="51" fillId="0" borderId="0" applyFill="0" applyBorder="0" applyAlignment="0"/>
    <xf numFmtId="164" fontId="123" fillId="44" borderId="0" applyNumberFormat="0" applyBorder="0" applyAlignment="0" applyProtection="0">
      <alignment vertical="center"/>
    </xf>
    <xf numFmtId="164" fontId="123" fillId="45" borderId="0" applyNumberFormat="0" applyBorder="0" applyAlignment="0" applyProtection="0">
      <alignment vertical="center"/>
    </xf>
    <xf numFmtId="218" fontId="51" fillId="0" borderId="0" applyFill="0" applyBorder="0" applyAlignment="0"/>
    <xf numFmtId="216" fontId="88" fillId="0" borderId="0" applyFill="0" applyBorder="0" applyAlignment="0"/>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216" fontId="51" fillId="0" borderId="0" applyFont="0" applyFill="0" applyBorder="0" applyAlignment="0" applyProtection="0"/>
    <xf numFmtId="164" fontId="157" fillId="46" borderId="0" applyNumberFormat="0" applyBorder="0" applyAlignment="0" applyProtection="0">
      <alignment vertical="center"/>
    </xf>
    <xf numFmtId="164" fontId="157" fillId="47" borderId="0" applyNumberFormat="0" applyBorder="0" applyAlignment="0" applyProtection="0">
      <alignment vertical="center"/>
    </xf>
    <xf numFmtId="164" fontId="164" fillId="0" borderId="26" applyNumberFormat="0" applyFill="0" applyAlignment="0" applyProtection="0">
      <alignment vertical="center"/>
    </xf>
    <xf numFmtId="164" fontId="178" fillId="53" borderId="11" applyNumberFormat="0" applyAlignment="0" applyProtection="0">
      <alignment vertical="center"/>
    </xf>
    <xf numFmtId="164" fontId="126" fillId="3" borderId="0" applyNumberFormat="0" applyBorder="0" applyAlignment="0" applyProtection="0">
      <alignment vertical="center"/>
    </xf>
    <xf numFmtId="164" fontId="173" fillId="41" borderId="0" applyNumberFormat="0" applyBorder="0" applyAlignment="0" applyProtection="0">
      <alignment vertical="center"/>
    </xf>
    <xf numFmtId="213" fontId="51" fillId="0" borderId="0" applyFill="0" applyBorder="0" applyAlignment="0"/>
    <xf numFmtId="164" fontId="176" fillId="0" borderId="28" applyNumberFormat="0" applyFill="0" applyAlignment="0" applyProtection="0">
      <alignment vertical="center"/>
    </xf>
    <xf numFmtId="164" fontId="164" fillId="0" borderId="26" applyNumberFormat="0" applyFill="0" applyAlignment="0" applyProtection="0">
      <alignment vertical="center"/>
    </xf>
    <xf numFmtId="164" fontId="156" fillId="40" borderId="0" applyNumberFormat="0" applyBorder="0" applyAlignment="0" applyProtection="0">
      <alignment vertical="center"/>
    </xf>
    <xf numFmtId="164" fontId="166" fillId="39" borderId="11" applyNumberFormat="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96" fillId="0" borderId="21"/>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63" fillId="0" borderId="25" applyNumberFormat="0" applyFill="0" applyAlignment="0" applyProtection="0">
      <alignment vertical="center"/>
    </xf>
    <xf numFmtId="217" fontId="88" fillId="0" borderId="0" applyFill="0" applyBorder="0" applyAlignment="0"/>
    <xf numFmtId="164" fontId="173" fillId="40" borderId="0" applyNumberFormat="0" applyBorder="0" applyAlignment="0" applyProtection="0">
      <alignment vertical="center"/>
    </xf>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56" fillId="38" borderId="0" applyNumberFormat="0" applyBorder="0" applyAlignment="0" applyProtection="0">
      <alignment vertical="center"/>
    </xf>
    <xf numFmtId="164" fontId="188" fillId="36" borderId="0" applyNumberFormat="0" applyBorder="0" applyAlignment="0" applyProtection="0">
      <alignment vertical="center"/>
    </xf>
    <xf numFmtId="164" fontId="162" fillId="3" borderId="0" applyNumberFormat="0" applyBorder="0" applyAlignment="0" applyProtection="0">
      <alignment vertical="center"/>
    </xf>
    <xf numFmtId="200" fontId="88" fillId="58" borderId="0"/>
    <xf numFmtId="213" fontId="51" fillId="0" borderId="0" applyFill="0" applyBorder="0" applyAlignment="0"/>
    <xf numFmtId="164" fontId="173" fillId="37" borderId="0" applyNumberFormat="0" applyBorder="0" applyAlignment="0" applyProtection="0">
      <alignment vertical="center"/>
    </xf>
    <xf numFmtId="164" fontId="173" fillId="40" borderId="0" applyNumberFormat="0" applyBorder="0" applyAlignment="0" applyProtection="0">
      <alignment vertical="center"/>
    </xf>
    <xf numFmtId="164" fontId="171" fillId="0" borderId="28" applyNumberFormat="0" applyFill="0" applyAlignment="0" applyProtection="0">
      <alignment vertical="center"/>
    </xf>
    <xf numFmtId="164" fontId="123" fillId="46" borderId="0" applyNumberFormat="0" applyBorder="0" applyAlignment="0" applyProtection="0">
      <alignment vertical="center"/>
    </xf>
    <xf numFmtId="217" fontId="88" fillId="0" borderId="0" applyFill="0" applyBorder="0" applyAlignment="0"/>
    <xf numFmtId="164" fontId="187" fillId="54" borderId="12" applyNumberFormat="0" applyAlignment="0" applyProtection="0">
      <alignment vertical="center"/>
    </xf>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164" fontId="123" fillId="45" borderId="0" applyNumberFormat="0" applyBorder="0" applyAlignment="0" applyProtection="0">
      <alignment vertical="center"/>
    </xf>
    <xf numFmtId="164" fontId="174" fillId="51" borderId="0" applyNumberFormat="0" applyBorder="0" applyAlignment="0" applyProtection="0">
      <alignment vertical="center"/>
    </xf>
    <xf numFmtId="164" fontId="122" fillId="43" borderId="0" applyNumberFormat="0" applyBorder="0" applyAlignment="0" applyProtection="0">
      <alignment vertical="center"/>
    </xf>
    <xf numFmtId="213" fontId="51" fillId="0" borderId="0" applyFill="0" applyBorder="0" applyAlignment="0"/>
    <xf numFmtId="217" fontId="88" fillId="0" borderId="0" applyFill="0" applyBorder="0" applyAlignment="0"/>
    <xf numFmtId="164" fontId="165" fillId="0" borderId="15" applyNumberFormat="0" applyFill="0" applyAlignment="0" applyProtection="0">
      <alignment vertical="center"/>
    </xf>
    <xf numFmtId="164" fontId="157" fillId="45" borderId="0" applyNumberFormat="0" applyBorder="0" applyAlignment="0" applyProtection="0">
      <alignment vertical="center"/>
    </xf>
    <xf numFmtId="164" fontId="63" fillId="0" borderId="21"/>
    <xf numFmtId="217" fontId="51" fillId="0" borderId="0" applyFill="0" applyBorder="0" applyAlignment="0"/>
    <xf numFmtId="164" fontId="173" fillId="39" borderId="0" applyNumberFormat="0" applyBorder="0" applyAlignment="0" applyProtection="0">
      <alignment vertical="center"/>
    </xf>
    <xf numFmtId="164" fontId="156" fillId="37" borderId="0" applyNumberFormat="0" applyBorder="0" applyAlignment="0" applyProtection="0">
      <alignment vertical="center"/>
    </xf>
    <xf numFmtId="218" fontId="51" fillId="0" borderId="0" applyFill="0" applyBorder="0" applyAlignment="0"/>
    <xf numFmtId="164" fontId="122" fillId="36" borderId="0" applyNumberFormat="0" applyBorder="0" applyAlignment="0" applyProtection="0">
      <alignment vertical="center"/>
    </xf>
    <xf numFmtId="212" fontId="51" fillId="0" borderId="0" applyFill="0" applyBorder="0" applyAlignment="0"/>
    <xf numFmtId="164" fontId="184" fillId="0" borderId="15" applyNumberFormat="0" applyFill="0" applyAlignment="0" applyProtection="0">
      <alignment vertical="center"/>
    </xf>
    <xf numFmtId="164" fontId="138" fillId="0" borderId="0" applyNumberFormat="0" applyFill="0" applyBorder="0" applyAlignment="0" applyProtection="0">
      <alignment vertical="center"/>
    </xf>
    <xf numFmtId="164" fontId="157" fillId="51" borderId="0" applyNumberFormat="0" applyBorder="0" applyAlignment="0" applyProtection="0">
      <alignment vertical="center"/>
    </xf>
    <xf numFmtId="213" fontId="88" fillId="0" borderId="0" applyFill="0" applyBorder="0" applyAlignment="0"/>
    <xf numFmtId="213" fontId="51" fillId="0" borderId="0" applyFill="0" applyBorder="0" applyAlignment="0"/>
    <xf numFmtId="213" fontId="51" fillId="0" borderId="0" applyFill="0" applyBorder="0" applyAlignment="0"/>
    <xf numFmtId="216" fontId="88" fillId="0" borderId="0" applyFont="0" applyFill="0" applyBorder="0" applyAlignment="0" applyProtection="0"/>
    <xf numFmtId="217" fontId="51" fillId="0" borderId="0" applyFill="0" applyBorder="0" applyAlignment="0"/>
    <xf numFmtId="164" fontId="170" fillId="0" borderId="0" applyNumberFormat="0" applyFill="0" applyBorder="0" applyAlignment="0" applyProtection="0">
      <alignment vertical="center"/>
    </xf>
    <xf numFmtId="164" fontId="181" fillId="0" borderId="0" applyNumberFormat="0" applyFill="0" applyBorder="0" applyAlignment="0" applyProtection="0">
      <alignment vertical="center"/>
    </xf>
    <xf numFmtId="220" fontId="51" fillId="0" borderId="0" applyFont="0" applyFill="0" applyBorder="0" applyAlignment="0" applyProtection="0"/>
    <xf numFmtId="14" fontId="31" fillId="0" borderId="0">
      <alignment horizontal="center" wrapText="1"/>
      <protection locked="0"/>
    </xf>
    <xf numFmtId="164" fontId="173" fillId="40" borderId="0" applyNumberFormat="0" applyBorder="0" applyAlignment="0" applyProtection="0">
      <alignment vertical="center"/>
    </xf>
    <xf numFmtId="164" fontId="157" fillId="52" borderId="0" applyNumberFormat="0" applyBorder="0" applyAlignment="0" applyProtection="0">
      <alignment vertical="center"/>
    </xf>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64" fillId="0" borderId="26" applyNumberFormat="0" applyFill="0" applyAlignment="0" applyProtection="0">
      <alignment vertical="center"/>
    </xf>
    <xf numFmtId="212" fontId="51" fillId="0" borderId="0" applyFill="0" applyBorder="0" applyAlignment="0"/>
    <xf numFmtId="164" fontId="184" fillId="0" borderId="0" applyNumberFormat="0" applyFill="0" applyBorder="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56" fillId="39" borderId="0" applyNumberFormat="0" applyBorder="0" applyAlignment="0" applyProtection="0">
      <alignment vertical="center"/>
    </xf>
    <xf numFmtId="164" fontId="123" fillId="46" borderId="0" applyNumberFormat="0" applyBorder="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213" fontId="88" fillId="0" borderId="0" applyFill="0" applyBorder="0" applyAlignment="0"/>
    <xf numFmtId="164" fontId="123" fillId="52" borderId="0" applyNumberFormat="0" applyBorder="0" applyAlignment="0" applyProtection="0">
      <alignment vertical="center"/>
    </xf>
    <xf numFmtId="164" fontId="176" fillId="0" borderId="28" applyNumberFormat="0" applyFill="0" applyAlignment="0" applyProtection="0">
      <alignment vertical="center"/>
    </xf>
    <xf numFmtId="200" fontId="88" fillId="58" borderId="0"/>
    <xf numFmtId="216" fontId="88" fillId="0" borderId="0" applyFill="0" applyBorder="0" applyAlignment="0"/>
    <xf numFmtId="164" fontId="170" fillId="0" borderId="0" applyNumberFormat="0" applyFill="0" applyBorder="0" applyAlignment="0" applyProtection="0">
      <alignment vertical="center"/>
    </xf>
    <xf numFmtId="216" fontId="88" fillId="0" borderId="0" applyFont="0" applyFill="0" applyBorder="0" applyAlignment="0" applyProtection="0"/>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29" fillId="0" borderId="0" applyNumberFormat="0" applyFill="0" applyBorder="0" applyAlignment="0" applyProtection="0">
      <alignment vertical="center"/>
    </xf>
    <xf numFmtId="217" fontId="51" fillId="0" borderId="0" applyFill="0" applyBorder="0" applyAlignment="0"/>
    <xf numFmtId="164" fontId="122" fillId="40" borderId="0" applyNumberFormat="0" applyBorder="0" applyAlignment="0" applyProtection="0">
      <alignment vertical="center"/>
    </xf>
    <xf numFmtId="164" fontId="157" fillId="52" borderId="0" applyNumberFormat="0" applyBorder="0" applyAlignment="0" applyProtection="0">
      <alignment vertical="center"/>
    </xf>
    <xf numFmtId="164" fontId="156" fillId="40" borderId="0" applyNumberFormat="0" applyBorder="0" applyAlignment="0" applyProtection="0">
      <alignment vertical="center"/>
    </xf>
    <xf numFmtId="164" fontId="123" fillId="45" borderId="0" applyNumberFormat="0" applyBorder="0" applyAlignment="0" applyProtection="0">
      <alignment vertical="center"/>
    </xf>
    <xf numFmtId="164" fontId="172" fillId="0" borderId="0" applyNumberFormat="0" applyFill="0" applyBorder="0" applyAlignment="0" applyProtection="0">
      <alignment vertical="center"/>
    </xf>
    <xf numFmtId="164" fontId="174" fillId="44" borderId="0" applyNumberFormat="0" applyBorder="0" applyAlignment="0" applyProtection="0">
      <alignment vertical="center"/>
    </xf>
    <xf numFmtId="218" fontId="51" fillId="0" borderId="0" applyFill="0" applyBorder="0" applyAlignment="0"/>
    <xf numFmtId="164" fontId="123" fillId="47" borderId="0" applyNumberFormat="0" applyBorder="0" applyAlignment="0" applyProtection="0">
      <alignment vertical="center"/>
    </xf>
    <xf numFmtId="164" fontId="156" fillId="3" borderId="0" applyNumberFormat="0" applyBorder="0" applyAlignment="0" applyProtection="0">
      <alignment vertical="center"/>
    </xf>
    <xf numFmtId="164" fontId="173" fillId="40" borderId="0" applyNumberFormat="0" applyBorder="0" applyAlignment="0" applyProtection="0">
      <alignment vertical="center"/>
    </xf>
    <xf numFmtId="164" fontId="173" fillId="40" borderId="0" applyNumberFormat="0" applyBorder="0" applyAlignment="0" applyProtection="0">
      <alignment vertical="center"/>
    </xf>
    <xf numFmtId="222" fontId="51" fillId="0" borderId="0" applyFill="0" applyBorder="0" applyAlignment="0"/>
    <xf numFmtId="164" fontId="184" fillId="0" borderId="15" applyNumberFormat="0" applyFill="0" applyAlignment="0" applyProtection="0">
      <alignment vertical="center"/>
    </xf>
    <xf numFmtId="164" fontId="138"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57" fillId="49" borderId="0" applyNumberFormat="0" applyBorder="0" applyAlignment="0" applyProtection="0">
      <alignment vertical="center"/>
    </xf>
    <xf numFmtId="164" fontId="182" fillId="0" borderId="25" applyNumberFormat="0" applyFill="0" applyAlignment="0" applyProtection="0">
      <alignment vertical="center"/>
    </xf>
    <xf numFmtId="213" fontId="88" fillId="0" borderId="0" applyFill="0" applyBorder="0" applyAlignment="0"/>
    <xf numFmtId="222" fontId="51" fillId="0" borderId="0" applyFill="0" applyBorder="0" applyAlignment="0"/>
    <xf numFmtId="216" fontId="51" fillId="0" borderId="0" applyFont="0" applyFill="0" applyBorder="0" applyAlignment="0" applyProtection="0"/>
    <xf numFmtId="219" fontId="51" fillId="0" borderId="0"/>
    <xf numFmtId="164" fontId="175" fillId="61" borderId="0" applyNumberFormat="0" applyBorder="0" applyAlignment="0" applyProtection="0">
      <alignment vertical="center"/>
    </xf>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214" fontId="51" fillId="0" borderId="0" applyFill="0" applyBorder="0" applyAlignment="0"/>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164" fontId="156" fillId="40" borderId="0" applyNumberFormat="0" applyBorder="0" applyAlignment="0" applyProtection="0">
      <alignment vertical="center"/>
    </xf>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217" fontId="51" fillId="0" borderId="0" applyFill="0" applyBorder="0" applyAlignment="0"/>
    <xf numFmtId="164" fontId="157" fillId="42" borderId="0" applyNumberFormat="0" applyBorder="0" applyAlignment="0" applyProtection="0">
      <alignment vertical="center"/>
    </xf>
    <xf numFmtId="164" fontId="174" fillId="41" borderId="0" applyNumberFormat="0" applyBorder="0" applyAlignment="0" applyProtection="0">
      <alignment vertical="center"/>
    </xf>
    <xf numFmtId="218" fontId="51" fillId="0" borderId="0" applyFill="0" applyBorder="0" applyAlignment="0"/>
    <xf numFmtId="164" fontId="173" fillId="41" borderId="0" applyNumberFormat="0" applyBorder="0" applyAlignment="0" applyProtection="0">
      <alignment vertical="center"/>
    </xf>
    <xf numFmtId="164" fontId="163" fillId="0" borderId="25" applyNumberFormat="0" applyFill="0" applyAlignment="0" applyProtection="0">
      <alignment vertical="center"/>
    </xf>
    <xf numFmtId="164" fontId="157" fillId="46" borderId="0" applyNumberFormat="0" applyBorder="0" applyAlignment="0" applyProtection="0">
      <alignment vertical="center"/>
    </xf>
    <xf numFmtId="164" fontId="158" fillId="36" borderId="0" applyNumberFormat="0" applyBorder="0" applyAlignment="0" applyProtection="0">
      <alignment vertical="center"/>
    </xf>
    <xf numFmtId="164" fontId="122" fillId="40" borderId="0" applyNumberFormat="0" applyBorder="0" applyAlignment="0" applyProtection="0">
      <alignment vertical="center"/>
    </xf>
    <xf numFmtId="221" fontId="88" fillId="0" borderId="0" applyFill="0" applyBorder="0" applyAlignment="0"/>
    <xf numFmtId="164" fontId="166" fillId="39" borderId="11" applyNumberFormat="0" applyAlignment="0" applyProtection="0">
      <alignment vertical="center"/>
    </xf>
    <xf numFmtId="218" fontId="51" fillId="0" borderId="0" applyFill="0" applyBorder="0" applyAlignment="0"/>
    <xf numFmtId="213" fontId="51" fillId="0" borderId="0" applyFill="0" applyBorder="0" applyAlignment="0"/>
    <xf numFmtId="164" fontId="165" fillId="0" borderId="0" applyNumberFormat="0" applyFill="0" applyBorder="0" applyAlignment="0" applyProtection="0">
      <alignment vertical="center"/>
    </xf>
    <xf numFmtId="164" fontId="184" fillId="0" borderId="0" applyNumberFormat="0" applyFill="0" applyBorder="0" applyAlignment="0" applyProtection="0">
      <alignment vertical="center"/>
    </xf>
    <xf numFmtId="217" fontId="51" fillId="0" borderId="0" applyFill="0" applyBorder="0" applyAlignment="0"/>
    <xf numFmtId="213" fontId="88" fillId="0" borderId="0" applyFill="0" applyBorder="0" applyAlignment="0"/>
    <xf numFmtId="164" fontId="122" fillId="39" borderId="0" applyNumberFormat="0" applyBorder="0" applyAlignment="0" applyProtection="0">
      <alignment vertical="center"/>
    </xf>
    <xf numFmtId="164" fontId="123" fillId="42" borderId="0" applyNumberFormat="0" applyBorder="0" applyAlignment="0" applyProtection="0">
      <alignment vertical="center"/>
    </xf>
    <xf numFmtId="164" fontId="157" fillId="42" borderId="0" applyNumberFormat="0" applyBorder="0" applyAlignment="0" applyProtection="0">
      <alignment vertical="center"/>
    </xf>
    <xf numFmtId="213" fontId="51" fillId="0" borderId="0" applyFill="0" applyBorder="0" applyAlignment="0"/>
    <xf numFmtId="164" fontId="173" fillId="36" borderId="0" applyNumberFormat="0" applyBorder="0" applyAlignment="0" applyProtection="0">
      <alignment vertical="center"/>
    </xf>
    <xf numFmtId="164" fontId="135" fillId="53" borderId="20" applyNumberFormat="0" applyAlignment="0" applyProtection="0">
      <alignment vertical="center"/>
    </xf>
    <xf numFmtId="164" fontId="134" fillId="39" borderId="11" applyNumberFormat="0" applyAlignment="0" applyProtection="0">
      <alignment vertical="center"/>
    </xf>
    <xf numFmtId="164" fontId="122" fillId="35" borderId="0" applyNumberFormat="0" applyBorder="0" applyAlignment="0" applyProtection="0">
      <alignment vertical="center"/>
    </xf>
    <xf numFmtId="164" fontId="156" fillId="38" borderId="0" applyNumberFormat="0" applyBorder="0" applyAlignment="0" applyProtection="0">
      <alignment vertical="center"/>
    </xf>
    <xf numFmtId="217" fontId="88" fillId="0" borderId="0" applyFill="0" applyBorder="0" applyAlignment="0"/>
    <xf numFmtId="164" fontId="174" fillId="45" borderId="0" applyNumberFormat="0" applyBorder="0" applyAlignment="0" applyProtection="0">
      <alignment vertical="center"/>
    </xf>
    <xf numFmtId="164" fontId="126" fillId="3" borderId="0" applyNumberFormat="0" applyBorder="0" applyAlignment="0" applyProtection="0">
      <alignment vertical="center"/>
    </xf>
    <xf numFmtId="220" fontId="88" fillId="0" borderId="0" applyFont="0" applyFill="0" applyBorder="0" applyAlignment="0" applyProtection="0"/>
    <xf numFmtId="200" fontId="51" fillId="58" borderId="0"/>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7" fontId="51" fillId="0" borderId="0" applyFill="0" applyBorder="0" applyAlignment="0"/>
    <xf numFmtId="164" fontId="173" fillId="40" borderId="0" applyNumberFormat="0" applyBorder="0" applyAlignment="0" applyProtection="0">
      <alignment vertical="center"/>
    </xf>
    <xf numFmtId="164" fontId="91" fillId="0" borderId="0">
      <alignment horizontal="center" wrapText="1"/>
      <protection locked="0"/>
    </xf>
    <xf numFmtId="164" fontId="174" fillId="52" borderId="0" applyNumberFormat="0" applyBorder="0" applyAlignment="0" applyProtection="0">
      <alignment vertical="center"/>
    </xf>
    <xf numFmtId="164" fontId="181" fillId="0" borderId="0" applyNumberFormat="0" applyFill="0" applyBorder="0" applyAlignment="0" applyProtection="0">
      <alignment vertical="center"/>
    </xf>
    <xf numFmtId="164" fontId="156" fillId="40" borderId="0" applyNumberFormat="0" applyBorder="0" applyAlignment="0" applyProtection="0">
      <alignment vertical="center"/>
    </xf>
    <xf numFmtId="216" fontId="51" fillId="0" borderId="0" applyFont="0" applyFill="0" applyBorder="0" applyAlignment="0" applyProtection="0"/>
    <xf numFmtId="164" fontId="186" fillId="53" borderId="20" applyNumberFormat="0" applyAlignment="0" applyProtection="0">
      <alignment vertical="center"/>
    </xf>
    <xf numFmtId="14" fontId="91" fillId="0" borderId="0">
      <alignment horizontal="center" wrapText="1"/>
      <protection locked="0"/>
    </xf>
    <xf numFmtId="217" fontId="88" fillId="0" borderId="0" applyFill="0" applyBorder="0" applyAlignment="0"/>
    <xf numFmtId="164" fontId="182" fillId="0" borderId="25" applyNumberFormat="0" applyFill="0" applyAlignment="0" applyProtection="0">
      <alignment vertical="center"/>
    </xf>
    <xf numFmtId="164" fontId="138" fillId="0" borderId="0" applyNumberFormat="0" applyFill="0" applyBorder="0" applyAlignment="0" applyProtection="0">
      <alignment vertical="center"/>
    </xf>
    <xf numFmtId="217" fontId="51" fillId="0" borderId="0" applyFill="0" applyBorder="0" applyAlignment="0"/>
    <xf numFmtId="164" fontId="173" fillId="3" borderId="0" applyNumberFormat="0" applyBorder="0" applyAlignment="0" applyProtection="0">
      <alignment vertical="center"/>
    </xf>
    <xf numFmtId="164" fontId="158" fillId="36" borderId="0" applyNumberFormat="0" applyBorder="0" applyAlignment="0" applyProtection="0">
      <alignment vertical="center"/>
    </xf>
    <xf numFmtId="164" fontId="184" fillId="0" borderId="15" applyNumberFormat="0" applyFill="0" applyAlignment="0" applyProtection="0">
      <alignment vertical="center"/>
    </xf>
    <xf numFmtId="213" fontId="88" fillId="0" borderId="0" applyFill="0" applyBorder="0" applyAlignment="0"/>
    <xf numFmtId="164" fontId="124" fillId="61" borderId="0" applyNumberFormat="0" applyBorder="0" applyAlignment="0" applyProtection="0">
      <alignment vertical="center"/>
    </xf>
    <xf numFmtId="217" fontId="51" fillId="0" borderId="0" applyFill="0" applyBorder="0" applyAlignment="0"/>
    <xf numFmtId="218" fontId="88" fillId="0" borderId="0" applyFill="0" applyBorder="0" applyAlignment="0"/>
    <xf numFmtId="164" fontId="123" fillId="44" borderId="0" applyNumberFormat="0" applyBorder="0" applyAlignment="0" applyProtection="0">
      <alignment vertical="center"/>
    </xf>
    <xf numFmtId="213" fontId="51" fillId="0" borderId="0" applyFill="0" applyBorder="0" applyAlignment="0"/>
    <xf numFmtId="164" fontId="176" fillId="0" borderId="28" applyNumberFormat="0" applyFill="0" applyAlignment="0" applyProtection="0">
      <alignment vertical="center"/>
    </xf>
    <xf numFmtId="164" fontId="91" fillId="0" borderId="0">
      <alignment horizontal="center" wrapText="1"/>
      <protection locked="0"/>
    </xf>
    <xf numFmtId="213" fontId="51" fillId="0" borderId="0" applyFill="0" applyBorder="0" applyAlignment="0"/>
    <xf numFmtId="217" fontId="51" fillId="0" borderId="0" applyFill="0" applyBorder="0" applyAlignment="0"/>
    <xf numFmtId="218" fontId="51" fillId="0" borderId="0" applyFill="0" applyBorder="0" applyAlignment="0"/>
    <xf numFmtId="200" fontId="51" fillId="57" borderId="0"/>
    <xf numFmtId="164" fontId="170" fillId="0" borderId="0" applyNumberFormat="0" applyFill="0" applyBorder="0" applyAlignment="0" applyProtection="0">
      <alignment vertical="center"/>
    </xf>
    <xf numFmtId="213" fontId="88" fillId="0" borderId="0" applyFont="0" applyFill="0" applyBorder="0" applyAlignment="0" applyProtection="0"/>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217" fontId="51" fillId="0" borderId="0" applyFont="0" applyFill="0" applyBorder="0" applyAlignment="0" applyProtection="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23" fillId="49" borderId="0" applyNumberFormat="0" applyBorder="0" applyAlignment="0" applyProtection="0">
      <alignment vertical="center"/>
    </xf>
    <xf numFmtId="164" fontId="122" fillId="37" borderId="0" applyNumberFormat="0" applyBorder="0" applyAlignment="0" applyProtection="0">
      <alignment vertical="center"/>
    </xf>
    <xf numFmtId="164" fontId="157" fillId="45" borderId="0" applyNumberFormat="0" applyBorder="0" applyAlignment="0" applyProtection="0">
      <alignment vertical="center"/>
    </xf>
    <xf numFmtId="164" fontId="174" fillId="41" borderId="0" applyNumberFormat="0" applyBorder="0" applyAlignment="0" applyProtection="0">
      <alignment vertical="center"/>
    </xf>
    <xf numFmtId="217" fontId="51" fillId="0" borderId="0" applyFill="0" applyBorder="0" applyAlignment="0"/>
    <xf numFmtId="164" fontId="157" fillId="52" borderId="0" applyNumberFormat="0" applyBorder="0" applyAlignment="0" applyProtection="0">
      <alignment vertical="center"/>
    </xf>
    <xf numFmtId="219" fontId="51" fillId="0" borderId="0"/>
    <xf numFmtId="217" fontId="88" fillId="0" borderId="0" applyFill="0" applyBorder="0" applyAlignment="0"/>
    <xf numFmtId="164" fontId="188" fillId="36" borderId="0" applyNumberFormat="0" applyBorder="0" applyAlignment="0" applyProtection="0">
      <alignment vertical="center"/>
    </xf>
    <xf numFmtId="164" fontId="123" fillId="44" borderId="0" applyNumberFormat="0" applyBorder="0" applyAlignment="0" applyProtection="0">
      <alignment vertical="center"/>
    </xf>
    <xf numFmtId="216" fontId="51" fillId="0" borderId="0" applyFill="0" applyBorder="0" applyAlignment="0"/>
    <xf numFmtId="213" fontId="51" fillId="0" borderId="0" applyFont="0" applyFill="0" applyBorder="0" applyAlignment="0" applyProtection="0"/>
    <xf numFmtId="213" fontId="88" fillId="0" borderId="0" applyFill="0" applyBorder="0" applyAlignment="0"/>
    <xf numFmtId="164" fontId="180" fillId="0" borderId="0" applyNumberFormat="0" applyFill="0" applyBorder="0" applyAlignment="0" applyProtection="0">
      <alignment vertical="center"/>
    </xf>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164" fontId="157" fillId="41" borderId="0" applyNumberFormat="0" applyBorder="0" applyAlignment="0" applyProtection="0">
      <alignment vertical="center"/>
    </xf>
    <xf numFmtId="164" fontId="156" fillId="40" borderId="0" applyNumberFormat="0" applyBorder="0" applyAlignment="0" applyProtection="0">
      <alignment vertical="center"/>
    </xf>
    <xf numFmtId="164" fontId="124" fillId="61" borderId="0" applyNumberFormat="0" applyBorder="0" applyAlignment="0" applyProtection="0">
      <alignment vertical="center"/>
    </xf>
    <xf numFmtId="164" fontId="156" fillId="43" borderId="0" applyNumberFormat="0" applyBorder="0" applyAlignment="0" applyProtection="0">
      <alignment vertical="center"/>
    </xf>
    <xf numFmtId="213" fontId="51" fillId="0" borderId="0" applyFill="0" applyBorder="0" applyAlignment="0"/>
    <xf numFmtId="164" fontId="174" fillId="45" borderId="0" applyNumberFormat="0" applyBorder="0" applyAlignment="0" applyProtection="0">
      <alignment vertical="center"/>
    </xf>
    <xf numFmtId="164" fontId="180" fillId="0" borderId="0" applyNumberFormat="0" applyFill="0" applyBorder="0" applyAlignment="0" applyProtection="0">
      <alignment vertical="center"/>
    </xf>
    <xf numFmtId="164" fontId="157" fillId="50" borderId="0" applyNumberFormat="0" applyBorder="0" applyAlignment="0" applyProtection="0">
      <alignment vertical="center"/>
    </xf>
    <xf numFmtId="214" fontId="88" fillId="0" borderId="0" applyFill="0" applyBorder="0" applyAlignment="0"/>
    <xf numFmtId="164" fontId="174" fillId="51" borderId="0" applyNumberFormat="0" applyBorder="0" applyAlignment="0" applyProtection="0">
      <alignment vertical="center"/>
    </xf>
    <xf numFmtId="164" fontId="123" fillId="45" borderId="0" applyNumberFormat="0" applyBorder="0" applyAlignment="0" applyProtection="0">
      <alignment vertical="center"/>
    </xf>
    <xf numFmtId="213" fontId="51" fillId="0" borderId="0" applyFill="0" applyBorder="0" applyAlignment="0"/>
    <xf numFmtId="164" fontId="170" fillId="0" borderId="0" applyNumberFormat="0" applyFill="0" applyBorder="0" applyAlignment="0" applyProtection="0">
      <alignment vertical="center"/>
    </xf>
    <xf numFmtId="216" fontId="51" fillId="0" borderId="0" applyFill="0" applyBorder="0" applyAlignment="0"/>
    <xf numFmtId="164" fontId="63" fillId="0" borderId="21"/>
    <xf numFmtId="164" fontId="136" fillId="54" borderId="12" applyNumberFormat="0" applyAlignment="0" applyProtection="0">
      <alignment vertical="center"/>
    </xf>
    <xf numFmtId="164" fontId="125" fillId="0" borderId="28" applyNumberFormat="0" applyFill="0" applyAlignment="0" applyProtection="0">
      <alignment vertical="center"/>
    </xf>
    <xf numFmtId="164" fontId="166" fillId="39" borderId="11" applyNumberFormat="0" applyAlignment="0" applyProtection="0">
      <alignment vertical="center"/>
    </xf>
    <xf numFmtId="14" fontId="91" fillId="0" borderId="0">
      <alignment horizontal="center" wrapText="1"/>
      <protection locked="0"/>
    </xf>
    <xf numFmtId="164" fontId="174" fillId="42" borderId="0" applyNumberFormat="0" applyBorder="0" applyAlignment="0" applyProtection="0">
      <alignment vertical="center"/>
    </xf>
    <xf numFmtId="217" fontId="51" fillId="0" borderId="0" applyFill="0" applyBorder="0" applyAlignment="0"/>
    <xf numFmtId="164" fontId="173" fillId="35" borderId="0" applyNumberFormat="0" applyBorder="0" applyAlignment="0" applyProtection="0">
      <alignment vertical="center"/>
    </xf>
    <xf numFmtId="164" fontId="123" fillId="52" borderId="0" applyNumberFormat="0" applyBorder="0" applyAlignment="0" applyProtection="0">
      <alignment vertical="center"/>
    </xf>
    <xf numFmtId="213" fontId="88" fillId="0" borderId="0" applyFill="0" applyBorder="0" applyAlignment="0"/>
    <xf numFmtId="164" fontId="157" fillId="45" borderId="0" applyNumberFormat="0" applyBorder="0" applyAlignment="0" applyProtection="0">
      <alignment vertical="center"/>
    </xf>
    <xf numFmtId="164" fontId="173" fillId="39" borderId="0" applyNumberFormat="0" applyBorder="0" applyAlignment="0" applyProtection="0">
      <alignment vertical="center"/>
    </xf>
    <xf numFmtId="164" fontId="188" fillId="36" borderId="0" applyNumberFormat="0" applyBorder="0" applyAlignment="0" applyProtection="0">
      <alignment vertical="center"/>
    </xf>
    <xf numFmtId="164" fontId="173" fillId="37" borderId="0" applyNumberFormat="0" applyBorder="0" applyAlignment="0" applyProtection="0">
      <alignment vertical="center"/>
    </xf>
    <xf numFmtId="164" fontId="176" fillId="0" borderId="28" applyNumberFormat="0" applyFill="0" applyAlignment="0" applyProtection="0">
      <alignment vertical="center"/>
    </xf>
    <xf numFmtId="164" fontId="173" fillId="35" borderId="0" applyNumberFormat="0" applyBorder="0" applyAlignment="0" applyProtection="0">
      <alignment vertical="center"/>
    </xf>
    <xf numFmtId="164" fontId="156" fillId="39" borderId="0" applyNumberFormat="0" applyBorder="0" applyAlignment="0" applyProtection="0">
      <alignment vertical="center"/>
    </xf>
    <xf numFmtId="213" fontId="51" fillId="0" borderId="0" applyFill="0" applyBorder="0" applyAlignment="0"/>
    <xf numFmtId="164" fontId="173" fillId="35" borderId="0" applyNumberFormat="0" applyBorder="0" applyAlignment="0" applyProtection="0">
      <alignment vertical="center"/>
    </xf>
    <xf numFmtId="164" fontId="177" fillId="3" borderId="0" applyNumberFormat="0" applyBorder="0" applyAlignment="0" applyProtection="0">
      <alignment vertical="center"/>
    </xf>
    <xf numFmtId="164" fontId="122" fillId="35"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4" fillId="52" borderId="0" applyNumberFormat="0" applyBorder="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22" fillId="38" borderId="0" applyNumberFormat="0" applyBorder="0" applyAlignment="0" applyProtection="0">
      <alignment vertical="center"/>
    </xf>
    <xf numFmtId="164" fontId="166" fillId="39" borderId="11" applyNumberFormat="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219" fontId="88" fillId="0" borderId="0"/>
    <xf numFmtId="164" fontId="129" fillId="0" borderId="0" applyNumberFormat="0" applyFill="0" applyBorder="0" applyAlignment="0" applyProtection="0">
      <alignment vertical="center"/>
    </xf>
    <xf numFmtId="216" fontId="51" fillId="0" borderId="0" applyFont="0" applyFill="0" applyBorder="0" applyAlignment="0" applyProtection="0"/>
    <xf numFmtId="164" fontId="189" fillId="0" borderId="0" applyNumberFormat="0" applyFill="0" applyBorder="0" applyAlignment="0" applyProtection="0">
      <alignment vertical="center"/>
    </xf>
    <xf numFmtId="14" fontId="31" fillId="0" borderId="0">
      <alignment horizontal="center" wrapText="1"/>
      <protection locked="0"/>
    </xf>
    <xf numFmtId="164" fontId="179" fillId="0" borderId="18" applyNumberFormat="0" applyFill="0" applyAlignment="0" applyProtection="0">
      <alignment vertical="center"/>
    </xf>
    <xf numFmtId="164" fontId="123" fillId="42" borderId="0" applyNumberFormat="0" applyBorder="0" applyAlignment="0" applyProtection="0">
      <alignment vertical="center"/>
    </xf>
    <xf numFmtId="218" fontId="88" fillId="0" borderId="0" applyFill="0" applyBorder="0" applyAlignment="0"/>
    <xf numFmtId="217" fontId="51"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57" fillId="44" borderId="0" applyNumberFormat="0" applyBorder="0" applyAlignment="0" applyProtection="0">
      <alignment vertical="center"/>
    </xf>
    <xf numFmtId="164" fontId="137" fillId="36" borderId="0" applyNumberFormat="0" applyBorder="0" applyAlignment="0" applyProtection="0">
      <alignment vertical="center"/>
    </xf>
    <xf numFmtId="164" fontId="123" fillId="50" borderId="0" applyNumberFormat="0" applyBorder="0" applyAlignment="0" applyProtection="0">
      <alignment vertical="center"/>
    </xf>
    <xf numFmtId="164" fontId="156" fillId="40" borderId="0" applyNumberFormat="0" applyBorder="0" applyAlignment="0" applyProtection="0">
      <alignment vertical="center"/>
    </xf>
    <xf numFmtId="164" fontId="63" fillId="0" borderId="21"/>
    <xf numFmtId="164" fontId="123" fillId="50" borderId="0" applyNumberFormat="0" applyBorder="0" applyAlignment="0" applyProtection="0">
      <alignment vertical="center"/>
    </xf>
    <xf numFmtId="212" fontId="88" fillId="0" borderId="0" applyFill="0" applyBorder="0" applyAlignment="0"/>
    <xf numFmtId="164" fontId="178" fillId="53" borderId="11" applyNumberFormat="0" applyAlignment="0" applyProtection="0">
      <alignment vertical="center"/>
    </xf>
    <xf numFmtId="164" fontId="129" fillId="0" borderId="0" applyNumberFormat="0" applyFill="0" applyBorder="0" applyAlignment="0" applyProtection="0">
      <alignment vertical="center"/>
    </xf>
    <xf numFmtId="164" fontId="170" fillId="0" borderId="0" applyNumberFormat="0" applyFill="0" applyBorder="0" applyAlignment="0" applyProtection="0">
      <alignment vertical="center"/>
    </xf>
    <xf numFmtId="164" fontId="156" fillId="37" borderId="0" applyNumberFormat="0" applyBorder="0" applyAlignment="0" applyProtection="0">
      <alignment vertical="center"/>
    </xf>
    <xf numFmtId="218" fontId="51" fillId="0" borderId="0" applyFill="0" applyBorder="0" applyAlignment="0"/>
    <xf numFmtId="216" fontId="51" fillId="0" borderId="0" applyFill="0" applyBorder="0" applyAlignment="0"/>
    <xf numFmtId="164" fontId="171" fillId="0" borderId="28" applyNumberFormat="0" applyFill="0" applyAlignment="0" applyProtection="0">
      <alignment vertical="center"/>
    </xf>
    <xf numFmtId="213" fontId="51" fillId="0" borderId="0" applyFill="0" applyBorder="0" applyAlignment="0"/>
    <xf numFmtId="164" fontId="126" fillId="3" borderId="0" applyNumberFormat="0" applyBorder="0" applyAlignment="0" applyProtection="0">
      <alignment vertical="center"/>
    </xf>
    <xf numFmtId="164" fontId="173" fillId="43" borderId="0" applyNumberFormat="0" applyBorder="0" applyAlignment="0" applyProtection="0">
      <alignment vertical="center"/>
    </xf>
    <xf numFmtId="217" fontId="88" fillId="0" borderId="0" applyFill="0" applyBorder="0" applyAlignment="0"/>
    <xf numFmtId="164" fontId="183" fillId="0" borderId="26" applyNumberFormat="0" applyFill="0" applyAlignment="0" applyProtection="0">
      <alignment vertical="center"/>
    </xf>
    <xf numFmtId="217" fontId="88" fillId="0" borderId="0" applyFont="0" applyFill="0" applyBorder="0" applyAlignment="0" applyProtection="0"/>
    <xf numFmtId="164" fontId="181" fillId="0" borderId="0" applyNumberFormat="0" applyFill="0" applyBorder="0" applyAlignment="0" applyProtection="0">
      <alignment vertical="center"/>
    </xf>
    <xf numFmtId="213" fontId="51" fillId="0" borderId="0" applyFill="0" applyBorder="0" applyAlignment="0"/>
    <xf numFmtId="220" fontId="51" fillId="0" borderId="0" applyFont="0" applyFill="0" applyBorder="0" applyAlignment="0" applyProtection="0"/>
    <xf numFmtId="164" fontId="175" fillId="61"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216" fontId="51" fillId="0" borderId="0" applyFill="0" applyBorder="0" applyAlignment="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122" fillId="39" borderId="0" applyNumberFormat="0" applyBorder="0" applyAlignment="0" applyProtection="0">
      <alignment vertical="center"/>
    </xf>
    <xf numFmtId="164" fontId="127" fillId="53" borderId="11" applyNumberFormat="0" applyAlignment="0" applyProtection="0">
      <alignment vertical="center"/>
    </xf>
    <xf numFmtId="218" fontId="88" fillId="0" borderId="0" applyFill="0" applyBorder="0" applyAlignment="0"/>
    <xf numFmtId="164" fontId="168" fillId="61" borderId="0" applyNumberFormat="0" applyBorder="0" applyAlignment="0" applyProtection="0">
      <alignment vertical="center"/>
    </xf>
    <xf numFmtId="200" fontId="51" fillId="58" borderId="0"/>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217" fontId="88" fillId="0" borderId="0" applyFill="0" applyBorder="0" applyAlignment="0"/>
    <xf numFmtId="164" fontId="122" fillId="43" borderId="0" applyNumberFormat="0" applyBorder="0" applyAlignment="0" applyProtection="0">
      <alignment vertical="center"/>
    </xf>
    <xf numFmtId="164" fontId="156" fillId="37" borderId="0" applyNumberFormat="0" applyBorder="0" applyAlignment="0" applyProtection="0">
      <alignment vertical="center"/>
    </xf>
    <xf numFmtId="222" fontId="51" fillId="0" borderId="0" applyFill="0" applyBorder="0" applyAlignment="0"/>
    <xf numFmtId="217" fontId="51" fillId="0" borderId="0" applyFont="0" applyFill="0" applyBorder="0" applyAlignment="0" applyProtection="0"/>
    <xf numFmtId="164" fontId="177" fillId="3" borderId="0" applyNumberFormat="0" applyBorder="0" applyAlignment="0" applyProtection="0">
      <alignment vertical="center"/>
    </xf>
    <xf numFmtId="213" fontId="88" fillId="0" borderId="0" applyFill="0" applyBorder="0" applyAlignment="0"/>
    <xf numFmtId="164" fontId="135" fillId="53" borderId="20" applyNumberFormat="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164" fontId="122" fillId="36" borderId="0" applyNumberFormat="0" applyBorder="0" applyAlignment="0" applyProtection="0">
      <alignment vertical="center"/>
    </xf>
    <xf numFmtId="164" fontId="157" fillId="44" borderId="0" applyNumberFormat="0" applyBorder="0" applyAlignment="0" applyProtection="0">
      <alignment vertical="center"/>
    </xf>
    <xf numFmtId="164" fontId="97" fillId="0" borderId="23"/>
    <xf numFmtId="219" fontId="88" fillId="0" borderId="0"/>
    <xf numFmtId="164" fontId="156" fillId="65" borderId="27" applyNumberFormat="0" applyFont="0" applyAlignment="0" applyProtection="0">
      <alignment vertical="center"/>
    </xf>
    <xf numFmtId="164" fontId="157" fillId="45" borderId="0" applyNumberFormat="0" applyBorder="0" applyAlignment="0" applyProtection="0">
      <alignment vertical="center"/>
    </xf>
    <xf numFmtId="213" fontId="51" fillId="0" borderId="0" applyFill="0" applyBorder="0" applyAlignment="0"/>
    <xf numFmtId="164" fontId="187" fillId="54" borderId="12" applyNumberFormat="0" applyAlignment="0" applyProtection="0">
      <alignment vertical="center"/>
    </xf>
    <xf numFmtId="164" fontId="97" fillId="0" borderId="23"/>
    <xf numFmtId="217" fontId="51" fillId="0" borderId="0" applyFill="0" applyBorder="0" applyAlignment="0"/>
    <xf numFmtId="217" fontId="51" fillId="0" borderId="0" applyFill="0" applyBorder="0" applyAlignment="0"/>
    <xf numFmtId="213" fontId="51" fillId="0" borderId="0" applyFill="0" applyBorder="0" applyAlignment="0"/>
    <xf numFmtId="164" fontId="174" fillId="49" borderId="0" applyNumberFormat="0" applyBorder="0" applyAlignment="0" applyProtection="0">
      <alignment vertical="center"/>
    </xf>
    <xf numFmtId="164" fontId="174" fillId="41" borderId="0" applyNumberFormat="0" applyBorder="0" applyAlignment="0" applyProtection="0">
      <alignment vertical="center"/>
    </xf>
    <xf numFmtId="164" fontId="123" fillId="52" borderId="0" applyNumberFormat="0" applyBorder="0" applyAlignment="0" applyProtection="0">
      <alignment vertical="center"/>
    </xf>
    <xf numFmtId="218" fontId="88" fillId="0" borderId="0" applyFill="0" applyBorder="0" applyAlignment="0"/>
    <xf numFmtId="164" fontId="173" fillId="36" borderId="0" applyNumberFormat="0" applyBorder="0" applyAlignment="0" applyProtection="0">
      <alignment vertical="center"/>
    </xf>
    <xf numFmtId="164" fontId="157" fillId="49" borderId="0" applyNumberFormat="0" applyBorder="0" applyAlignment="0" applyProtection="0">
      <alignment vertical="center"/>
    </xf>
    <xf numFmtId="164" fontId="123" fillId="42" borderId="0" applyNumberFormat="0" applyBorder="0" applyAlignment="0" applyProtection="0">
      <alignment vertical="center"/>
    </xf>
    <xf numFmtId="14" fontId="91" fillId="0" borderId="0">
      <alignment horizontal="center" wrapText="1"/>
      <protection locked="0"/>
    </xf>
    <xf numFmtId="164" fontId="157" fillId="44" borderId="0" applyNumberFormat="0" applyBorder="0" applyAlignment="0" applyProtection="0">
      <alignment vertical="center"/>
    </xf>
    <xf numFmtId="164" fontId="122" fillId="41" borderId="0" applyNumberFormat="0" applyBorder="0" applyAlignment="0" applyProtection="0">
      <alignment vertical="center"/>
    </xf>
    <xf numFmtId="164" fontId="174" fillId="44" borderId="0" applyNumberFormat="0" applyBorder="0" applyAlignment="0" applyProtection="0">
      <alignment vertical="center"/>
    </xf>
    <xf numFmtId="164" fontId="90" fillId="65" borderId="27" applyNumberFormat="0" applyFont="0" applyAlignment="0" applyProtection="0"/>
    <xf numFmtId="164" fontId="126" fillId="3" borderId="0" applyNumberFormat="0" applyBorder="0" applyAlignment="0" applyProtection="0">
      <alignment vertical="center"/>
    </xf>
    <xf numFmtId="216" fontId="88" fillId="0" borderId="0" applyFill="0" applyBorder="0" applyAlignment="0"/>
    <xf numFmtId="164" fontId="165" fillId="0" borderId="15" applyNumberFormat="0" applyFill="0" applyAlignment="0" applyProtection="0">
      <alignment vertical="center"/>
    </xf>
    <xf numFmtId="164" fontId="123" fillId="45" borderId="0" applyNumberFormat="0" applyBorder="0" applyAlignment="0" applyProtection="0">
      <alignment vertical="center"/>
    </xf>
    <xf numFmtId="164" fontId="96" fillId="0" borderId="21"/>
    <xf numFmtId="164" fontId="156" fillId="38" borderId="0" applyNumberFormat="0" applyBorder="0" applyAlignment="0" applyProtection="0">
      <alignment vertical="center"/>
    </xf>
    <xf numFmtId="219" fontId="51" fillId="0" borderId="0"/>
    <xf numFmtId="213" fontId="51" fillId="0" borderId="0" applyFont="0" applyFill="0" applyBorder="0" applyAlignment="0" applyProtection="0"/>
    <xf numFmtId="164" fontId="173" fillId="43" borderId="0" applyNumberFormat="0" applyBorder="0" applyAlignment="0" applyProtection="0">
      <alignment vertical="center"/>
    </xf>
    <xf numFmtId="164" fontId="63" fillId="0" borderId="21"/>
    <xf numFmtId="215" fontId="88" fillId="0" borderId="0" applyFill="0" applyBorder="0" applyAlignment="0"/>
    <xf numFmtId="213" fontId="88" fillId="0" borderId="0" applyFill="0" applyBorder="0" applyAlignment="0"/>
    <xf numFmtId="164" fontId="122" fillId="3" borderId="0" applyNumberFormat="0" applyBorder="0" applyAlignment="0" applyProtection="0">
      <alignment vertical="center"/>
    </xf>
    <xf numFmtId="221" fontId="51" fillId="0" borderId="0" applyFill="0" applyBorder="0" applyAlignment="0"/>
    <xf numFmtId="164" fontId="30" fillId="0" borderId="23"/>
    <xf numFmtId="164" fontId="174" fillId="49" borderId="0" applyNumberFormat="0" applyBorder="0" applyAlignment="0" applyProtection="0">
      <alignment vertical="center"/>
    </xf>
    <xf numFmtId="164" fontId="136" fillId="54" borderId="12" applyNumberFormat="0" applyAlignment="0" applyProtection="0">
      <alignment vertical="center"/>
    </xf>
    <xf numFmtId="212" fontId="88" fillId="0" borderId="0" applyFill="0" applyBorder="0" applyAlignment="0"/>
    <xf numFmtId="213" fontId="88" fillId="0" borderId="0" applyFont="0" applyFill="0" applyBorder="0" applyAlignment="0" applyProtection="0"/>
    <xf numFmtId="217" fontId="51" fillId="0" borderId="0" applyFill="0" applyBorder="0" applyAlignment="0"/>
    <xf numFmtId="164" fontId="173" fillId="35" borderId="0" applyNumberFormat="0" applyBorder="0" applyAlignment="0" applyProtection="0">
      <alignment vertical="center"/>
    </xf>
    <xf numFmtId="217" fontId="88" fillId="0" borderId="0" applyFont="0" applyFill="0" applyBorder="0" applyAlignment="0" applyProtection="0"/>
    <xf numFmtId="217" fontId="88" fillId="0" borderId="0" applyFill="0" applyBorder="0" applyAlignment="0"/>
    <xf numFmtId="14" fontId="91" fillId="0" borderId="0">
      <alignment horizontal="center" wrapText="1"/>
      <protection locked="0"/>
    </xf>
    <xf numFmtId="217" fontId="51" fillId="0" borderId="0" applyFill="0" applyBorder="0" applyAlignment="0"/>
    <xf numFmtId="164" fontId="156" fillId="65" borderId="27" applyNumberFormat="0" applyFont="0" applyAlignment="0" applyProtection="0">
      <alignment vertical="center"/>
    </xf>
    <xf numFmtId="164" fontId="182" fillId="0" borderId="25" applyNumberFormat="0" applyFill="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00" fontId="51" fillId="58" borderId="0"/>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213" fontId="51" fillId="0" borderId="0" applyFill="0" applyBorder="0" applyAlignment="0"/>
    <xf numFmtId="164" fontId="136" fillId="54" borderId="12" applyNumberFormat="0" applyAlignment="0" applyProtection="0">
      <alignment vertical="center"/>
    </xf>
    <xf numFmtId="164" fontId="157" fillId="45" borderId="0" applyNumberFormat="0" applyBorder="0" applyAlignment="0" applyProtection="0">
      <alignment vertical="center"/>
    </xf>
    <xf numFmtId="214"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216" fontId="51" fillId="0" borderId="0" applyFont="0" applyFill="0" applyBorder="0" applyAlignment="0" applyProtection="0"/>
    <xf numFmtId="164" fontId="122" fillId="3" borderId="0" applyNumberFormat="0" applyBorder="0" applyAlignment="0" applyProtection="0">
      <alignment vertical="center"/>
    </xf>
    <xf numFmtId="164" fontId="157" fillId="41" borderId="0" applyNumberFormat="0" applyBorder="0" applyAlignment="0" applyProtection="0">
      <alignment vertical="center"/>
    </xf>
    <xf numFmtId="164" fontId="173" fillId="38" borderId="0" applyNumberFormat="0" applyBorder="0" applyAlignment="0" applyProtection="0">
      <alignment vertical="center"/>
    </xf>
    <xf numFmtId="213" fontId="51" fillId="0" borderId="0" applyFill="0" applyBorder="0" applyAlignment="0"/>
    <xf numFmtId="217" fontId="88" fillId="0" borderId="0" applyFill="0" applyBorder="0" applyAlignment="0"/>
    <xf numFmtId="164" fontId="165" fillId="0" borderId="15" applyNumberFormat="0" applyFill="0" applyAlignment="0" applyProtection="0">
      <alignment vertical="center"/>
    </xf>
    <xf numFmtId="213" fontId="51" fillId="0" borderId="0" applyFill="0" applyBorder="0" applyAlignment="0"/>
    <xf numFmtId="213" fontId="51" fillId="0" borderId="0" applyFill="0" applyBorder="0" applyAlignment="0"/>
    <xf numFmtId="164" fontId="156" fillId="43" borderId="0" applyNumberFormat="0" applyBorder="0" applyAlignment="0" applyProtection="0">
      <alignment vertical="center"/>
    </xf>
    <xf numFmtId="217" fontId="51" fillId="0" borderId="0" applyFill="0" applyBorder="0" applyAlignment="0"/>
    <xf numFmtId="164" fontId="173" fillId="40" borderId="0" applyNumberFormat="0" applyBorder="0" applyAlignment="0" applyProtection="0">
      <alignment vertical="center"/>
    </xf>
    <xf numFmtId="164" fontId="187" fillId="54" borderId="12" applyNumberFormat="0" applyAlignment="0" applyProtection="0">
      <alignment vertical="center"/>
    </xf>
    <xf numFmtId="213" fontId="88" fillId="0" borderId="0" applyFill="0" applyBorder="0" applyAlignment="0"/>
    <xf numFmtId="164" fontId="156" fillId="65" borderId="27" applyNumberFormat="0" applyFont="0" applyAlignment="0" applyProtection="0">
      <alignment vertical="center"/>
    </xf>
    <xf numFmtId="217" fontId="88" fillId="0" borderId="0" applyFill="0" applyBorder="0" applyAlignment="0"/>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1" borderId="0" applyNumberFormat="0" applyBorder="0" applyAlignment="0" applyProtection="0">
      <alignment vertical="center"/>
    </xf>
    <xf numFmtId="164" fontId="103" fillId="65" borderId="27" applyNumberFormat="0" applyFont="0" applyAlignment="0" applyProtection="0">
      <alignment vertical="center"/>
    </xf>
    <xf numFmtId="164" fontId="173" fillId="39" borderId="0" applyNumberFormat="0" applyBorder="0" applyAlignment="0" applyProtection="0">
      <alignment vertical="center"/>
    </xf>
    <xf numFmtId="164" fontId="122" fillId="43"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74" fillId="46" borderId="0" applyNumberFormat="0" applyBorder="0" applyAlignment="0" applyProtection="0">
      <alignment vertical="center"/>
    </xf>
    <xf numFmtId="213" fontId="51" fillId="0" borderId="0" applyFont="0" applyFill="0" applyBorder="0" applyAlignment="0" applyProtection="0"/>
    <xf numFmtId="164" fontId="186" fillId="53" borderId="20" applyNumberFormat="0" applyAlignment="0" applyProtection="0">
      <alignment vertical="center"/>
    </xf>
    <xf numFmtId="164" fontId="123" fillId="41" borderId="0" applyNumberFormat="0" applyBorder="0" applyAlignment="0" applyProtection="0">
      <alignment vertical="center"/>
    </xf>
    <xf numFmtId="164" fontId="173" fillId="40" borderId="0" applyNumberFormat="0" applyBorder="0" applyAlignment="0" applyProtection="0">
      <alignment vertical="center"/>
    </xf>
    <xf numFmtId="164" fontId="123" fillId="45" borderId="0" applyNumberFormat="0" applyBorder="0" applyAlignment="0" applyProtection="0">
      <alignment vertical="center"/>
    </xf>
    <xf numFmtId="164" fontId="174" fillId="46" borderId="0" applyNumberFormat="0" applyBorder="0" applyAlignment="0" applyProtection="0">
      <alignment vertical="center"/>
    </xf>
    <xf numFmtId="164" fontId="158" fillId="36" borderId="0" applyNumberFormat="0" applyBorder="0" applyAlignment="0" applyProtection="0">
      <alignment vertical="center"/>
    </xf>
    <xf numFmtId="164" fontId="157" fillId="50" borderId="0" applyNumberFormat="0" applyBorder="0" applyAlignment="0" applyProtection="0">
      <alignment vertical="center"/>
    </xf>
    <xf numFmtId="164" fontId="156" fillId="37" borderId="0" applyNumberFormat="0" applyBorder="0" applyAlignment="0" applyProtection="0">
      <alignment vertical="center"/>
    </xf>
    <xf numFmtId="217" fontId="88" fillId="0" borderId="0" applyFill="0" applyBorder="0" applyAlignment="0"/>
    <xf numFmtId="164" fontId="173" fillId="42" borderId="0" applyNumberFormat="0" applyBorder="0" applyAlignment="0" applyProtection="0">
      <alignment vertical="center"/>
    </xf>
    <xf numFmtId="164" fontId="136" fillId="54" borderId="12" applyNumberFormat="0" applyAlignment="0" applyProtection="0">
      <alignment vertical="center"/>
    </xf>
    <xf numFmtId="219" fontId="88" fillId="0" borderId="0"/>
    <xf numFmtId="217"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73" fillId="37" borderId="0" applyNumberFormat="0" applyBorder="0" applyAlignment="0" applyProtection="0">
      <alignment vertical="center"/>
    </xf>
    <xf numFmtId="164" fontId="184" fillId="0" borderId="0" applyNumberFormat="0" applyFill="0" applyBorder="0" applyAlignment="0" applyProtection="0">
      <alignment vertical="center"/>
    </xf>
    <xf numFmtId="218" fontId="51" fillId="0" borderId="0" applyFill="0" applyBorder="0" applyAlignment="0"/>
    <xf numFmtId="164" fontId="156" fillId="65" borderId="27" applyNumberFormat="0" applyFont="0" applyAlignment="0" applyProtection="0">
      <alignment vertical="center"/>
    </xf>
    <xf numFmtId="164" fontId="181" fillId="0" borderId="0" applyNumberFormat="0" applyFill="0" applyBorder="0" applyAlignment="0" applyProtection="0">
      <alignment vertical="center"/>
    </xf>
    <xf numFmtId="216" fontId="51" fillId="0" borderId="0" applyFont="0" applyFill="0" applyBorder="0" applyAlignment="0" applyProtection="0"/>
    <xf numFmtId="220" fontId="51" fillId="0" borderId="0" applyFont="0" applyFill="0" applyBorder="0" applyAlignment="0" applyProtection="0"/>
    <xf numFmtId="164" fontId="85" fillId="65" borderId="27" applyNumberFormat="0" applyFont="0" applyAlignment="0" applyProtection="0">
      <alignment vertical="center"/>
    </xf>
    <xf numFmtId="213" fontId="51" fillId="0" borderId="0" applyFill="0" applyBorder="0" applyAlignment="0"/>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96" fillId="0" borderId="21"/>
    <xf numFmtId="213" fontId="88" fillId="0" borderId="0" applyFill="0" applyBorder="0" applyAlignment="0"/>
    <xf numFmtId="164" fontId="178" fillId="53" borderId="11" applyNumberFormat="0" applyAlignment="0" applyProtection="0">
      <alignment vertical="center"/>
    </xf>
    <xf numFmtId="222" fontId="88" fillId="0" borderId="0" applyFill="0" applyBorder="0" applyAlignment="0"/>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89" fillId="0" borderId="0" applyNumberFormat="0" applyFill="0" applyBorder="0" applyAlignment="0" applyProtection="0">
      <alignment vertical="center"/>
    </xf>
    <xf numFmtId="164" fontId="122" fillId="37" borderId="0" applyNumberFormat="0" applyBorder="0" applyAlignment="0" applyProtection="0">
      <alignment vertical="center"/>
    </xf>
    <xf numFmtId="213" fontId="88" fillId="0" borderId="0" applyFill="0" applyBorder="0" applyAlignment="0"/>
    <xf numFmtId="164" fontId="174" fillId="44" borderId="0" applyNumberFormat="0" applyBorder="0" applyAlignment="0" applyProtection="0">
      <alignment vertical="center"/>
    </xf>
    <xf numFmtId="213" fontId="88" fillId="0" borderId="0" applyFill="0" applyBorder="0" applyAlignment="0"/>
    <xf numFmtId="164" fontId="157" fillId="51" borderId="0" applyNumberFormat="0" applyBorder="0" applyAlignment="0" applyProtection="0">
      <alignment vertical="center"/>
    </xf>
    <xf numFmtId="164" fontId="156" fillId="41" borderId="0" applyNumberFormat="0" applyBorder="0" applyAlignment="0" applyProtection="0">
      <alignment vertical="center"/>
    </xf>
    <xf numFmtId="200" fontId="88" fillId="58" borderId="0"/>
    <xf numFmtId="217" fontId="51" fillId="0" borderId="0" applyFill="0" applyBorder="0" applyAlignment="0"/>
    <xf numFmtId="164" fontId="166" fillId="39" borderId="11" applyNumberFormat="0" applyAlignment="0" applyProtection="0">
      <alignment vertical="center"/>
    </xf>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164" fontId="122" fillId="40" borderId="0" applyNumberFormat="0" applyBorder="0" applyAlignment="0" applyProtection="0">
      <alignment vertical="center"/>
    </xf>
    <xf numFmtId="164" fontId="156" fillId="39" borderId="0" applyNumberFormat="0" applyBorder="0" applyAlignment="0" applyProtection="0">
      <alignment vertical="center"/>
    </xf>
    <xf numFmtId="164" fontId="164" fillId="0" borderId="26" applyNumberFormat="0" applyFill="0" applyAlignment="0" applyProtection="0">
      <alignment vertical="center"/>
    </xf>
    <xf numFmtId="164" fontId="158" fillId="36" borderId="0" applyNumberFormat="0" applyBorder="0" applyAlignment="0" applyProtection="0">
      <alignment vertical="center"/>
    </xf>
    <xf numFmtId="164" fontId="127" fillId="53" borderId="11" applyNumberFormat="0" applyAlignment="0" applyProtection="0">
      <alignment vertical="center"/>
    </xf>
    <xf numFmtId="164" fontId="174" fillId="42" borderId="0" applyNumberFormat="0" applyBorder="0" applyAlignment="0" applyProtection="0">
      <alignment vertical="center"/>
    </xf>
    <xf numFmtId="164" fontId="187" fillId="54" borderId="12" applyNumberFormat="0" applyAlignment="0" applyProtection="0">
      <alignment vertical="center"/>
    </xf>
    <xf numFmtId="164" fontId="156" fillId="3" borderId="0" applyNumberFormat="0" applyBorder="0" applyAlignment="0" applyProtection="0">
      <alignment vertical="center"/>
    </xf>
    <xf numFmtId="14" fontId="31" fillId="0" borderId="0">
      <alignment horizontal="center" wrapText="1"/>
      <protection locked="0"/>
    </xf>
    <xf numFmtId="216" fontId="51" fillId="0" borderId="0" applyFill="0" applyBorder="0" applyAlignment="0"/>
    <xf numFmtId="164" fontId="173" fillId="35" borderId="0" applyNumberFormat="0" applyBorder="0" applyAlignment="0" applyProtection="0">
      <alignment vertical="center"/>
    </xf>
    <xf numFmtId="164" fontId="174" fillId="45" borderId="0" applyNumberFormat="0" applyBorder="0" applyAlignment="0" applyProtection="0">
      <alignment vertical="center"/>
    </xf>
    <xf numFmtId="164" fontId="173" fillId="37" borderId="0" applyNumberFormat="0" applyBorder="0" applyAlignment="0" applyProtection="0">
      <alignment vertical="center"/>
    </xf>
    <xf numFmtId="164" fontId="179" fillId="0" borderId="18" applyNumberFormat="0" applyFill="0" applyAlignment="0" applyProtection="0">
      <alignment vertical="center"/>
    </xf>
    <xf numFmtId="164" fontId="166" fillId="39" borderId="11" applyNumberFormat="0" applyAlignment="0" applyProtection="0">
      <alignment vertical="center"/>
    </xf>
    <xf numFmtId="164" fontId="174" fillId="52" borderId="0" applyNumberFormat="0" applyBorder="0" applyAlignment="0" applyProtection="0">
      <alignment vertical="center"/>
    </xf>
    <xf numFmtId="222" fontId="88" fillId="0" borderId="0" applyFill="0" applyBorder="0" applyAlignment="0"/>
    <xf numFmtId="222" fontId="51" fillId="0" borderId="0" applyFill="0" applyBorder="0" applyAlignment="0"/>
    <xf numFmtId="216" fontId="51" fillId="0" borderId="0" applyFont="0" applyFill="0" applyBorder="0" applyAlignment="0" applyProtection="0"/>
    <xf numFmtId="219" fontId="51" fillId="0" borderId="0"/>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164" fontId="162" fillId="3" borderId="0" applyNumberFormat="0" applyBorder="0" applyAlignment="0" applyProtection="0">
      <alignment vertical="center"/>
    </xf>
    <xf numFmtId="164" fontId="157" fillId="52" borderId="0" applyNumberFormat="0" applyBorder="0" applyAlignment="0" applyProtection="0">
      <alignment vertical="center"/>
    </xf>
    <xf numFmtId="164" fontId="173" fillId="41" borderId="0" applyNumberFormat="0" applyBorder="0" applyAlignment="0" applyProtection="0">
      <alignment vertical="center"/>
    </xf>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22" fillId="38" borderId="0" applyNumberFormat="0" applyBorder="0" applyAlignment="0" applyProtection="0">
      <alignment vertical="center"/>
    </xf>
    <xf numFmtId="216" fontId="88" fillId="0" borderId="0" applyFill="0" applyBorder="0" applyAlignment="0"/>
    <xf numFmtId="218" fontId="88" fillId="0" borderId="0" applyFill="0" applyBorder="0" applyAlignment="0"/>
    <xf numFmtId="164" fontId="167" fillId="0" borderId="18"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218" fontId="51" fillId="0" borderId="0" applyFill="0" applyBorder="0" applyAlignment="0"/>
    <xf numFmtId="164" fontId="122" fillId="37" borderId="0" applyNumberFormat="0" applyBorder="0" applyAlignment="0" applyProtection="0">
      <alignment vertical="center"/>
    </xf>
    <xf numFmtId="164" fontId="156" fillId="36" borderId="0" applyNumberFormat="0" applyBorder="0" applyAlignment="0" applyProtection="0">
      <alignment vertical="center"/>
    </xf>
    <xf numFmtId="164" fontId="174" fillId="42" borderId="0" applyNumberFormat="0" applyBorder="0" applyAlignment="0" applyProtection="0">
      <alignment vertical="center"/>
    </xf>
    <xf numFmtId="164" fontId="127" fillId="53" borderId="11" applyNumberFormat="0" applyAlignment="0" applyProtection="0">
      <alignment vertical="center"/>
    </xf>
    <xf numFmtId="213" fontId="51" fillId="0" borderId="0" applyFont="0" applyFill="0" applyBorder="0" applyAlignment="0" applyProtection="0"/>
    <xf numFmtId="212" fontId="51" fillId="0" borderId="0" applyFill="0" applyBorder="0" applyAlignment="0"/>
    <xf numFmtId="222" fontId="88" fillId="0" borderId="0" applyFill="0" applyBorder="0" applyAlignment="0"/>
    <xf numFmtId="164" fontId="30" fillId="0" borderId="23"/>
    <xf numFmtId="164" fontId="157" fillId="51"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ill="0" applyBorder="0" applyAlignment="0"/>
    <xf numFmtId="164" fontId="127" fillId="53" borderId="11" applyNumberFormat="0" applyAlignment="0" applyProtection="0">
      <alignment vertical="center"/>
    </xf>
    <xf numFmtId="200" fontId="88" fillId="58" borderId="0"/>
    <xf numFmtId="164" fontId="173" fillId="36" borderId="0" applyNumberFormat="0" applyBorder="0" applyAlignment="0" applyProtection="0">
      <alignment vertical="center"/>
    </xf>
    <xf numFmtId="164" fontId="189" fillId="0" borderId="0" applyNumberFormat="0" applyFill="0" applyBorder="0" applyAlignment="0" applyProtection="0">
      <alignment vertical="center"/>
    </xf>
    <xf numFmtId="164" fontId="187" fillId="54" borderId="12" applyNumberFormat="0" applyAlignment="0" applyProtection="0">
      <alignment vertical="center"/>
    </xf>
    <xf numFmtId="164" fontId="173" fillId="37" borderId="0" applyNumberFormat="0" applyBorder="0" applyAlignment="0" applyProtection="0">
      <alignment vertical="center"/>
    </xf>
    <xf numFmtId="213" fontId="88" fillId="0" borderId="0" applyFill="0" applyBorder="0" applyAlignment="0"/>
    <xf numFmtId="164" fontId="160" fillId="54" borderId="12" applyNumberFormat="0" applyAlignment="0" applyProtection="0">
      <alignment vertical="center"/>
    </xf>
    <xf numFmtId="164" fontId="91" fillId="0" borderId="0">
      <alignment horizontal="center" wrapText="1"/>
      <protection locked="0"/>
    </xf>
    <xf numFmtId="164" fontId="123" fillId="44" borderId="0" applyNumberFormat="0" applyBorder="0" applyAlignment="0" applyProtection="0">
      <alignment vertical="center"/>
    </xf>
    <xf numFmtId="213" fontId="51" fillId="0" borderId="0" applyFill="0" applyBorder="0" applyAlignment="0"/>
    <xf numFmtId="164" fontId="122" fillId="40" borderId="0" applyNumberFormat="0" applyBorder="0" applyAlignment="0" applyProtection="0">
      <alignment vertical="center"/>
    </xf>
    <xf numFmtId="164" fontId="164" fillId="0" borderId="26" applyNumberFormat="0" applyFill="0" applyAlignment="0" applyProtection="0">
      <alignment vertical="center"/>
    </xf>
    <xf numFmtId="164" fontId="158" fillId="36" borderId="0" applyNumberFormat="0" applyBorder="0" applyAlignment="0" applyProtection="0">
      <alignment vertical="center"/>
    </xf>
    <xf numFmtId="164" fontId="174" fillId="46" borderId="0" applyNumberFormat="0" applyBorder="0" applyAlignment="0" applyProtection="0">
      <alignment vertical="center"/>
    </xf>
    <xf numFmtId="164" fontId="175" fillId="61" borderId="0" applyNumberFormat="0" applyBorder="0" applyAlignment="0" applyProtection="0">
      <alignment vertical="center"/>
    </xf>
    <xf numFmtId="212" fontId="88" fillId="0" borderId="0" applyFill="0" applyBorder="0" applyAlignment="0"/>
    <xf numFmtId="164" fontId="128" fillId="0" borderId="18" applyNumberFormat="0" applyFill="0" applyAlignment="0" applyProtection="0">
      <alignment vertical="center"/>
    </xf>
    <xf numFmtId="164" fontId="30" fillId="0" borderId="23"/>
    <xf numFmtId="200" fontId="51" fillId="58" borderId="0"/>
    <xf numFmtId="164" fontId="186" fillId="53" borderId="20" applyNumberFormat="0" applyAlignment="0" applyProtection="0">
      <alignment vertical="center"/>
    </xf>
    <xf numFmtId="213" fontId="88" fillId="0" borderId="0" applyFill="0" applyBorder="0" applyAlignment="0"/>
    <xf numFmtId="164" fontId="156" fillId="3" borderId="0" applyNumberFormat="0" applyBorder="0" applyAlignment="0" applyProtection="0">
      <alignment vertical="center"/>
    </xf>
    <xf numFmtId="164" fontId="181" fillId="0" borderId="0" applyNumberFormat="0" applyFill="0" applyBorder="0" applyAlignment="0" applyProtection="0">
      <alignment vertical="center"/>
    </xf>
    <xf numFmtId="164" fontId="31" fillId="0" borderId="0">
      <alignment horizontal="center" wrapText="1"/>
      <protection locked="0"/>
    </xf>
    <xf numFmtId="217" fontId="51" fillId="0" borderId="0" applyFill="0" applyBorder="0" applyAlignment="0"/>
    <xf numFmtId="164" fontId="127" fillId="53" borderId="11" applyNumberFormat="0" applyAlignment="0" applyProtection="0">
      <alignment vertical="center"/>
    </xf>
    <xf numFmtId="164" fontId="165" fillId="0" borderId="0" applyNumberFormat="0" applyFill="0" applyBorder="0" applyAlignment="0" applyProtection="0">
      <alignment vertical="center"/>
    </xf>
    <xf numFmtId="221" fontId="51" fillId="0" borderId="0" applyFill="0" applyBorder="0" applyAlignment="0"/>
    <xf numFmtId="164" fontId="157" fillId="50" borderId="0" applyNumberFormat="0" applyBorder="0" applyAlignment="0" applyProtection="0">
      <alignment vertical="center"/>
    </xf>
    <xf numFmtId="164" fontId="174" fillId="44" borderId="0" applyNumberFormat="0" applyBorder="0" applyAlignment="0" applyProtection="0">
      <alignment vertical="center"/>
    </xf>
    <xf numFmtId="217" fontId="88" fillId="0" borderId="0" applyFill="0" applyBorder="0" applyAlignment="0"/>
    <xf numFmtId="164" fontId="126" fillId="3" borderId="0" applyNumberFormat="0" applyBorder="0" applyAlignment="0" applyProtection="0">
      <alignment vertical="center"/>
    </xf>
    <xf numFmtId="164" fontId="157" fillId="46" borderId="0" applyNumberFormat="0" applyBorder="0" applyAlignment="0" applyProtection="0">
      <alignment vertical="center"/>
    </xf>
    <xf numFmtId="164" fontId="173" fillId="3" borderId="0" applyNumberFormat="0" applyBorder="0" applyAlignment="0" applyProtection="0">
      <alignment vertical="center"/>
    </xf>
    <xf numFmtId="164" fontId="178" fillId="53" borderId="11" applyNumberFormat="0" applyAlignment="0" applyProtection="0">
      <alignment vertical="center"/>
    </xf>
    <xf numFmtId="218" fontId="88" fillId="0" borderId="0" applyFill="0" applyBorder="0" applyAlignment="0"/>
    <xf numFmtId="217" fontId="51" fillId="0" borderId="0" applyFill="0" applyBorder="0" applyAlignment="0"/>
    <xf numFmtId="164" fontId="173" fillId="39" borderId="0" applyNumberFormat="0" applyBorder="0" applyAlignment="0" applyProtection="0">
      <alignment vertical="center"/>
    </xf>
    <xf numFmtId="213" fontId="51" fillId="0" borderId="0" applyFill="0" applyBorder="0" applyAlignment="0"/>
    <xf numFmtId="164" fontId="174" fillId="51" borderId="0" applyNumberFormat="0" applyBorder="0" applyAlignment="0" applyProtection="0">
      <alignment vertical="center"/>
    </xf>
    <xf numFmtId="213" fontId="51" fillId="0" borderId="0" applyFill="0" applyBorder="0" applyAlignment="0"/>
    <xf numFmtId="222" fontId="51" fillId="0" borderId="0" applyFill="0" applyBorder="0" applyAlignment="0"/>
    <xf numFmtId="216" fontId="51" fillId="0" borderId="0" applyFont="0" applyFill="0" applyBorder="0" applyAlignment="0" applyProtection="0"/>
    <xf numFmtId="219" fontId="51" fillId="0" borderId="0"/>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213" fontId="88" fillId="0" borderId="0" applyFill="0" applyBorder="0" applyAlignment="0"/>
    <xf numFmtId="164" fontId="125" fillId="0" borderId="28" applyNumberFormat="0" applyFill="0" applyAlignment="0" applyProtection="0">
      <alignment vertical="center"/>
    </xf>
    <xf numFmtId="213" fontId="51" fillId="0" borderId="0" applyFill="0" applyBorder="0" applyAlignment="0"/>
    <xf numFmtId="214" fontId="51" fillId="0" borderId="0" applyFill="0" applyBorder="0" applyAlignment="0"/>
    <xf numFmtId="219" fontId="88" fillId="0" borderId="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90" fillId="65" borderId="27" applyNumberFormat="0" applyFont="0" applyAlignment="0" applyProtection="0"/>
    <xf numFmtId="164" fontId="156" fillId="40" borderId="0" applyNumberFormat="0" applyBorder="0" applyAlignment="0" applyProtection="0">
      <alignment vertical="center"/>
    </xf>
    <xf numFmtId="213" fontId="88" fillId="0" borderId="0" applyFill="0" applyBorder="0" applyAlignment="0"/>
    <xf numFmtId="218" fontId="88" fillId="0" borderId="0" applyFill="0" applyBorder="0" applyAlignment="0"/>
    <xf numFmtId="164" fontId="157" fillId="46" borderId="0" applyNumberFormat="0" applyBorder="0" applyAlignment="0" applyProtection="0">
      <alignment vertical="center"/>
    </xf>
    <xf numFmtId="164" fontId="179" fillId="0" borderId="18" applyNumberFormat="0" applyFill="0" applyAlignment="0" applyProtection="0">
      <alignment vertical="center"/>
    </xf>
    <xf numFmtId="164" fontId="91" fillId="0" borderId="0">
      <alignment horizontal="center" wrapText="1"/>
      <protection locked="0"/>
    </xf>
    <xf numFmtId="164" fontId="158" fillId="36" borderId="0" applyNumberFormat="0" applyBorder="0" applyAlignment="0" applyProtection="0">
      <alignment vertical="center"/>
    </xf>
    <xf numFmtId="213" fontId="51" fillId="0" borderId="0" applyFill="0" applyBorder="0" applyAlignment="0"/>
    <xf numFmtId="164" fontId="167" fillId="0" borderId="18" applyNumberFormat="0" applyFill="0" applyAlignment="0" applyProtection="0">
      <alignment vertical="center"/>
    </xf>
    <xf numFmtId="164" fontId="178" fillId="53" borderId="11" applyNumberFormat="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164" fontId="159" fillId="53" borderId="11" applyNumberFormat="0" applyAlignment="0" applyProtection="0">
      <alignment vertical="center"/>
    </xf>
    <xf numFmtId="164" fontId="157" fillId="52" borderId="0" applyNumberFormat="0" applyBorder="0" applyAlignment="0" applyProtection="0">
      <alignment vertical="center"/>
    </xf>
    <xf numFmtId="164" fontId="184" fillId="0" borderId="0" applyNumberFormat="0" applyFill="0" applyBorder="0" applyAlignment="0" applyProtection="0">
      <alignment vertical="center"/>
    </xf>
    <xf numFmtId="164" fontId="170" fillId="0" borderId="0" applyNumberFormat="0" applyFill="0" applyBorder="0" applyAlignment="0" applyProtection="0">
      <alignment vertical="center"/>
    </xf>
    <xf numFmtId="164" fontId="122" fillId="37" borderId="0" applyNumberFormat="0" applyBorder="0" applyAlignment="0" applyProtection="0">
      <alignment vertical="center"/>
    </xf>
    <xf numFmtId="213" fontId="51" fillId="0" borderId="0" applyFill="0" applyBorder="0" applyAlignment="0"/>
    <xf numFmtId="164" fontId="179" fillId="0" borderId="18" applyNumberFormat="0" applyFill="0" applyAlignment="0" applyProtection="0">
      <alignment vertical="center"/>
    </xf>
    <xf numFmtId="164" fontId="123" fillId="47" borderId="0" applyNumberFormat="0" applyBorder="0" applyAlignment="0" applyProtection="0">
      <alignment vertical="center"/>
    </xf>
    <xf numFmtId="164" fontId="157" fillId="52" borderId="0" applyNumberFormat="0" applyBorder="0" applyAlignment="0" applyProtection="0">
      <alignment vertical="center"/>
    </xf>
    <xf numFmtId="164" fontId="174" fillId="51" borderId="0" applyNumberFormat="0" applyBorder="0" applyAlignment="0" applyProtection="0">
      <alignment vertical="center"/>
    </xf>
    <xf numFmtId="164" fontId="63" fillId="0" borderId="21"/>
    <xf numFmtId="212" fontId="51" fillId="0" borderId="0" applyFill="0" applyBorder="0" applyAlignment="0"/>
    <xf numFmtId="212" fontId="88" fillId="0" borderId="0" applyFill="0" applyBorder="0" applyAlignment="0"/>
    <xf numFmtId="164" fontId="156" fillId="36" borderId="0" applyNumberFormat="0" applyBorder="0" applyAlignment="0" applyProtection="0">
      <alignment vertical="center"/>
    </xf>
    <xf numFmtId="164" fontId="157" fillId="49" borderId="0" applyNumberFormat="0" applyBorder="0" applyAlignment="0" applyProtection="0">
      <alignment vertical="center"/>
    </xf>
    <xf numFmtId="164" fontId="122" fillId="43" borderId="0" applyNumberFormat="0" applyBorder="0" applyAlignment="0" applyProtection="0">
      <alignment vertical="center"/>
    </xf>
    <xf numFmtId="164" fontId="168" fillId="61" borderId="0" applyNumberFormat="0" applyBorder="0" applyAlignment="0" applyProtection="0">
      <alignment vertical="center"/>
    </xf>
    <xf numFmtId="164" fontId="174" fillId="49" borderId="0" applyNumberFormat="0" applyBorder="0" applyAlignment="0" applyProtection="0">
      <alignment vertical="center"/>
    </xf>
    <xf numFmtId="164" fontId="31" fillId="0" borderId="0">
      <alignment horizontal="center" wrapText="1"/>
      <protection locked="0"/>
    </xf>
    <xf numFmtId="218" fontId="88" fillId="0" borderId="0" applyFill="0" applyBorder="0" applyAlignment="0"/>
    <xf numFmtId="213" fontId="51" fillId="0" borderId="0" applyFont="0" applyFill="0" applyBorder="0" applyAlignment="0" applyProtection="0"/>
    <xf numFmtId="213" fontId="88" fillId="0" borderId="0" applyFont="0" applyFill="0" applyBorder="0" applyAlignment="0" applyProtection="0"/>
    <xf numFmtId="164" fontId="85" fillId="65" borderId="27" applyNumberFormat="0" applyFont="0" applyAlignment="0" applyProtection="0">
      <alignment vertical="center"/>
    </xf>
    <xf numFmtId="164" fontId="173" fillId="43"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0" applyNumberFormat="0" applyFill="0" applyBorder="0" applyAlignment="0" applyProtection="0">
      <alignment vertical="center"/>
    </xf>
    <xf numFmtId="221" fontId="51" fillId="0" borderId="0" applyFill="0" applyBorder="0" applyAlignment="0"/>
    <xf numFmtId="164" fontId="174" fillId="45" borderId="0" applyNumberFormat="0" applyBorder="0" applyAlignment="0" applyProtection="0">
      <alignment vertical="center"/>
    </xf>
    <xf numFmtId="14" fontId="31" fillId="0" borderId="0">
      <alignment horizontal="center" wrapText="1"/>
      <protection locked="0"/>
    </xf>
    <xf numFmtId="164" fontId="175" fillId="61" borderId="0" applyNumberFormat="0" applyBorder="0" applyAlignment="0" applyProtection="0">
      <alignment vertical="center"/>
    </xf>
    <xf numFmtId="218" fontId="51" fillId="0" borderId="0" applyFill="0" applyBorder="0" applyAlignment="0"/>
    <xf numFmtId="213" fontId="51" fillId="0" borderId="0" applyFill="0" applyBorder="0" applyAlignment="0"/>
    <xf numFmtId="164" fontId="174" fillId="51" borderId="0" applyNumberFormat="0" applyBorder="0" applyAlignment="0" applyProtection="0">
      <alignment vertical="center"/>
    </xf>
    <xf numFmtId="164" fontId="173" fillId="43" borderId="0" applyNumberFormat="0" applyBorder="0" applyAlignment="0" applyProtection="0">
      <alignment vertical="center"/>
    </xf>
    <xf numFmtId="164" fontId="173" fillId="39" borderId="0" applyNumberFormat="0" applyBorder="0" applyAlignment="0" applyProtection="0">
      <alignment vertical="center"/>
    </xf>
    <xf numFmtId="164" fontId="164" fillId="0" borderId="26" applyNumberFormat="0" applyFill="0" applyAlignment="0" applyProtection="0">
      <alignment vertical="center"/>
    </xf>
    <xf numFmtId="164" fontId="156" fillId="43" borderId="0" applyNumberFormat="0" applyBorder="0" applyAlignment="0" applyProtection="0">
      <alignment vertical="center"/>
    </xf>
    <xf numFmtId="164" fontId="96" fillId="0" borderId="21"/>
    <xf numFmtId="217" fontId="88" fillId="0" borderId="0" applyFill="0" applyBorder="0" applyAlignment="0"/>
    <xf numFmtId="164" fontId="174" fillId="45" borderId="0" applyNumberFormat="0" applyBorder="0" applyAlignment="0" applyProtection="0">
      <alignment vertical="center"/>
    </xf>
    <xf numFmtId="164" fontId="188" fillId="36" borderId="0" applyNumberFormat="0" applyBorder="0" applyAlignment="0" applyProtection="0">
      <alignment vertical="center"/>
    </xf>
    <xf numFmtId="164" fontId="157" fillId="49" borderId="0" applyNumberFormat="0" applyBorder="0" applyAlignment="0" applyProtection="0">
      <alignment vertical="center"/>
    </xf>
    <xf numFmtId="164" fontId="171" fillId="0" borderId="28" applyNumberFormat="0" applyFill="0" applyAlignment="0" applyProtection="0">
      <alignment vertical="center"/>
    </xf>
    <xf numFmtId="164" fontId="122" fillId="40" borderId="0" applyNumberFormat="0" applyBorder="0" applyAlignment="0" applyProtection="0">
      <alignment vertical="center"/>
    </xf>
    <xf numFmtId="213" fontId="88" fillId="0" borderId="0" applyFill="0" applyBorder="0" applyAlignment="0"/>
    <xf numFmtId="164" fontId="178" fillId="53" borderId="11" applyNumberFormat="0" applyAlignment="0" applyProtection="0">
      <alignment vertical="center"/>
    </xf>
    <xf numFmtId="164" fontId="165" fillId="0" borderId="15" applyNumberFormat="0" applyFill="0" applyAlignment="0" applyProtection="0">
      <alignment vertical="center"/>
    </xf>
    <xf numFmtId="164" fontId="174" fillId="44" borderId="0" applyNumberFormat="0" applyBorder="0" applyAlignment="0" applyProtection="0">
      <alignment vertical="center"/>
    </xf>
    <xf numFmtId="200" fontId="88" fillId="57" borderId="0"/>
    <xf numFmtId="164" fontId="173" fillId="40" borderId="0" applyNumberFormat="0" applyBorder="0" applyAlignment="0" applyProtection="0">
      <alignment vertical="center"/>
    </xf>
    <xf numFmtId="213" fontId="88" fillId="0" borderId="0" applyFill="0" applyBorder="0" applyAlignment="0"/>
    <xf numFmtId="164" fontId="157" fillId="46" borderId="0" applyNumberFormat="0" applyBorder="0" applyAlignment="0" applyProtection="0">
      <alignment vertical="center"/>
    </xf>
    <xf numFmtId="217" fontId="51" fillId="0" borderId="0" applyFill="0" applyBorder="0" applyAlignment="0"/>
    <xf numFmtId="217" fontId="88" fillId="0" borderId="0" applyFill="0" applyBorder="0" applyAlignment="0"/>
    <xf numFmtId="164" fontId="183" fillId="0" borderId="26" applyNumberFormat="0" applyFill="0" applyAlignment="0" applyProtection="0">
      <alignment vertical="center"/>
    </xf>
    <xf numFmtId="164" fontId="122" fillId="42" borderId="0" applyNumberFormat="0" applyBorder="0" applyAlignment="0" applyProtection="0">
      <alignment vertical="center"/>
    </xf>
    <xf numFmtId="164" fontId="174" fillId="50" borderId="0" applyNumberFormat="0" applyBorder="0" applyAlignment="0" applyProtection="0">
      <alignment vertical="center"/>
    </xf>
    <xf numFmtId="200" fontId="51" fillId="58" borderId="0"/>
    <xf numFmtId="164" fontId="165" fillId="0" borderId="15" applyNumberFormat="0" applyFill="0" applyAlignment="0" applyProtection="0">
      <alignment vertical="center"/>
    </xf>
    <xf numFmtId="164" fontId="174" fillId="42" borderId="0" applyNumberFormat="0" applyBorder="0" applyAlignment="0" applyProtection="0">
      <alignment vertical="center"/>
    </xf>
    <xf numFmtId="212" fontId="51" fillId="0" borderId="0" applyFill="0" applyBorder="0" applyAlignment="0"/>
    <xf numFmtId="164" fontId="156" fillId="35" borderId="0" applyNumberFormat="0" applyBorder="0" applyAlignment="0" applyProtection="0">
      <alignment vertical="center"/>
    </xf>
    <xf numFmtId="164" fontId="174" fillId="49" borderId="0" applyNumberFormat="0" applyBorder="0" applyAlignment="0" applyProtection="0">
      <alignment vertical="center"/>
    </xf>
    <xf numFmtId="164" fontId="162" fillId="3" borderId="0" applyNumberFormat="0" applyBorder="0" applyAlignment="0" applyProtection="0">
      <alignment vertical="center"/>
    </xf>
    <xf numFmtId="164" fontId="123" fillId="44" borderId="0" applyNumberFormat="0" applyBorder="0" applyAlignment="0" applyProtection="0">
      <alignment vertical="center"/>
    </xf>
    <xf numFmtId="218" fontId="51" fillId="0" borderId="0" applyFill="0" applyBorder="0" applyAlignment="0"/>
    <xf numFmtId="164" fontId="187" fillId="54" borderId="12" applyNumberFormat="0" applyAlignment="0" applyProtection="0">
      <alignment vertical="center"/>
    </xf>
    <xf numFmtId="213" fontId="51" fillId="0" borderId="0" applyFill="0" applyBorder="0" applyAlignment="0"/>
    <xf numFmtId="217" fontId="51" fillId="0" borderId="0" applyFill="0" applyBorder="0" applyAlignment="0"/>
    <xf numFmtId="164" fontId="160" fillId="54" borderId="12" applyNumberFormat="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6" fillId="53" borderId="20" applyNumberFormat="0" applyAlignment="0" applyProtection="0">
      <alignment vertical="center"/>
    </xf>
    <xf numFmtId="214" fontId="51" fillId="0" borderId="0" applyFill="0" applyBorder="0" applyAlignment="0"/>
    <xf numFmtId="164" fontId="156" fillId="42" borderId="0" applyNumberFormat="0" applyBorder="0" applyAlignment="0" applyProtection="0">
      <alignment vertical="center"/>
    </xf>
    <xf numFmtId="217" fontId="51" fillId="0" borderId="0" applyFill="0" applyBorder="0" applyAlignment="0"/>
    <xf numFmtId="218" fontId="51" fillId="0" borderId="0" applyFill="0" applyBorder="0" applyAlignment="0"/>
    <xf numFmtId="164" fontId="174" fillId="50" borderId="0" applyNumberFormat="0" applyBorder="0" applyAlignment="0" applyProtection="0">
      <alignment vertical="center"/>
    </xf>
    <xf numFmtId="164" fontId="173" fillId="40" borderId="0" applyNumberFormat="0" applyBorder="0" applyAlignment="0" applyProtection="0">
      <alignment vertical="center"/>
    </xf>
    <xf numFmtId="164" fontId="173" fillId="38" borderId="0" applyNumberFormat="0" applyBorder="0" applyAlignment="0" applyProtection="0">
      <alignment vertical="center"/>
    </xf>
    <xf numFmtId="164" fontId="163" fillId="0" borderId="25" applyNumberFormat="0" applyFill="0" applyAlignment="0" applyProtection="0">
      <alignment vertical="center"/>
    </xf>
    <xf numFmtId="164" fontId="127" fillId="53" borderId="11" applyNumberFormat="0" applyAlignment="0" applyProtection="0">
      <alignment vertical="center"/>
    </xf>
    <xf numFmtId="164" fontId="122" fillId="35" borderId="0" applyNumberFormat="0" applyBorder="0" applyAlignment="0" applyProtection="0">
      <alignment vertical="center"/>
    </xf>
    <xf numFmtId="164" fontId="168" fillId="61" borderId="0" applyNumberFormat="0" applyBorder="0" applyAlignment="0" applyProtection="0">
      <alignment vertical="center"/>
    </xf>
    <xf numFmtId="213" fontId="88" fillId="0" borderId="0" applyFill="0" applyBorder="0" applyAlignment="0"/>
    <xf numFmtId="164" fontId="174" fillId="46" borderId="0" applyNumberFormat="0" applyBorder="0" applyAlignment="0" applyProtection="0">
      <alignment vertical="center"/>
    </xf>
    <xf numFmtId="218" fontId="88" fillId="0" borderId="0" applyFill="0" applyBorder="0" applyAlignment="0"/>
    <xf numFmtId="164" fontId="164" fillId="0" borderId="26" applyNumberFormat="0" applyFill="0" applyAlignment="0" applyProtection="0">
      <alignment vertical="center"/>
    </xf>
    <xf numFmtId="215" fontId="88" fillId="0" borderId="0" applyFill="0" applyBorder="0" applyAlignment="0"/>
    <xf numFmtId="218" fontId="88" fillId="0" borderId="0" applyFill="0" applyBorder="0" applyAlignment="0"/>
    <xf numFmtId="164" fontId="157" fillId="45" borderId="0" applyNumberFormat="0" applyBorder="0" applyAlignment="0" applyProtection="0">
      <alignment vertical="center"/>
    </xf>
    <xf numFmtId="216" fontId="51" fillId="0" borderId="0" applyFill="0" applyBorder="0" applyAlignment="0"/>
    <xf numFmtId="164" fontId="122" fillId="41" borderId="0" applyNumberFormat="0" applyBorder="0" applyAlignment="0" applyProtection="0">
      <alignment vertical="center"/>
    </xf>
    <xf numFmtId="222" fontId="88" fillId="0" borderId="0" applyFill="0" applyBorder="0" applyAlignment="0"/>
    <xf numFmtId="220" fontId="88" fillId="0" borderId="0" applyFont="0" applyFill="0" applyBorder="0" applyAlignment="0" applyProtection="0"/>
    <xf numFmtId="164" fontId="63" fillId="0" borderId="21"/>
    <xf numFmtId="164" fontId="174" fillId="50" borderId="0" applyNumberFormat="0" applyBorder="0" applyAlignment="0" applyProtection="0">
      <alignment vertical="center"/>
    </xf>
    <xf numFmtId="218" fontId="51" fillId="0" borderId="0" applyFill="0" applyBorder="0" applyAlignment="0"/>
    <xf numFmtId="164" fontId="174" fillId="46" borderId="0" applyNumberFormat="0" applyBorder="0" applyAlignment="0" applyProtection="0">
      <alignment vertical="center"/>
    </xf>
    <xf numFmtId="164" fontId="165" fillId="0" borderId="0" applyNumberFormat="0" applyFill="0" applyBorder="0" applyAlignment="0" applyProtection="0">
      <alignment vertical="center"/>
    </xf>
    <xf numFmtId="164" fontId="30" fillId="0" borderId="23"/>
    <xf numFmtId="217" fontId="88" fillId="0" borderId="0" applyFill="0" applyBorder="0" applyAlignment="0"/>
    <xf numFmtId="221" fontId="51" fillId="0" borderId="0" applyFill="0" applyBorder="0" applyAlignment="0"/>
    <xf numFmtId="164" fontId="162" fillId="3" borderId="0" applyNumberFormat="0" applyBorder="0" applyAlignment="0" applyProtection="0">
      <alignment vertical="center"/>
    </xf>
    <xf numFmtId="164" fontId="162" fillId="3" borderId="0" applyNumberFormat="0" applyBorder="0" applyAlignment="0" applyProtection="0">
      <alignment vertical="center"/>
    </xf>
    <xf numFmtId="213" fontId="51" fillId="0" borderId="0" applyFill="0" applyBorder="0" applyAlignment="0"/>
    <xf numFmtId="215" fontId="88" fillId="0" borderId="0" applyFill="0" applyBorder="0" applyAlignment="0"/>
    <xf numFmtId="164" fontId="157" fillId="49" borderId="0" applyNumberFormat="0" applyBorder="0" applyAlignment="0" applyProtection="0">
      <alignment vertical="center"/>
    </xf>
    <xf numFmtId="218" fontId="51" fillId="0" borderId="0" applyFill="0" applyBorder="0" applyAlignment="0"/>
    <xf numFmtId="164" fontId="162" fillId="3" borderId="0" applyNumberFormat="0" applyBorder="0" applyAlignment="0" applyProtection="0">
      <alignment vertical="center"/>
    </xf>
    <xf numFmtId="164" fontId="157" fillId="46" borderId="0" applyNumberFormat="0" applyBorder="0" applyAlignment="0" applyProtection="0">
      <alignment vertical="center"/>
    </xf>
    <xf numFmtId="164" fontId="163" fillId="0" borderId="25" applyNumberFormat="0" applyFill="0" applyAlignment="0" applyProtection="0">
      <alignment vertical="center"/>
    </xf>
    <xf numFmtId="220" fontId="88" fillId="0" borderId="0" applyFont="0" applyFill="0" applyBorder="0" applyAlignment="0" applyProtection="0"/>
    <xf numFmtId="164" fontId="123" fillId="46" borderId="0" applyNumberFormat="0" applyBorder="0" applyAlignment="0" applyProtection="0">
      <alignment vertical="center"/>
    </xf>
    <xf numFmtId="213" fontId="51" fillId="0" borderId="0" applyFill="0" applyBorder="0" applyAlignment="0"/>
    <xf numFmtId="14" fontId="31" fillId="0" borderId="0">
      <alignment horizontal="center" wrapText="1"/>
      <protection locked="0"/>
    </xf>
    <xf numFmtId="164" fontId="161" fillId="0" borderId="0" applyNumberFormat="0" applyFill="0" applyBorder="0" applyAlignment="0" applyProtection="0">
      <alignment vertical="center"/>
    </xf>
    <xf numFmtId="164" fontId="63" fillId="0" borderId="21"/>
    <xf numFmtId="164" fontId="157" fillId="45" borderId="0" applyNumberFormat="0" applyBorder="0" applyAlignment="0" applyProtection="0">
      <alignment vertical="center"/>
    </xf>
    <xf numFmtId="213" fontId="51" fillId="0" borderId="0" applyFill="0" applyBorder="0" applyAlignment="0"/>
    <xf numFmtId="164" fontId="91" fillId="0" borderId="0">
      <alignment horizontal="center" wrapText="1"/>
      <protection locked="0"/>
    </xf>
    <xf numFmtId="14" fontId="91" fillId="0" borderId="0">
      <alignment horizontal="center" wrapText="1"/>
      <protection locked="0"/>
    </xf>
    <xf numFmtId="164" fontId="178" fillId="53" borderId="11" applyNumberFormat="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217" fontId="51" fillId="0" borderId="0" applyFont="0" applyFill="0" applyBorder="0" applyAlignment="0" applyProtection="0"/>
    <xf numFmtId="213" fontId="51" fillId="0" borderId="0" applyFill="0" applyBorder="0" applyAlignment="0"/>
    <xf numFmtId="164" fontId="173" fillId="39" borderId="0" applyNumberFormat="0" applyBorder="0" applyAlignment="0" applyProtection="0">
      <alignment vertical="center"/>
    </xf>
    <xf numFmtId="164" fontId="31" fillId="0" borderId="0">
      <alignment horizontal="center" wrapText="1"/>
      <protection locked="0"/>
    </xf>
    <xf numFmtId="164" fontId="173" fillId="35" borderId="0" applyNumberFormat="0" applyBorder="0" applyAlignment="0" applyProtection="0">
      <alignment vertical="center"/>
    </xf>
    <xf numFmtId="164" fontId="165"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74" fillId="46" borderId="0" applyNumberFormat="0" applyBorder="0" applyAlignment="0" applyProtection="0">
      <alignment vertical="center"/>
    </xf>
    <xf numFmtId="217" fontId="51" fillId="0" borderId="0" applyFill="0" applyBorder="0" applyAlignment="0"/>
    <xf numFmtId="215" fontId="88" fillId="0" borderId="0" applyFill="0" applyBorder="0" applyAlignment="0"/>
    <xf numFmtId="164" fontId="181" fillId="0" borderId="0" applyNumberFormat="0" applyFill="0" applyBorder="0" applyAlignment="0" applyProtection="0">
      <alignment vertical="center"/>
    </xf>
    <xf numFmtId="212" fontId="51" fillId="0" borderId="0" applyFill="0" applyBorder="0" applyAlignment="0"/>
    <xf numFmtId="164" fontId="157" fillId="41" borderId="0" applyNumberFormat="0" applyBorder="0" applyAlignment="0" applyProtection="0">
      <alignment vertical="center"/>
    </xf>
    <xf numFmtId="216"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61" fillId="0" borderId="0" applyNumberFormat="0" applyFill="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4" fontId="88" fillId="0" borderId="0" applyFill="0" applyBorder="0" applyAlignment="0"/>
    <xf numFmtId="218" fontId="51" fillId="0" borderId="0" applyFill="0" applyBorder="0" applyAlignment="0"/>
    <xf numFmtId="164" fontId="174" fillId="51" borderId="0" applyNumberFormat="0" applyBorder="0" applyAlignment="0" applyProtection="0">
      <alignment vertical="center"/>
    </xf>
    <xf numFmtId="164" fontId="103" fillId="65" borderId="27" applyNumberFormat="0" applyFont="0" applyAlignment="0" applyProtection="0">
      <alignment vertical="center"/>
    </xf>
    <xf numFmtId="164" fontId="164" fillId="0" borderId="26" applyNumberFormat="0" applyFill="0" applyAlignment="0" applyProtection="0">
      <alignment vertical="center"/>
    </xf>
    <xf numFmtId="164" fontId="186" fillId="53" borderId="20" applyNumberFormat="0" applyAlignment="0" applyProtection="0">
      <alignment vertical="center"/>
    </xf>
    <xf numFmtId="216" fontId="51" fillId="0" borderId="0" applyFill="0" applyBorder="0" applyAlignment="0"/>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218" fontId="51" fillId="0" borderId="0" applyFill="0" applyBorder="0" applyAlignment="0"/>
    <xf numFmtId="217" fontId="51" fillId="0" borderId="0" applyFill="0" applyBorder="0" applyAlignment="0"/>
    <xf numFmtId="164" fontId="157" fillId="52" borderId="0" applyNumberFormat="0" applyBorder="0" applyAlignment="0" applyProtection="0">
      <alignment vertical="center"/>
    </xf>
    <xf numFmtId="221" fontId="88" fillId="0" borderId="0" applyFill="0" applyBorder="0" applyAlignment="0"/>
    <xf numFmtId="216" fontId="88" fillId="0" borderId="0" applyFont="0" applyFill="0" applyBorder="0" applyAlignment="0" applyProtection="0"/>
    <xf numFmtId="215" fontId="88" fillId="0" borderId="0" applyFill="0" applyBorder="0" applyAlignment="0"/>
    <xf numFmtId="164" fontId="176" fillId="0" borderId="28" applyNumberFormat="0" applyFill="0" applyAlignment="0" applyProtection="0">
      <alignment vertical="center"/>
    </xf>
    <xf numFmtId="215" fontId="51" fillId="0" borderId="0" applyFill="0" applyBorder="0" applyAlignment="0"/>
    <xf numFmtId="217" fontId="51" fillId="0" borderId="0" applyFill="0" applyBorder="0" applyAlignment="0"/>
    <xf numFmtId="216" fontId="51" fillId="0" borderId="0" applyFill="0" applyBorder="0" applyAlignment="0"/>
    <xf numFmtId="164" fontId="173" fillId="40" borderId="0" applyNumberFormat="0" applyBorder="0" applyAlignment="0" applyProtection="0">
      <alignment vertical="center"/>
    </xf>
    <xf numFmtId="164" fontId="166" fillId="39" borderId="11" applyNumberFormat="0" applyAlignment="0" applyProtection="0">
      <alignment vertical="center"/>
    </xf>
    <xf numFmtId="164" fontId="173" fillId="40" borderId="0" applyNumberFormat="0" applyBorder="0" applyAlignment="0" applyProtection="0">
      <alignment vertical="center"/>
    </xf>
    <xf numFmtId="200" fontId="88" fillId="57" borderId="0"/>
    <xf numFmtId="164" fontId="174" fillId="44" borderId="0" applyNumberFormat="0" applyBorder="0" applyAlignment="0" applyProtection="0">
      <alignment vertical="center"/>
    </xf>
    <xf numFmtId="164" fontId="166" fillId="39" borderId="11" applyNumberFormat="0" applyAlignment="0" applyProtection="0">
      <alignment vertical="center"/>
    </xf>
    <xf numFmtId="214" fontId="51" fillId="0" borderId="0" applyFill="0" applyBorder="0" applyAlignment="0"/>
    <xf numFmtId="219" fontId="51" fillId="0" borderId="0"/>
    <xf numFmtId="164" fontId="161" fillId="0" borderId="0" applyNumberFormat="0" applyFill="0" applyBorder="0" applyAlignment="0" applyProtection="0">
      <alignment vertical="center"/>
    </xf>
    <xf numFmtId="213" fontId="88" fillId="0" borderId="0" applyFont="0" applyFill="0" applyBorder="0" applyAlignment="0" applyProtection="0"/>
    <xf numFmtId="214" fontId="88" fillId="0" borderId="0" applyFill="0" applyBorder="0" applyAlignment="0"/>
    <xf numFmtId="164" fontId="123" fillId="47" borderId="0" applyNumberFormat="0" applyBorder="0" applyAlignment="0" applyProtection="0">
      <alignment vertical="center"/>
    </xf>
    <xf numFmtId="218" fontId="88" fillId="0" borderId="0" applyFill="0" applyBorder="0" applyAlignment="0"/>
    <xf numFmtId="164" fontId="157" fillId="45" borderId="0" applyNumberFormat="0" applyBorder="0" applyAlignment="0" applyProtection="0">
      <alignment vertical="center"/>
    </xf>
    <xf numFmtId="200" fontId="51" fillId="58" borderId="0"/>
    <xf numFmtId="215" fontId="51" fillId="0" borderId="0" applyFill="0" applyBorder="0" applyAlignment="0"/>
    <xf numFmtId="164" fontId="163" fillId="0" borderId="25" applyNumberFormat="0" applyFill="0" applyAlignment="0" applyProtection="0">
      <alignment vertical="center"/>
    </xf>
    <xf numFmtId="164" fontId="90" fillId="65" borderId="27" applyNumberFormat="0" applyFont="0" applyAlignment="0" applyProtection="0"/>
    <xf numFmtId="214" fontId="51" fillId="0" borderId="0" applyFill="0" applyBorder="0" applyAlignment="0"/>
    <xf numFmtId="164" fontId="174" fillId="52" borderId="0" applyNumberFormat="0" applyBorder="0" applyAlignment="0" applyProtection="0">
      <alignment vertical="center"/>
    </xf>
    <xf numFmtId="164" fontId="157"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57" fillId="51" borderId="0" applyNumberFormat="0" applyBorder="0" applyAlignment="0" applyProtection="0">
      <alignment vertical="center"/>
    </xf>
    <xf numFmtId="14" fontId="31" fillId="0" borderId="0">
      <alignment horizontal="center" wrapText="1"/>
      <protection locked="0"/>
    </xf>
    <xf numFmtId="213" fontId="51" fillId="0" borderId="0" applyFill="0" applyBorder="0" applyAlignment="0"/>
    <xf numFmtId="164" fontId="20" fillId="65" borderId="27" applyNumberFormat="0" applyFont="0" applyAlignment="0" applyProtection="0"/>
    <xf numFmtId="164" fontId="20" fillId="65" borderId="27" applyNumberFormat="0" applyFont="0" applyAlignment="0" applyProtection="0"/>
    <xf numFmtId="217" fontId="51" fillId="0" borderId="0" applyFill="0" applyBorder="0" applyAlignment="0"/>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3" fontId="88" fillId="0" borderId="0" applyFill="0" applyBorder="0" applyAlignment="0"/>
    <xf numFmtId="216" fontId="88" fillId="0" borderId="0" applyFont="0" applyFill="0" applyBorder="0" applyAlignment="0" applyProtection="0"/>
    <xf numFmtId="164" fontId="187" fillId="54" borderId="12" applyNumberFormat="0" applyAlignment="0" applyProtection="0">
      <alignment vertical="center"/>
    </xf>
    <xf numFmtId="213" fontId="51" fillId="0" borderId="0" applyFill="0" applyBorder="0" applyAlignment="0"/>
    <xf numFmtId="164" fontId="123" fillId="49" borderId="0" applyNumberFormat="0" applyBorder="0" applyAlignment="0" applyProtection="0">
      <alignment vertical="center"/>
    </xf>
    <xf numFmtId="164" fontId="187" fillId="54" borderId="12" applyNumberFormat="0" applyAlignment="0" applyProtection="0">
      <alignment vertical="center"/>
    </xf>
    <xf numFmtId="164" fontId="176" fillId="0" borderId="28" applyNumberFormat="0" applyFill="0" applyAlignment="0" applyProtection="0">
      <alignment vertical="center"/>
    </xf>
    <xf numFmtId="164" fontId="173" fillId="42" borderId="0" applyNumberFormat="0" applyBorder="0" applyAlignment="0" applyProtection="0">
      <alignment vertical="center"/>
    </xf>
    <xf numFmtId="164" fontId="137" fillId="36" borderId="0" applyNumberFormat="0" applyBorder="0" applyAlignment="0" applyProtection="0">
      <alignment vertical="center"/>
    </xf>
    <xf numFmtId="164" fontId="173" fillId="37" borderId="0" applyNumberFormat="0" applyBorder="0" applyAlignment="0" applyProtection="0">
      <alignment vertical="center"/>
    </xf>
    <xf numFmtId="218" fontId="51" fillId="0" borderId="0" applyFill="0" applyBorder="0" applyAlignment="0"/>
    <xf numFmtId="164" fontId="161"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63" fillId="0" borderId="25" applyNumberFormat="0" applyFill="0" applyAlignment="0" applyProtection="0">
      <alignment vertical="center"/>
    </xf>
    <xf numFmtId="164" fontId="173" fillId="37" borderId="0" applyNumberFormat="0" applyBorder="0" applyAlignment="0" applyProtection="0">
      <alignment vertical="center"/>
    </xf>
    <xf numFmtId="217" fontId="51" fillId="0" borderId="0" applyFill="0" applyBorder="0" applyAlignment="0"/>
    <xf numFmtId="164" fontId="170" fillId="0" borderId="0" applyNumberFormat="0" applyFill="0" applyBorder="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3" fillId="44" borderId="0" applyNumberFormat="0" applyBorder="0" applyAlignment="0" applyProtection="0">
      <alignment vertical="center"/>
    </xf>
    <xf numFmtId="164" fontId="91" fillId="0" borderId="0">
      <alignment horizontal="center" wrapText="1"/>
      <protection locked="0"/>
    </xf>
    <xf numFmtId="14" fontId="91" fillId="0" borderId="0">
      <alignment horizontal="center" wrapText="1"/>
      <protection locked="0"/>
    </xf>
    <xf numFmtId="217" fontId="51" fillId="0" borderId="0" applyFill="0" applyBorder="0" applyAlignment="0"/>
    <xf numFmtId="164" fontId="182" fillId="0" borderId="25" applyNumberFormat="0" applyFill="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164" fontId="96" fillId="0" borderId="21"/>
    <xf numFmtId="214" fontId="51" fillId="0" borderId="0" applyFill="0" applyBorder="0" applyAlignment="0"/>
    <xf numFmtId="219" fontId="51" fillId="0" borderId="0"/>
    <xf numFmtId="218" fontId="51" fillId="0" borderId="0" applyFill="0" applyBorder="0" applyAlignment="0"/>
    <xf numFmtId="213" fontId="88" fillId="0" borderId="0" applyFill="0" applyBorder="0" applyAlignment="0"/>
    <xf numFmtId="164" fontId="123" fillId="46" borderId="0" applyNumberFormat="0" applyBorder="0" applyAlignment="0" applyProtection="0">
      <alignment vertical="center"/>
    </xf>
    <xf numFmtId="218" fontId="51" fillId="0" borderId="0" applyFill="0" applyBorder="0" applyAlignment="0"/>
    <xf numFmtId="164" fontId="157" fillId="42" borderId="0" applyNumberFormat="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4" fillId="50"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220" fontId="51" fillId="0" borderId="0" applyFont="0" applyFill="0" applyBorder="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21" fontId="51" fillId="0" borderId="0" applyFill="0" applyBorder="0" applyAlignment="0"/>
    <xf numFmtId="164" fontId="174" fillId="45" borderId="0" applyNumberFormat="0" applyBorder="0" applyAlignment="0" applyProtection="0">
      <alignment vertical="center"/>
    </xf>
    <xf numFmtId="164" fontId="157" fillId="45" borderId="0" applyNumberFormat="0" applyBorder="0" applyAlignment="0" applyProtection="0">
      <alignment vertical="center"/>
    </xf>
    <xf numFmtId="164" fontId="174" fillId="52" borderId="0" applyNumberFormat="0" applyBorder="0" applyAlignment="0" applyProtection="0">
      <alignment vertical="center"/>
    </xf>
    <xf numFmtId="218" fontId="51" fillId="0" borderId="0" applyFill="0" applyBorder="0" applyAlignment="0"/>
    <xf numFmtId="218" fontId="51" fillId="0" borderId="0" applyFill="0" applyBorder="0" applyAlignment="0"/>
    <xf numFmtId="164" fontId="181"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74" fillId="51" borderId="0" applyNumberFormat="0" applyBorder="0" applyAlignment="0" applyProtection="0">
      <alignment vertical="center"/>
    </xf>
    <xf numFmtId="220" fontId="51" fillId="0" borderId="0" applyFont="0" applyFill="0" applyBorder="0" applyAlignment="0" applyProtection="0"/>
    <xf numFmtId="221" fontId="51" fillId="0" borderId="0" applyFill="0" applyBorder="0" applyAlignment="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1" borderId="0" applyNumberFormat="0" applyBorder="0" applyAlignment="0" applyProtection="0">
      <alignment vertical="center"/>
    </xf>
    <xf numFmtId="220" fontId="51" fillId="0" borderId="0" applyFont="0" applyFill="0" applyBorder="0" applyAlignment="0" applyProtection="0"/>
    <xf numFmtId="164" fontId="165" fillId="0" borderId="15" applyNumberFormat="0" applyFill="0" applyAlignment="0" applyProtection="0">
      <alignment vertical="center"/>
    </xf>
    <xf numFmtId="164" fontId="128" fillId="0" borderId="18" applyNumberFormat="0" applyFill="0" applyAlignment="0" applyProtection="0">
      <alignment vertical="center"/>
    </xf>
    <xf numFmtId="164" fontId="174" fillId="45" borderId="0" applyNumberFormat="0" applyBorder="0" applyAlignment="0" applyProtection="0">
      <alignment vertical="center"/>
    </xf>
    <xf numFmtId="164" fontId="123" fillId="41" borderId="0" applyNumberFormat="0" applyBorder="0" applyAlignment="0" applyProtection="0">
      <alignment vertical="center"/>
    </xf>
    <xf numFmtId="164" fontId="172" fillId="0" borderId="0" applyNumberFormat="0" applyFill="0" applyBorder="0" applyAlignment="0" applyProtection="0">
      <alignment vertical="center"/>
    </xf>
    <xf numFmtId="218" fontId="51" fillId="0" borderId="0" applyFill="0" applyBorder="0" applyAlignment="0"/>
    <xf numFmtId="217" fontId="88" fillId="0" borderId="0" applyFont="0" applyFill="0" applyBorder="0" applyAlignment="0" applyProtection="0"/>
    <xf numFmtId="164" fontId="169" fillId="53" borderId="20" applyNumberFormat="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3" fontId="88" fillId="0" borderId="0" applyFill="0" applyBorder="0" applyAlignment="0"/>
    <xf numFmtId="164" fontId="136" fillId="54" borderId="12" applyNumberFormat="0" applyAlignment="0" applyProtection="0">
      <alignment vertical="center"/>
    </xf>
    <xf numFmtId="212" fontId="88" fillId="0" borderId="0" applyFill="0" applyBorder="0" applyAlignment="0"/>
    <xf numFmtId="164" fontId="123" fillId="45" borderId="0" applyNumberFormat="0" applyBorder="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57" fillId="41" borderId="0" applyNumberFormat="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6" fillId="39" borderId="0" applyNumberFormat="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6" fillId="38" borderId="0" applyNumberFormat="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6" fillId="37" borderId="0" applyNumberFormat="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6" fillId="3" borderId="0" applyNumberFormat="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6" fillId="36" borderId="0" applyNumberFormat="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4" fillId="0" borderId="0" applyNumberFormat="0" applyFill="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173" fillId="35" borderId="0" applyNumberFormat="0" applyBorder="0" applyAlignment="0" applyProtection="0">
      <alignment vertical="center"/>
    </xf>
    <xf numFmtId="164" fontId="174" fillId="51" borderId="0" applyNumberFormat="0" applyBorder="0" applyAlignment="0" applyProtection="0">
      <alignment vertical="center"/>
    </xf>
    <xf numFmtId="164" fontId="123" fillId="47" borderId="0" applyNumberFormat="0" applyBorder="0" applyAlignment="0" applyProtection="0">
      <alignment vertical="center"/>
    </xf>
    <xf numFmtId="164" fontId="122" fillId="42" borderId="0" applyNumberFormat="0" applyBorder="0" applyAlignment="0" applyProtection="0">
      <alignment vertical="center"/>
    </xf>
    <xf numFmtId="164" fontId="184" fillId="0" borderId="15" applyNumberFormat="0" applyFill="0" applyAlignment="0" applyProtection="0">
      <alignment vertical="center"/>
    </xf>
    <xf numFmtId="216" fontId="88" fillId="0" borderId="0" applyFill="0" applyBorder="0" applyAlignment="0"/>
    <xf numFmtId="213" fontId="88" fillId="0" borderId="0" applyFont="0" applyFill="0" applyBorder="0" applyAlignment="0" applyProtection="0"/>
    <xf numFmtId="164" fontId="183" fillId="0" borderId="26" applyNumberFormat="0" applyFill="0" applyAlignment="0" applyProtection="0">
      <alignment vertical="center"/>
    </xf>
    <xf numFmtId="164" fontId="157" fillId="52" borderId="0" applyNumberFormat="0" applyBorder="0" applyAlignment="0" applyProtection="0">
      <alignment vertical="center"/>
    </xf>
    <xf numFmtId="217" fontId="51" fillId="0" borderId="0" applyFill="0" applyBorder="0" applyAlignment="0"/>
    <xf numFmtId="164" fontId="182" fillId="0" borderId="25" applyNumberFormat="0" applyFill="0" applyAlignment="0" applyProtection="0">
      <alignment vertical="center"/>
    </xf>
    <xf numFmtId="164" fontId="171" fillId="0" borderId="28" applyNumberFormat="0" applyFill="0" applyAlignment="0" applyProtection="0">
      <alignment vertical="center"/>
    </xf>
    <xf numFmtId="213" fontId="51" fillId="0" borderId="0" applyFill="0" applyBorder="0" applyAlignment="0"/>
    <xf numFmtId="164" fontId="183" fillId="0" borderId="26" applyNumberFormat="0" applyFill="0" applyAlignment="0" applyProtection="0">
      <alignment vertical="center"/>
    </xf>
    <xf numFmtId="164" fontId="174" fillId="45" borderId="0" applyNumberFormat="0" applyBorder="0" applyAlignment="0" applyProtection="0">
      <alignment vertical="center"/>
    </xf>
    <xf numFmtId="164" fontId="123" fillId="52" borderId="0" applyNumberFormat="0" applyBorder="0" applyAlignment="0" applyProtection="0">
      <alignment vertical="center"/>
    </xf>
    <xf numFmtId="217" fontId="88" fillId="0" borderId="0" applyFill="0" applyBorder="0" applyAlignment="0"/>
    <xf numFmtId="164" fontId="103" fillId="65" borderId="27" applyNumberFormat="0" applyFont="0" applyAlignment="0" applyProtection="0">
      <alignment vertical="center"/>
    </xf>
    <xf numFmtId="164" fontId="184" fillId="0" borderId="0" applyNumberFormat="0" applyFill="0" applyBorder="0" applyAlignment="0" applyProtection="0">
      <alignment vertical="center"/>
    </xf>
    <xf numFmtId="222" fontId="88" fillId="0" borderId="0" applyFill="0" applyBorder="0" applyAlignment="0"/>
    <xf numFmtId="213"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64" fillId="0" borderId="26" applyNumberFormat="0" applyFill="0" applyAlignment="0" applyProtection="0">
      <alignment vertical="center"/>
    </xf>
    <xf numFmtId="164" fontId="85" fillId="65" borderId="27" applyNumberFormat="0" applyFont="0" applyAlignment="0" applyProtection="0">
      <alignment vertical="center"/>
    </xf>
    <xf numFmtId="164" fontId="179" fillId="0" borderId="18" applyNumberFormat="0" applyFill="0" applyAlignment="0" applyProtection="0">
      <alignment vertical="center"/>
    </xf>
    <xf numFmtId="164" fontId="166" fillId="39" borderId="11" applyNumberFormat="0" applyAlignment="0" applyProtection="0">
      <alignment vertical="center"/>
    </xf>
    <xf numFmtId="164" fontId="161" fillId="0" borderId="0" applyNumberFormat="0" applyFill="0" applyBorder="0" applyAlignment="0" applyProtection="0">
      <alignment vertical="center"/>
    </xf>
    <xf numFmtId="164" fontId="96" fillId="0" borderId="21"/>
    <xf numFmtId="164" fontId="169" fillId="53" borderId="20" applyNumberFormat="0" applyAlignment="0" applyProtection="0">
      <alignment vertical="center"/>
    </xf>
    <xf numFmtId="217" fontId="88" fillId="0" borderId="0" applyFont="0" applyFill="0" applyBorder="0" applyAlignment="0" applyProtection="0"/>
    <xf numFmtId="164" fontId="174" fillId="41" borderId="0" applyNumberFormat="0" applyBorder="0" applyAlignment="0" applyProtection="0">
      <alignment vertical="center"/>
    </xf>
    <xf numFmtId="164" fontId="189" fillId="0" borderId="0" applyNumberFormat="0" applyFill="0" applyBorder="0" applyAlignment="0" applyProtection="0">
      <alignment vertical="center"/>
    </xf>
    <xf numFmtId="164" fontId="182" fillId="0" borderId="25" applyNumberFormat="0" applyFill="0" applyAlignment="0" applyProtection="0">
      <alignment vertical="center"/>
    </xf>
    <xf numFmtId="164" fontId="123" fillId="51" borderId="0" applyNumberFormat="0" applyBorder="0" applyAlignment="0" applyProtection="0">
      <alignment vertical="center"/>
    </xf>
    <xf numFmtId="164" fontId="158" fillId="36" borderId="0" applyNumberFormat="0" applyBorder="0" applyAlignment="0" applyProtection="0">
      <alignment vertical="center"/>
    </xf>
    <xf numFmtId="164" fontId="156" fillId="41" borderId="0" applyNumberFormat="0" applyBorder="0" applyAlignment="0" applyProtection="0">
      <alignment vertical="center"/>
    </xf>
    <xf numFmtId="164" fontId="171" fillId="0" borderId="28" applyNumberFormat="0" applyFill="0" applyAlignment="0" applyProtection="0">
      <alignment vertical="center"/>
    </xf>
    <xf numFmtId="213" fontId="88" fillId="0" borderId="0" applyFont="0" applyFill="0" applyBorder="0" applyAlignment="0" applyProtection="0"/>
    <xf numFmtId="222" fontId="51" fillId="0" borderId="0" applyFill="0" applyBorder="0" applyAlignment="0"/>
    <xf numFmtId="164" fontId="127" fillId="53" borderId="11" applyNumberFormat="0" applyAlignment="0" applyProtection="0">
      <alignment vertical="center"/>
    </xf>
    <xf numFmtId="222" fontId="51" fillId="0" borderId="0" applyFill="0" applyBorder="0" applyAlignment="0"/>
    <xf numFmtId="164" fontId="31" fillId="0" borderId="0">
      <alignment horizontal="center" wrapText="1"/>
      <protection locked="0"/>
    </xf>
    <xf numFmtId="164" fontId="157" fillId="45" borderId="0" applyNumberFormat="0" applyBorder="0" applyAlignment="0" applyProtection="0">
      <alignment vertical="center"/>
    </xf>
    <xf numFmtId="164" fontId="156" fillId="40" borderId="0" applyNumberFormat="0" applyBorder="0" applyAlignment="0" applyProtection="0">
      <alignment vertical="center"/>
    </xf>
    <xf numFmtId="164" fontId="156" fillId="39" borderId="0" applyNumberFormat="0" applyBorder="0" applyAlignment="0" applyProtection="0">
      <alignment vertical="center"/>
    </xf>
    <xf numFmtId="217" fontId="51" fillId="0" borderId="0" applyFont="0" applyFill="0" applyBorder="0" applyAlignment="0" applyProtection="0"/>
    <xf numFmtId="164" fontId="157"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6" fontId="88" fillId="0" borderId="0" applyFill="0" applyBorder="0" applyAlignment="0"/>
    <xf numFmtId="164" fontId="135" fillId="53" borderId="20" applyNumberFormat="0" applyAlignment="0" applyProtection="0">
      <alignment vertical="center"/>
    </xf>
    <xf numFmtId="164" fontId="169" fillId="53" borderId="20" applyNumberFormat="0" applyAlignment="0" applyProtection="0">
      <alignment vertical="center"/>
    </xf>
    <xf numFmtId="217" fontId="51" fillId="0" borderId="0" applyFill="0" applyBorder="0" applyAlignment="0"/>
    <xf numFmtId="164" fontId="103" fillId="65" borderId="27" applyNumberFormat="0" applyFont="0" applyAlignment="0" applyProtection="0">
      <alignment vertical="center"/>
    </xf>
    <xf numFmtId="217" fontId="51" fillId="0" borderId="0" applyFill="0" applyBorder="0" applyAlignment="0"/>
    <xf numFmtId="164" fontId="31" fillId="0" borderId="0">
      <alignment horizontal="center" wrapText="1"/>
      <protection locked="0"/>
    </xf>
    <xf numFmtId="164" fontId="165" fillId="0" borderId="15" applyNumberFormat="0" applyFill="0" applyAlignment="0" applyProtection="0">
      <alignment vertical="center"/>
    </xf>
    <xf numFmtId="213" fontId="51" fillId="0" borderId="0" applyFill="0" applyBorder="0" applyAlignment="0"/>
    <xf numFmtId="164" fontId="175" fillId="61" borderId="0" applyNumberFormat="0" applyBorder="0" applyAlignment="0" applyProtection="0">
      <alignment vertical="center"/>
    </xf>
    <xf numFmtId="164" fontId="173" fillId="39" borderId="0" applyNumberFormat="0" applyBorder="0" applyAlignment="0" applyProtection="0">
      <alignment vertical="center"/>
    </xf>
    <xf numFmtId="200" fontId="88" fillId="57" borderId="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2" fontId="88" fillId="0" borderId="0" applyFill="0" applyBorder="0" applyAlignment="0"/>
    <xf numFmtId="213" fontId="51" fillId="0" borderId="0" applyFill="0" applyBorder="0" applyAlignment="0"/>
    <xf numFmtId="164" fontId="181" fillId="0" borderId="0" applyNumberFormat="0" applyFill="0" applyBorder="0" applyAlignment="0" applyProtection="0">
      <alignment vertical="center"/>
    </xf>
    <xf numFmtId="213" fontId="51" fillId="0" borderId="0" applyFont="0" applyFill="0" applyBorder="0" applyAlignment="0" applyProtection="0"/>
    <xf numFmtId="212" fontId="51" fillId="0" borderId="0" applyFill="0" applyBorder="0" applyAlignment="0"/>
    <xf numFmtId="164" fontId="174" fillId="46" borderId="0" applyNumberFormat="0" applyBorder="0" applyAlignment="0" applyProtection="0">
      <alignment vertical="center"/>
    </xf>
    <xf numFmtId="164" fontId="174" fillId="46" borderId="0" applyNumberFormat="0" applyBorder="0" applyAlignment="0" applyProtection="0">
      <alignment vertical="center"/>
    </xf>
    <xf numFmtId="164" fontId="173" fillId="39" borderId="0" applyNumberFormat="0" applyBorder="0" applyAlignment="0" applyProtection="0">
      <alignment vertical="center"/>
    </xf>
    <xf numFmtId="164" fontId="123" fillId="46" borderId="0" applyNumberFormat="0" applyBorder="0" applyAlignment="0" applyProtection="0">
      <alignment vertical="center"/>
    </xf>
    <xf numFmtId="164" fontId="157" fillId="50" borderId="0" applyNumberFormat="0" applyBorder="0" applyAlignment="0" applyProtection="0">
      <alignment vertical="center"/>
    </xf>
    <xf numFmtId="164" fontId="103" fillId="65" borderId="27" applyNumberFormat="0" applyFont="0" applyAlignment="0" applyProtection="0">
      <alignment vertical="center"/>
    </xf>
    <xf numFmtId="164" fontId="174" fillId="49" borderId="0" applyNumberFormat="0" applyBorder="0" applyAlignment="0" applyProtection="0">
      <alignment vertical="center"/>
    </xf>
    <xf numFmtId="164" fontId="135" fillId="53" borderId="20" applyNumberFormat="0" applyAlignment="0" applyProtection="0">
      <alignment vertical="center"/>
    </xf>
    <xf numFmtId="217" fontId="51" fillId="0" borderId="0" applyFill="0" applyBorder="0" applyAlignment="0"/>
    <xf numFmtId="216" fontId="51" fillId="0" borderId="0" applyFill="0" applyBorder="0" applyAlignment="0"/>
    <xf numFmtId="164" fontId="156" fillId="65" borderId="27" applyNumberFormat="0" applyFont="0" applyAlignment="0" applyProtection="0">
      <alignment vertical="center"/>
    </xf>
    <xf numFmtId="221" fontId="88" fillId="0" borderId="0" applyFill="0" applyBorder="0" applyAlignment="0"/>
    <xf numFmtId="213" fontId="88" fillId="0" borderId="0" applyFill="0" applyBorder="0" applyAlignment="0"/>
    <xf numFmtId="215" fontId="51" fillId="0" borderId="0" applyFill="0" applyBorder="0" applyAlignment="0"/>
    <xf numFmtId="200" fontId="88" fillId="57" borderId="0"/>
    <xf numFmtId="200" fontId="51" fillId="58" borderId="0"/>
    <xf numFmtId="216" fontId="88" fillId="0" borderId="0" applyFill="0" applyBorder="0" applyAlignment="0"/>
    <xf numFmtId="164" fontId="185" fillId="39" borderId="11" applyNumberFormat="0" applyAlignment="0" applyProtection="0">
      <alignment vertical="center"/>
    </xf>
    <xf numFmtId="164" fontId="160" fillId="54" borderId="12" applyNumberFormat="0" applyAlignment="0" applyProtection="0">
      <alignment vertical="center"/>
    </xf>
    <xf numFmtId="164" fontId="165" fillId="0" borderId="15" applyNumberFormat="0" applyFill="0" applyAlignment="0" applyProtection="0">
      <alignment vertical="center"/>
    </xf>
    <xf numFmtId="215" fontId="51" fillId="0" borderId="0" applyFill="0" applyBorder="0" applyAlignment="0"/>
    <xf numFmtId="164" fontId="165" fillId="0" borderId="15" applyNumberFormat="0" applyFill="0" applyAlignment="0" applyProtection="0">
      <alignment vertical="center"/>
    </xf>
    <xf numFmtId="164" fontId="169" fillId="53" borderId="20" applyNumberFormat="0" applyAlignment="0" applyProtection="0">
      <alignment vertical="center"/>
    </xf>
    <xf numFmtId="214" fontId="51" fillId="0" borderId="0" applyFill="0" applyBorder="0" applyAlignment="0"/>
    <xf numFmtId="164" fontId="173" fillId="36" borderId="0" applyNumberFormat="0" applyBorder="0" applyAlignment="0" applyProtection="0">
      <alignment vertical="center"/>
    </xf>
    <xf numFmtId="164" fontId="124" fillId="61" borderId="0" applyNumberFormat="0" applyBorder="0" applyAlignment="0" applyProtection="0">
      <alignment vertical="center"/>
    </xf>
    <xf numFmtId="164" fontId="157" fillId="44" borderId="0" applyNumberFormat="0" applyBorder="0" applyAlignment="0" applyProtection="0">
      <alignment vertical="center"/>
    </xf>
    <xf numFmtId="164" fontId="157" fillId="47"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2" fontId="51" fillId="0" borderId="0" applyFill="0" applyBorder="0" applyAlignment="0"/>
    <xf numFmtId="164" fontId="165" fillId="0" borderId="15" applyNumberFormat="0" applyFill="0" applyAlignment="0" applyProtection="0">
      <alignment vertical="center"/>
    </xf>
    <xf numFmtId="14" fontId="31" fillId="0" borderId="0">
      <alignment horizontal="center" wrapText="1"/>
      <protection locked="0"/>
    </xf>
    <xf numFmtId="218" fontId="51" fillId="0" borderId="0" applyFill="0" applyBorder="0" applyAlignment="0"/>
    <xf numFmtId="164" fontId="157"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56" fillId="40"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7" fontId="51" fillId="0" borderId="0" applyFill="0" applyBorder="0" applyAlignment="0"/>
    <xf numFmtId="164" fontId="123" fillId="52" borderId="0" applyNumberFormat="0" applyBorder="0" applyAlignment="0" applyProtection="0">
      <alignment vertical="center"/>
    </xf>
    <xf numFmtId="164" fontId="173" fillId="42" borderId="0" applyNumberFormat="0" applyBorder="0" applyAlignment="0" applyProtection="0">
      <alignment vertical="center"/>
    </xf>
    <xf numFmtId="164" fontId="156" fillId="65" borderId="27" applyNumberFormat="0" applyFont="0" applyAlignment="0" applyProtection="0">
      <alignment vertical="center"/>
    </xf>
    <xf numFmtId="164" fontId="174" fillId="51" borderId="0" applyNumberFormat="0" applyBorder="0" applyAlignment="0" applyProtection="0">
      <alignment vertical="center"/>
    </xf>
    <xf numFmtId="164" fontId="184" fillId="0" borderId="15" applyNumberFormat="0" applyFill="0" applyAlignment="0" applyProtection="0">
      <alignment vertical="center"/>
    </xf>
    <xf numFmtId="215" fontId="51" fillId="0" borderId="0" applyFill="0" applyBorder="0" applyAlignment="0"/>
    <xf numFmtId="164" fontId="161" fillId="0" borderId="0" applyNumberFormat="0" applyFill="0" applyBorder="0" applyAlignment="0" applyProtection="0">
      <alignment vertical="center"/>
    </xf>
    <xf numFmtId="218" fontId="51" fillId="0" borderId="0" applyFill="0" applyBorder="0" applyAlignment="0"/>
    <xf numFmtId="218" fontId="51" fillId="0" borderId="0" applyFill="0" applyBorder="0" applyAlignment="0"/>
    <xf numFmtId="217" fontId="51" fillId="0" borderId="0" applyFont="0" applyFill="0" applyBorder="0" applyAlignment="0" applyProtection="0"/>
    <xf numFmtId="164" fontId="185" fillId="39" borderId="11" applyNumberFormat="0" applyAlignment="0" applyProtection="0">
      <alignment vertical="center"/>
    </xf>
    <xf numFmtId="164" fontId="173" fillId="42" borderId="0" applyNumberFormat="0" applyBorder="0" applyAlignment="0" applyProtection="0">
      <alignment vertical="center"/>
    </xf>
    <xf numFmtId="164" fontId="174" fillId="52"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57" fillId="46" borderId="0" applyNumberFormat="0" applyBorder="0" applyAlignment="0" applyProtection="0">
      <alignment vertical="center"/>
    </xf>
    <xf numFmtId="164" fontId="164" fillId="0" borderId="26" applyNumberFormat="0" applyFill="0" applyAlignment="0" applyProtection="0">
      <alignment vertical="center"/>
    </xf>
    <xf numFmtId="217" fontId="51" fillId="0" borderId="0" applyFill="0" applyBorder="0" applyAlignment="0"/>
    <xf numFmtId="164" fontId="96" fillId="0" borderId="21"/>
    <xf numFmtId="164" fontId="137" fillId="36" borderId="0" applyNumberFormat="0" applyBorder="0" applyAlignment="0" applyProtection="0">
      <alignment vertical="center"/>
    </xf>
    <xf numFmtId="164" fontId="173" fillId="39" borderId="0" applyNumberFormat="0" applyBorder="0" applyAlignment="0" applyProtection="0">
      <alignment vertical="center"/>
    </xf>
    <xf numFmtId="212" fontId="51" fillId="0" borderId="0" applyFill="0" applyBorder="0" applyAlignment="0"/>
    <xf numFmtId="164" fontId="134" fillId="39" borderId="11" applyNumberFormat="0" applyAlignment="0" applyProtection="0">
      <alignment vertical="center"/>
    </xf>
    <xf numFmtId="164" fontId="173" fillId="38" borderId="0" applyNumberFormat="0" applyBorder="0" applyAlignment="0" applyProtection="0">
      <alignment vertical="center"/>
    </xf>
    <xf numFmtId="164" fontId="90" fillId="65" borderId="27" applyNumberFormat="0" applyFont="0" applyAlignment="0" applyProtection="0"/>
    <xf numFmtId="164" fontId="123" fillId="45" borderId="0" applyNumberFormat="0" applyBorder="0" applyAlignment="0" applyProtection="0">
      <alignment vertical="center"/>
    </xf>
    <xf numFmtId="213" fontId="51" fillId="0" borderId="0" applyFill="0" applyBorder="0" applyAlignment="0"/>
    <xf numFmtId="217" fontId="51" fillId="0" borderId="0" applyFill="0" applyBorder="0" applyAlignment="0"/>
    <xf numFmtId="164" fontId="168" fillId="61"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5" fillId="61" borderId="0" applyNumberFormat="0" applyBorder="0" applyAlignment="0" applyProtection="0">
      <alignment vertical="center"/>
    </xf>
    <xf numFmtId="213" fontId="88" fillId="0" borderId="0" applyFill="0" applyBorder="0" applyAlignment="0"/>
    <xf numFmtId="164" fontId="123" fillId="42" borderId="0" applyNumberFormat="0" applyBorder="0" applyAlignment="0" applyProtection="0">
      <alignment vertical="center"/>
    </xf>
    <xf numFmtId="217" fontId="51" fillId="0" borderId="0" applyFont="0" applyFill="0" applyBorder="0" applyAlignment="0" applyProtection="0"/>
    <xf numFmtId="218" fontId="88" fillId="0" borderId="0" applyFill="0" applyBorder="0" applyAlignment="0"/>
    <xf numFmtId="217" fontId="51" fillId="0" borderId="0" applyFill="0" applyBorder="0" applyAlignment="0"/>
    <xf numFmtId="217" fontId="51" fillId="0" borderId="0" applyFont="0" applyFill="0" applyBorder="0" applyAlignment="0" applyProtection="0"/>
    <xf numFmtId="164" fontId="123" fillId="49" borderId="0" applyNumberFormat="0" applyBorder="0" applyAlignment="0" applyProtection="0">
      <alignment vertical="center"/>
    </xf>
    <xf numFmtId="164" fontId="165" fillId="0" borderId="0" applyNumberFormat="0" applyFill="0" applyBorder="0" applyAlignment="0" applyProtection="0">
      <alignment vertical="center"/>
    </xf>
    <xf numFmtId="213" fontId="88" fillId="0" borderId="0" applyFill="0" applyBorder="0" applyAlignment="0"/>
    <xf numFmtId="218" fontId="51" fillId="0" borderId="0" applyFill="0" applyBorder="0" applyAlignment="0"/>
    <xf numFmtId="164" fontId="159" fillId="53" borderId="11"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7" borderId="0" applyNumberFormat="0" applyBorder="0" applyAlignment="0" applyProtection="0">
      <alignment vertical="center"/>
    </xf>
    <xf numFmtId="164" fontId="178" fillId="53" borderId="11" applyNumberFormat="0" applyAlignment="0" applyProtection="0">
      <alignment vertical="center"/>
    </xf>
    <xf numFmtId="215" fontId="51" fillId="0" borderId="0" applyFill="0" applyBorder="0" applyAlignment="0"/>
    <xf numFmtId="164" fontId="175" fillId="61" borderId="0" applyNumberFormat="0" applyBorder="0" applyAlignment="0" applyProtection="0">
      <alignment vertical="center"/>
    </xf>
    <xf numFmtId="213" fontId="51" fillId="0" borderId="0" applyFont="0" applyFill="0" applyBorder="0" applyAlignment="0" applyProtection="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63" fillId="0" borderId="25" applyNumberFormat="0" applyFill="0" applyAlignment="0" applyProtection="0">
      <alignment vertical="center"/>
    </xf>
    <xf numFmtId="164" fontId="174" fillId="45" borderId="0" applyNumberFormat="0" applyBorder="0" applyAlignment="0" applyProtection="0">
      <alignment vertical="center"/>
    </xf>
    <xf numFmtId="212" fontId="51" fillId="0" borderId="0" applyFill="0" applyBorder="0" applyAlignment="0"/>
    <xf numFmtId="164" fontId="179" fillId="0" borderId="18" applyNumberFormat="0" applyFill="0" applyAlignment="0" applyProtection="0">
      <alignment vertical="center"/>
    </xf>
    <xf numFmtId="164" fontId="161" fillId="0" borderId="0" applyNumberFormat="0" applyFill="0" applyBorder="0" applyAlignment="0" applyProtection="0">
      <alignment vertical="center"/>
    </xf>
    <xf numFmtId="218" fontId="51" fillId="0" borderId="0" applyFill="0" applyBorder="0" applyAlignment="0"/>
    <xf numFmtId="164" fontId="174" fillId="51" borderId="0" applyNumberFormat="0" applyBorder="0" applyAlignment="0" applyProtection="0">
      <alignment vertical="center"/>
    </xf>
    <xf numFmtId="164" fontId="137" fillId="36" borderId="0" applyNumberFormat="0" applyBorder="0" applyAlignment="0" applyProtection="0">
      <alignment vertical="center"/>
    </xf>
    <xf numFmtId="217" fontId="88" fillId="0" borderId="0" applyFill="0" applyBorder="0" applyAlignment="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00" fontId="51" fillId="57" borderId="0"/>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4" fillId="45" borderId="0" applyNumberFormat="0" applyBorder="0" applyAlignment="0" applyProtection="0">
      <alignment vertical="center"/>
    </xf>
    <xf numFmtId="164" fontId="173" fillId="37" borderId="0" applyNumberFormat="0" applyBorder="0" applyAlignment="0" applyProtection="0">
      <alignment vertical="center"/>
    </xf>
    <xf numFmtId="164" fontId="123" fillId="51" borderId="0" applyNumberFormat="0" applyBorder="0" applyAlignment="0" applyProtection="0">
      <alignment vertical="center"/>
    </xf>
    <xf numFmtId="164" fontId="123" fillId="44" borderId="0" applyNumberFormat="0" applyBorder="0" applyAlignment="0" applyProtection="0">
      <alignment vertical="center"/>
    </xf>
    <xf numFmtId="164" fontId="123" fillId="44"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7"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57" fillId="45" borderId="0" applyNumberFormat="0" applyBorder="0" applyAlignment="0" applyProtection="0">
      <alignment vertical="center"/>
    </xf>
    <xf numFmtId="218"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213" fontId="88" fillId="0" borderId="0" applyFill="0" applyBorder="0" applyAlignment="0"/>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217" fontId="88" fillId="0" borderId="0" applyFill="0" applyBorder="0" applyAlignment="0"/>
    <xf numFmtId="164" fontId="184" fillId="0" borderId="0" applyNumberFormat="0" applyFill="0" applyBorder="0" applyAlignment="0" applyProtection="0">
      <alignment vertical="center"/>
    </xf>
    <xf numFmtId="217" fontId="51" fillId="0" borderId="0" applyFill="0" applyBorder="0" applyAlignment="0"/>
    <xf numFmtId="164" fontId="188" fillId="36" borderId="0" applyNumberFormat="0" applyBorder="0" applyAlignment="0" applyProtection="0">
      <alignment vertical="center"/>
    </xf>
    <xf numFmtId="164" fontId="31" fillId="0" borderId="0">
      <alignment horizontal="center" wrapText="1"/>
      <protection locked="0"/>
    </xf>
    <xf numFmtId="213"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89" fillId="0" borderId="0" applyNumberFormat="0" applyFill="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74" fillId="44" borderId="0" applyNumberFormat="0" applyBorder="0" applyAlignment="0" applyProtection="0">
      <alignment vertical="center"/>
    </xf>
    <xf numFmtId="164" fontId="123" fillId="46"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7"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8" fontId="88" fillId="0" borderId="0" applyFill="0" applyBorder="0" applyAlignment="0"/>
    <xf numFmtId="164" fontId="123" fillId="52"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74" fillId="46" borderId="0" applyNumberFormat="0" applyBorder="0" applyAlignment="0" applyProtection="0">
      <alignment vertical="center"/>
    </xf>
    <xf numFmtId="164" fontId="176" fillId="0" borderId="28" applyNumberFormat="0" applyFill="0" applyAlignment="0" applyProtection="0">
      <alignment vertical="center"/>
    </xf>
    <xf numFmtId="164" fontId="184" fillId="0" borderId="0" applyNumberFormat="0" applyFill="0" applyBorder="0" applyAlignment="0" applyProtection="0">
      <alignment vertical="center"/>
    </xf>
    <xf numFmtId="217" fontId="88" fillId="0" borderId="0" applyFill="0" applyBorder="0" applyAlignment="0"/>
    <xf numFmtId="164" fontId="176" fillId="0" borderId="28" applyNumberFormat="0" applyFill="0" applyAlignment="0" applyProtection="0">
      <alignment vertical="center"/>
    </xf>
    <xf numFmtId="164" fontId="182" fillId="0" borderId="25" applyNumberFormat="0" applyFill="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25" fillId="0" borderId="28" applyNumberFormat="0" applyFill="0" applyAlignment="0" applyProtection="0">
      <alignment vertical="center"/>
    </xf>
    <xf numFmtId="218" fontId="51" fillId="0" borderId="0" applyFill="0" applyBorder="0" applyAlignment="0"/>
    <xf numFmtId="218" fontId="88" fillId="0" borderId="0" applyFill="0" applyBorder="0" applyAlignment="0"/>
    <xf numFmtId="200" fontId="88" fillId="57" borderId="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56" fillId="38" borderId="0" applyNumberFormat="0" applyBorder="0" applyAlignment="0" applyProtection="0">
      <alignment vertical="center"/>
    </xf>
    <xf numFmtId="164" fontId="173" fillId="40" borderId="0" applyNumberFormat="0" applyBorder="0" applyAlignment="0" applyProtection="0">
      <alignment vertical="center"/>
    </xf>
    <xf numFmtId="164" fontId="164" fillId="0" borderId="26" applyNumberFormat="0" applyFill="0" applyAlignment="0" applyProtection="0">
      <alignment vertical="center"/>
    </xf>
    <xf numFmtId="164" fontId="164" fillId="0" borderId="26" applyNumberFormat="0" applyFill="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4" fontId="31" fillId="0" borderId="0">
      <alignment horizontal="center" wrapText="1"/>
      <protection locked="0"/>
    </xf>
    <xf numFmtId="164" fontId="157" fillId="51"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74" fillId="50" borderId="0" applyNumberFormat="0" applyBorder="0" applyAlignment="0" applyProtection="0">
      <alignment vertical="center"/>
    </xf>
    <xf numFmtId="164" fontId="91" fillId="0" borderId="0">
      <alignment horizontal="center" wrapText="1"/>
      <protection locked="0"/>
    </xf>
    <xf numFmtId="164" fontId="173" fillId="35" borderId="0" applyNumberFormat="0" applyBorder="0" applyAlignment="0" applyProtection="0">
      <alignment vertical="center"/>
    </xf>
    <xf numFmtId="164" fontId="20" fillId="65" borderId="27" applyNumberFormat="0" applyFont="0" applyAlignment="0" applyProtection="0"/>
    <xf numFmtId="164" fontId="125" fillId="0" borderId="28" applyNumberFormat="0" applyFill="0" applyAlignment="0" applyProtection="0">
      <alignment vertical="center"/>
    </xf>
    <xf numFmtId="164" fontId="123" fillId="46" borderId="0" applyNumberFormat="0" applyBorder="0" applyAlignment="0" applyProtection="0">
      <alignment vertical="center"/>
    </xf>
    <xf numFmtId="217" fontId="51" fillId="0" borderId="0" applyFill="0" applyBorder="0" applyAlignment="0"/>
    <xf numFmtId="216" fontId="51" fillId="0" borderId="0" applyFill="0" applyBorder="0" applyAlignment="0"/>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157" fillId="42" borderId="0" applyNumberFormat="0" applyBorder="0" applyAlignment="0" applyProtection="0">
      <alignment vertical="center"/>
    </xf>
    <xf numFmtId="164" fontId="156" fillId="65" borderId="27" applyNumberFormat="0" applyFont="0" applyAlignment="0" applyProtection="0">
      <alignment vertical="center"/>
    </xf>
    <xf numFmtId="164" fontId="188" fillId="36" borderId="0" applyNumberFormat="0" applyBorder="0" applyAlignment="0" applyProtection="0">
      <alignment vertical="center"/>
    </xf>
    <xf numFmtId="164" fontId="187" fillId="54" borderId="12" applyNumberFormat="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56" fillId="65" borderId="27" applyNumberFormat="0" applyFont="0" applyAlignment="0" applyProtection="0">
      <alignment vertical="center"/>
    </xf>
    <xf numFmtId="164" fontId="181" fillId="0" borderId="0" applyNumberFormat="0" applyFill="0" applyBorder="0" applyAlignment="0" applyProtection="0">
      <alignment vertical="center"/>
    </xf>
    <xf numFmtId="216" fontId="51" fillId="0" borderId="0" applyFill="0" applyBorder="0" applyAlignment="0"/>
    <xf numFmtId="164" fontId="63" fillId="0" borderId="21"/>
    <xf numFmtId="218" fontId="88" fillId="0" borderId="0" applyFill="0" applyBorder="0" applyAlignment="0"/>
    <xf numFmtId="164" fontId="30" fillId="0" borderId="23"/>
    <xf numFmtId="164" fontId="156" fillId="37"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3" fontId="88" fillId="0" borderId="0" applyFill="0" applyBorder="0" applyAlignment="0"/>
    <xf numFmtId="164" fontId="184" fillId="0" borderId="15" applyNumberFormat="0" applyFill="0" applyAlignment="0" applyProtection="0">
      <alignment vertical="center"/>
    </xf>
    <xf numFmtId="164" fontId="189" fillId="0" borderId="0" applyNumberFormat="0" applyFill="0" applyBorder="0" applyAlignment="0" applyProtection="0">
      <alignment vertical="center"/>
    </xf>
    <xf numFmtId="213" fontId="51" fillId="0" borderId="0" applyFill="0" applyBorder="0" applyAlignment="0"/>
    <xf numFmtId="164" fontId="136" fillId="54" borderId="12" applyNumberFormat="0" applyAlignment="0" applyProtection="0">
      <alignment vertical="center"/>
    </xf>
    <xf numFmtId="164" fontId="174" fillId="41" borderId="0" applyNumberFormat="0" applyBorder="0" applyAlignment="0" applyProtection="0">
      <alignment vertical="center"/>
    </xf>
    <xf numFmtId="164" fontId="179" fillId="0" borderId="18" applyNumberFormat="0" applyFill="0" applyAlignment="0" applyProtection="0">
      <alignment vertical="center"/>
    </xf>
    <xf numFmtId="164" fontId="174" fillId="46" borderId="0" applyNumberFormat="0" applyBorder="0" applyAlignment="0" applyProtection="0">
      <alignment vertical="center"/>
    </xf>
    <xf numFmtId="218" fontId="51" fillId="0" borderId="0" applyFill="0" applyBorder="0" applyAlignment="0"/>
    <xf numFmtId="217" fontId="51" fillId="0" borderId="0" applyFill="0" applyBorder="0" applyAlignment="0"/>
    <xf numFmtId="164" fontId="165" fillId="0" borderId="0" applyNumberFormat="0" applyFill="0" applyBorder="0" applyAlignment="0" applyProtection="0">
      <alignment vertical="center"/>
    </xf>
    <xf numFmtId="164" fontId="20" fillId="65" borderId="27" applyNumberFormat="0" applyFont="0" applyAlignment="0" applyProtection="0"/>
    <xf numFmtId="212" fontId="51" fillId="0" borderId="0" applyFill="0" applyBorder="0" applyAlignment="0"/>
    <xf numFmtId="216" fontId="88" fillId="0" borderId="0" applyFill="0" applyBorder="0" applyAlignment="0"/>
    <xf numFmtId="164" fontId="136" fillId="54" borderId="12" applyNumberFormat="0" applyAlignment="0" applyProtection="0">
      <alignment vertical="center"/>
    </xf>
    <xf numFmtId="213" fontId="88" fillId="0" borderId="0" applyFill="0" applyBorder="0" applyAlignment="0"/>
    <xf numFmtId="217" fontId="51" fillId="0" borderId="0" applyFill="0" applyBorder="0" applyAlignment="0"/>
    <xf numFmtId="164" fontId="157" fillId="46" borderId="0" applyNumberFormat="0" applyBorder="0" applyAlignment="0" applyProtection="0">
      <alignment vertical="center"/>
    </xf>
    <xf numFmtId="14" fontId="91" fillId="0" borderId="0">
      <alignment horizontal="center" wrapText="1"/>
      <protection locked="0"/>
    </xf>
    <xf numFmtId="164" fontId="128" fillId="0" borderId="18" applyNumberFormat="0" applyFill="0" applyAlignment="0" applyProtection="0">
      <alignment vertical="center"/>
    </xf>
    <xf numFmtId="164" fontId="164" fillId="0" borderId="26" applyNumberFormat="0" applyFill="0" applyAlignment="0" applyProtection="0">
      <alignment vertical="center"/>
    </xf>
    <xf numFmtId="164" fontId="123" fillId="52" borderId="0" applyNumberFormat="0" applyBorder="0" applyAlignment="0" applyProtection="0">
      <alignment vertical="center"/>
    </xf>
    <xf numFmtId="164" fontId="184" fillId="0" borderId="15" applyNumberFormat="0" applyFill="0" applyAlignment="0" applyProtection="0">
      <alignment vertical="center"/>
    </xf>
    <xf numFmtId="212" fontId="51" fillId="0" borderId="0" applyFill="0" applyBorder="0" applyAlignment="0"/>
    <xf numFmtId="164" fontId="160" fillId="54" borderId="12" applyNumberFormat="0" applyAlignment="0" applyProtection="0">
      <alignment vertical="center"/>
    </xf>
    <xf numFmtId="164" fontId="174" fillId="49" borderId="0" applyNumberFormat="0" applyBorder="0" applyAlignment="0" applyProtection="0">
      <alignment vertical="center"/>
    </xf>
    <xf numFmtId="164" fontId="156" fillId="40" borderId="0" applyNumberFormat="0" applyBorder="0" applyAlignment="0" applyProtection="0">
      <alignment vertical="center"/>
    </xf>
    <xf numFmtId="164" fontId="177" fillId="3"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7" fontId="51" fillId="0" borderId="0" applyFill="0" applyBorder="0" applyAlignment="0"/>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1" borderId="0" applyNumberFormat="0" applyBorder="0" applyAlignment="0" applyProtection="0">
      <alignment vertical="center"/>
    </xf>
    <xf numFmtId="213" fontId="88" fillId="0" borderId="0" applyFill="0" applyBorder="0" applyAlignment="0"/>
    <xf numFmtId="164" fontId="174" fillId="42" borderId="0" applyNumberFormat="0" applyBorder="0" applyAlignment="0" applyProtection="0">
      <alignment vertical="center"/>
    </xf>
    <xf numFmtId="164" fontId="97" fillId="0" borderId="23"/>
    <xf numFmtId="14" fontId="31" fillId="0" borderId="0">
      <alignment horizontal="center" wrapText="1"/>
      <protection locked="0"/>
    </xf>
    <xf numFmtId="164" fontId="123" fillId="45" borderId="0" applyNumberFormat="0" applyBorder="0" applyAlignment="0" applyProtection="0">
      <alignment vertical="center"/>
    </xf>
    <xf numFmtId="164" fontId="91" fillId="0" borderId="0">
      <alignment horizontal="center" wrapText="1"/>
      <protection locked="0"/>
    </xf>
    <xf numFmtId="213" fontId="88" fillId="0" borderId="0" applyFill="0" applyBorder="0" applyAlignment="0"/>
    <xf numFmtId="213" fontId="51" fillId="0" borderId="0" applyFill="0" applyBorder="0" applyAlignment="0"/>
    <xf numFmtId="164" fontId="156" fillId="42" borderId="0" applyNumberFormat="0" applyBorder="0" applyAlignment="0" applyProtection="0">
      <alignment vertical="center"/>
    </xf>
    <xf numFmtId="213" fontId="51"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174" fillId="47" borderId="0" applyNumberFormat="0" applyBorder="0" applyAlignment="0" applyProtection="0">
      <alignment vertical="center"/>
    </xf>
    <xf numFmtId="217" fontId="51" fillId="0" borderId="0" applyFill="0" applyBorder="0" applyAlignment="0"/>
    <xf numFmtId="213" fontId="88" fillId="0" borderId="0" applyFill="0" applyBorder="0" applyAlignment="0"/>
    <xf numFmtId="164" fontId="173" fillId="41" borderId="0" applyNumberFormat="0" applyBorder="0" applyAlignment="0" applyProtection="0">
      <alignment vertical="center"/>
    </xf>
    <xf numFmtId="164" fontId="157" fillId="46" borderId="0" applyNumberFormat="0" applyBorder="0" applyAlignment="0" applyProtection="0">
      <alignment vertical="center"/>
    </xf>
    <xf numFmtId="213" fontId="51" fillId="0" borderId="0" applyFill="0" applyBorder="0" applyAlignment="0"/>
    <xf numFmtId="164" fontId="20" fillId="65" borderId="27" applyNumberFormat="0" applyFont="0" applyAlignment="0" applyProtection="0"/>
    <xf numFmtId="164" fontId="187" fillId="54" borderId="12" applyNumberFormat="0" applyAlignment="0" applyProtection="0">
      <alignment vertical="center"/>
    </xf>
    <xf numFmtId="219" fontId="88" fillId="0" borderId="0"/>
    <xf numFmtId="214" fontId="88" fillId="0" borderId="0" applyFill="0" applyBorder="0" applyAlignment="0"/>
    <xf numFmtId="164" fontId="172"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78" fillId="53" borderId="11" applyNumberFormat="0" applyAlignment="0" applyProtection="0">
      <alignment vertical="center"/>
    </xf>
    <xf numFmtId="217" fontId="88" fillId="0" borderId="0" applyFill="0" applyBorder="0" applyAlignment="0"/>
    <xf numFmtId="212" fontId="51" fillId="0" borderId="0" applyFill="0" applyBorder="0" applyAlignment="0"/>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73" fillId="36" borderId="0" applyNumberFormat="0" applyBorder="0" applyAlignment="0" applyProtection="0">
      <alignment vertical="center"/>
    </xf>
    <xf numFmtId="164" fontId="137" fillId="36" borderId="0" applyNumberFormat="0" applyBorder="0" applyAlignment="0" applyProtection="0">
      <alignment vertical="center"/>
    </xf>
    <xf numFmtId="164" fontId="123" fillId="49"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91" fillId="0" borderId="0">
      <alignment horizontal="center" wrapText="1"/>
      <protection locked="0"/>
    </xf>
    <xf numFmtId="217" fontId="88" fillId="0" borderId="0" applyFill="0" applyBorder="0" applyAlignment="0"/>
    <xf numFmtId="220" fontId="51" fillId="0" borderId="0" applyFont="0" applyFill="0" applyBorder="0" applyAlignment="0" applyProtection="0"/>
    <xf numFmtId="164" fontId="167" fillId="0" borderId="18" applyNumberFormat="0" applyFill="0" applyAlignment="0" applyProtection="0">
      <alignment vertical="center"/>
    </xf>
    <xf numFmtId="213" fontId="88" fillId="0" borderId="0" applyFill="0" applyBorder="0" applyAlignment="0"/>
    <xf numFmtId="217" fontId="88" fillId="0" borderId="0" applyFill="0" applyBorder="0" applyAlignment="0"/>
    <xf numFmtId="164" fontId="20" fillId="65" borderId="27" applyNumberFormat="0" applyFont="0" applyAlignment="0" applyProtection="0"/>
    <xf numFmtId="164" fontId="156" fillId="43" borderId="0" applyNumberFormat="0" applyBorder="0" applyAlignment="0" applyProtection="0">
      <alignment vertical="center"/>
    </xf>
    <xf numFmtId="164" fontId="178" fillId="53" borderId="11" applyNumberFormat="0" applyAlignment="0" applyProtection="0">
      <alignment vertical="center"/>
    </xf>
    <xf numFmtId="221" fontId="51" fillId="0" borderId="0" applyFill="0" applyBorder="0" applyAlignment="0"/>
    <xf numFmtId="164" fontId="174" fillId="45"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97" fillId="0" borderId="23"/>
    <xf numFmtId="164" fontId="170" fillId="0" borderId="0" applyNumberFormat="0" applyFill="0" applyBorder="0" applyAlignment="0" applyProtection="0">
      <alignment vertical="center"/>
    </xf>
    <xf numFmtId="214" fontId="88" fillId="0" borderId="0" applyFill="0" applyBorder="0" applyAlignment="0"/>
    <xf numFmtId="213" fontId="88" fillId="0" borderId="0" applyFill="0" applyBorder="0" applyAlignment="0"/>
    <xf numFmtId="164" fontId="156" fillId="43" borderId="0" applyNumberFormat="0" applyBorder="0" applyAlignment="0" applyProtection="0">
      <alignment vertical="center"/>
    </xf>
    <xf numFmtId="213" fontId="51" fillId="0" borderId="0" applyFill="0" applyBorder="0" applyAlignment="0"/>
    <xf numFmtId="200" fontId="88" fillId="58" borderId="0"/>
    <xf numFmtId="217" fontId="88" fillId="0" borderId="0" applyFill="0" applyBorder="0" applyAlignment="0"/>
    <xf numFmtId="218" fontId="51" fillId="0" borderId="0" applyFill="0" applyBorder="0" applyAlignment="0"/>
    <xf numFmtId="218" fontId="88" fillId="0" borderId="0" applyFill="0" applyBorder="0" applyAlignment="0"/>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4" fillId="42" borderId="0" applyNumberFormat="0" applyBorder="0" applyAlignment="0" applyProtection="0">
      <alignment vertical="center"/>
    </xf>
    <xf numFmtId="217" fontId="88" fillId="0" borderId="0" applyFont="0" applyFill="0" applyBorder="0" applyAlignment="0" applyProtection="0"/>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6" fillId="0" borderId="28" applyNumberFormat="0" applyFill="0" applyAlignment="0" applyProtection="0">
      <alignment vertical="center"/>
    </xf>
    <xf numFmtId="164" fontId="174" fillId="45" borderId="0" applyNumberFormat="0" applyBorder="0" applyAlignment="0" applyProtection="0">
      <alignment vertical="center"/>
    </xf>
    <xf numFmtId="200" fontId="88" fillId="57" borderId="0"/>
    <xf numFmtId="218" fontId="88" fillId="0" borderId="0" applyFill="0" applyBorder="0" applyAlignment="0"/>
    <xf numFmtId="164" fontId="137" fillId="36" borderId="0" applyNumberFormat="0" applyBorder="0" applyAlignment="0" applyProtection="0">
      <alignment vertical="center"/>
    </xf>
    <xf numFmtId="164" fontId="167" fillId="0" borderId="18" applyNumberFormat="0" applyFill="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74" fillId="45" borderId="0" applyNumberFormat="0" applyBorder="0" applyAlignment="0" applyProtection="0">
      <alignment vertical="center"/>
    </xf>
    <xf numFmtId="164" fontId="173" fillId="36" borderId="0" applyNumberFormat="0" applyBorder="0" applyAlignment="0" applyProtection="0">
      <alignment vertical="center"/>
    </xf>
    <xf numFmtId="164" fontId="137" fillId="36" borderId="0" applyNumberFormat="0" applyBorder="0" applyAlignment="0" applyProtection="0">
      <alignment vertical="center"/>
    </xf>
    <xf numFmtId="164" fontId="123" fillId="49" borderId="0" applyNumberFormat="0" applyBorder="0" applyAlignment="0" applyProtection="0">
      <alignment vertical="center"/>
    </xf>
    <xf numFmtId="164" fontId="123" fillId="47"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7"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63" fillId="0" borderId="21"/>
    <xf numFmtId="164" fontId="167" fillId="0" borderId="18" applyNumberFormat="0" applyFill="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217" fontId="88" fillId="0" borderId="0" applyFill="0" applyBorder="0" applyAlignment="0"/>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220" fontId="88" fillId="0" borderId="0" applyFont="0" applyFill="0" applyBorder="0" applyAlignment="0" applyProtection="0"/>
    <xf numFmtId="164" fontId="187" fillId="54" borderId="12" applyNumberFormat="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213" fontId="51" fillId="0" borderId="0" applyFill="0" applyBorder="0" applyAlignment="0"/>
    <xf numFmtId="164" fontId="178" fillId="53" borderId="11" applyNumberFormat="0" applyAlignment="0" applyProtection="0">
      <alignment vertical="center"/>
    </xf>
    <xf numFmtId="164" fontId="184" fillId="0" borderId="0" applyNumberFormat="0" applyFill="0" applyBorder="0" applyAlignment="0" applyProtection="0">
      <alignment vertical="center"/>
    </xf>
    <xf numFmtId="215" fontId="88" fillId="0" borderId="0" applyFill="0" applyBorder="0" applyAlignment="0"/>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88" fillId="0" borderId="0" applyFill="0" applyBorder="0" applyAlignment="0"/>
    <xf numFmtId="164" fontId="172" fillId="0" borderId="0" applyNumberFormat="0" applyFill="0" applyBorder="0" applyAlignment="0" applyProtection="0">
      <alignment vertical="center"/>
    </xf>
    <xf numFmtId="216" fontId="51" fillId="0" borderId="0" applyFont="0" applyFill="0" applyBorder="0" applyAlignment="0" applyProtection="0"/>
    <xf numFmtId="213" fontId="51" fillId="0" borderId="0" applyFont="0" applyFill="0" applyBorder="0" applyAlignment="0" applyProtection="0"/>
    <xf numFmtId="219" fontId="88" fillId="0" borderId="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26"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2" fontId="88"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8" fontId="51" fillId="0" borderId="0" applyFill="0" applyBorder="0" applyAlignment="0"/>
    <xf numFmtId="164" fontId="163" fillId="0" borderId="25" applyNumberFormat="0" applyFill="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213" fontId="51" fillId="0" borderId="0" applyFill="0" applyBorder="0" applyAlignment="0"/>
    <xf numFmtId="164" fontId="184" fillId="0" borderId="0" applyNumberFormat="0" applyFill="0" applyBorder="0" applyAlignment="0" applyProtection="0">
      <alignment vertical="center"/>
    </xf>
    <xf numFmtId="213" fontId="88" fillId="0" borderId="0" applyFill="0" applyBorder="0" applyAlignment="0"/>
    <xf numFmtId="164" fontId="157" fillId="51"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23" fillId="49" borderId="0" applyNumberFormat="0" applyBorder="0" applyAlignment="0" applyProtection="0">
      <alignment vertical="center"/>
    </xf>
    <xf numFmtId="218" fontId="51" fillId="0" borderId="0" applyFill="0" applyBorder="0" applyAlignment="0"/>
    <xf numFmtId="164" fontId="157" fillId="45"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4" fontId="51" fillId="0" borderId="0" applyFill="0" applyBorder="0" applyAlignment="0"/>
    <xf numFmtId="164" fontId="173" fillId="40" borderId="0" applyNumberFormat="0" applyBorder="0" applyAlignment="0" applyProtection="0">
      <alignment vertical="center"/>
    </xf>
    <xf numFmtId="220" fontId="51" fillId="0" borderId="0" applyFont="0" applyFill="0" applyBorder="0" applyAlignment="0" applyProtection="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62" fillId="3" borderId="0" applyNumberFormat="0" applyBorder="0" applyAlignment="0" applyProtection="0">
      <alignment vertical="center"/>
    </xf>
    <xf numFmtId="164" fontId="189" fillId="0" borderId="0" applyNumberFormat="0" applyFill="0" applyBorder="0" applyAlignment="0" applyProtection="0">
      <alignment vertical="center"/>
    </xf>
    <xf numFmtId="213" fontId="51" fillId="0" borderId="0" applyFont="0" applyFill="0" applyBorder="0" applyAlignment="0" applyProtection="0"/>
    <xf numFmtId="164" fontId="182" fillId="0" borderId="25" applyNumberFormat="0" applyFill="0" applyAlignment="0" applyProtection="0">
      <alignment vertical="center"/>
    </xf>
    <xf numFmtId="213" fontId="51" fillId="0" borderId="0" applyFill="0" applyBorder="0" applyAlignment="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88" fillId="0" borderId="0" applyFont="0" applyFill="0" applyBorder="0" applyAlignment="0" applyProtection="0"/>
    <xf numFmtId="164" fontId="174" fillId="41" borderId="0" applyNumberFormat="0" applyBorder="0" applyAlignment="0" applyProtection="0">
      <alignment vertical="center"/>
    </xf>
    <xf numFmtId="213" fontId="51" fillId="0" borderId="0" applyFill="0" applyBorder="0" applyAlignment="0"/>
    <xf numFmtId="164" fontId="20" fillId="65" borderId="27" applyNumberFormat="0" applyFont="0" applyAlignment="0" applyProtection="0"/>
    <xf numFmtId="164" fontId="174" fillId="45" borderId="0" applyNumberFormat="0" applyBorder="0" applyAlignment="0" applyProtection="0">
      <alignment vertical="center"/>
    </xf>
    <xf numFmtId="164" fontId="31" fillId="0" borderId="0">
      <alignment horizontal="center" wrapText="1"/>
      <protection locked="0"/>
    </xf>
    <xf numFmtId="213" fontId="51" fillId="0" borderId="0" applyFill="0" applyBorder="0" applyAlignment="0"/>
    <xf numFmtId="164" fontId="188" fillId="36" borderId="0" applyNumberFormat="0" applyBorder="0" applyAlignment="0" applyProtection="0">
      <alignment vertical="center"/>
    </xf>
    <xf numFmtId="164" fontId="173" fillId="36" borderId="0" applyNumberFormat="0" applyBorder="0" applyAlignment="0" applyProtection="0">
      <alignment vertical="center"/>
    </xf>
    <xf numFmtId="164" fontId="123" fillId="52" borderId="0" applyNumberFormat="0" applyBorder="0" applyAlignment="0" applyProtection="0">
      <alignment vertical="center"/>
    </xf>
    <xf numFmtId="164" fontId="185" fillId="39" borderId="11" applyNumberFormat="0" applyAlignment="0" applyProtection="0">
      <alignment vertical="center"/>
    </xf>
    <xf numFmtId="164" fontId="164" fillId="0" borderId="26" applyNumberFormat="0" applyFill="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212" fontId="51" fillId="0" borderId="0" applyFill="0" applyBorder="0" applyAlignment="0"/>
    <xf numFmtId="164" fontId="175" fillId="61" borderId="0" applyNumberFormat="0" applyBorder="0" applyAlignment="0" applyProtection="0">
      <alignment vertical="center"/>
    </xf>
    <xf numFmtId="219" fontId="51" fillId="0" borderId="0"/>
    <xf numFmtId="212" fontId="88"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57" fillId="45" borderId="0" applyNumberFormat="0" applyBorder="0" applyAlignment="0" applyProtection="0">
      <alignment vertical="center"/>
    </xf>
    <xf numFmtId="164" fontId="186" fillId="53" borderId="20" applyNumberFormat="0" applyAlignment="0" applyProtection="0">
      <alignment vertical="center"/>
    </xf>
    <xf numFmtId="164" fontId="96" fillId="0" borderId="21"/>
    <xf numFmtId="164" fontId="174" fillId="44" borderId="0" applyNumberFormat="0" applyBorder="0" applyAlignment="0" applyProtection="0">
      <alignment vertical="center"/>
    </xf>
    <xf numFmtId="164" fontId="63" fillId="0" borderId="21"/>
    <xf numFmtId="217" fontId="51" fillId="0" borderId="0" applyFill="0" applyBorder="0" applyAlignment="0"/>
    <xf numFmtId="164" fontId="173" fillId="41" borderId="0" applyNumberFormat="0" applyBorder="0" applyAlignment="0" applyProtection="0">
      <alignment vertical="center"/>
    </xf>
    <xf numFmtId="164" fontId="30" fillId="0" borderId="23"/>
    <xf numFmtId="164" fontId="157" fillId="46"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29" fillId="0" borderId="0" applyNumberFormat="0" applyFill="0" applyBorder="0" applyAlignment="0" applyProtection="0">
      <alignment vertical="center"/>
    </xf>
    <xf numFmtId="164" fontId="189" fillId="0" borderId="0" applyNumberFormat="0" applyFill="0" applyBorder="0" applyAlignment="0" applyProtection="0">
      <alignment vertical="center"/>
    </xf>
    <xf numFmtId="164" fontId="170" fillId="0" borderId="0" applyNumberFormat="0" applyFill="0" applyBorder="0" applyAlignment="0" applyProtection="0">
      <alignment vertical="center"/>
    </xf>
    <xf numFmtId="213" fontId="51" fillId="0" borderId="0" applyFill="0" applyBorder="0" applyAlignment="0"/>
    <xf numFmtId="212"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213" fontId="51" fillId="0" borderId="0" applyFill="0" applyBorder="0" applyAlignment="0"/>
    <xf numFmtId="217" fontId="88" fillId="0" borderId="0" applyFill="0" applyBorder="0" applyAlignment="0"/>
    <xf numFmtId="164" fontId="20" fillId="65" borderId="27" applyNumberFormat="0" applyFont="0" applyAlignment="0" applyProtection="0"/>
    <xf numFmtId="164" fontId="156" fillId="43" borderId="0" applyNumberFormat="0" applyBorder="0" applyAlignment="0" applyProtection="0">
      <alignment vertical="center"/>
    </xf>
    <xf numFmtId="218" fontId="51" fillId="0" borderId="0" applyFill="0" applyBorder="0" applyAlignment="0"/>
    <xf numFmtId="216" fontId="51" fillId="0" borderId="0" applyFill="0" applyBorder="0" applyAlignment="0"/>
    <xf numFmtId="164" fontId="174" fillId="51" borderId="0" applyNumberFormat="0" applyBorder="0" applyAlignment="0" applyProtection="0">
      <alignment vertical="center"/>
    </xf>
    <xf numFmtId="164" fontId="162" fillId="3" borderId="0" applyNumberFormat="0" applyBorder="0" applyAlignment="0" applyProtection="0">
      <alignment vertical="center"/>
    </xf>
    <xf numFmtId="164" fontId="157" fillId="49" borderId="0" applyNumberFormat="0" applyBorder="0" applyAlignment="0" applyProtection="0">
      <alignment vertical="center"/>
    </xf>
    <xf numFmtId="164" fontId="184" fillId="0" borderId="15" applyNumberFormat="0" applyFill="0" applyAlignment="0" applyProtection="0">
      <alignment vertical="center"/>
    </xf>
    <xf numFmtId="164" fontId="63" fillId="0" borderId="21"/>
    <xf numFmtId="164" fontId="157" fillId="49" borderId="0" applyNumberFormat="0" applyBorder="0" applyAlignment="0" applyProtection="0">
      <alignment vertical="center"/>
    </xf>
    <xf numFmtId="164" fontId="122" fillId="37" borderId="0" applyNumberFormat="0" applyBorder="0" applyAlignment="0" applyProtection="0">
      <alignment vertical="center"/>
    </xf>
    <xf numFmtId="164" fontId="184" fillId="0" borderId="15" applyNumberFormat="0" applyFill="0" applyAlignment="0" applyProtection="0">
      <alignment vertical="center"/>
    </xf>
    <xf numFmtId="200" fontId="88" fillId="57" borderId="0"/>
    <xf numFmtId="164" fontId="123" fillId="44" borderId="0" applyNumberFormat="0" applyBorder="0" applyAlignment="0" applyProtection="0">
      <alignment vertical="center"/>
    </xf>
    <xf numFmtId="164" fontId="122" fillId="42" borderId="0" applyNumberFormat="0" applyBorder="0" applyAlignment="0" applyProtection="0">
      <alignment vertical="center"/>
    </xf>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74" fillId="42" borderId="0" applyNumberFormat="0" applyBorder="0" applyAlignment="0" applyProtection="0">
      <alignment vertical="center"/>
    </xf>
    <xf numFmtId="164" fontId="173" fillId="37" borderId="0" applyNumberFormat="0" applyBorder="0" applyAlignment="0" applyProtection="0">
      <alignment vertical="center"/>
    </xf>
    <xf numFmtId="164" fontId="173" fillId="35" borderId="0" applyNumberFormat="0" applyBorder="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57" fillId="49" borderId="0" applyNumberFormat="0" applyBorder="0" applyAlignment="0" applyProtection="0">
      <alignment vertical="center"/>
    </xf>
    <xf numFmtId="217" fontId="88" fillId="0" borderId="0" applyFill="0" applyBorder="0" applyAlignment="0"/>
    <xf numFmtId="213" fontId="88" fillId="0" borderId="0" applyFont="0" applyFill="0" applyBorder="0" applyAlignment="0" applyProtection="0"/>
    <xf numFmtId="164" fontId="128" fillId="0" borderId="18" applyNumberFormat="0" applyFill="0" applyAlignment="0" applyProtection="0">
      <alignment vertical="center"/>
    </xf>
    <xf numFmtId="221" fontId="51" fillId="0" borderId="0" applyFill="0" applyBorder="0" applyAlignment="0"/>
    <xf numFmtId="164" fontId="176" fillId="0" borderId="28" applyNumberFormat="0" applyFill="0" applyAlignment="0" applyProtection="0">
      <alignment vertical="center"/>
    </xf>
    <xf numFmtId="164" fontId="176" fillId="0" borderId="28" applyNumberFormat="0" applyFill="0" applyAlignment="0" applyProtection="0">
      <alignment vertical="center"/>
    </xf>
    <xf numFmtId="213" fontId="88" fillId="0" borderId="0" applyFill="0" applyBorder="0" applyAlignment="0"/>
    <xf numFmtId="164" fontId="165" fillId="0" borderId="0" applyNumberFormat="0" applyFill="0" applyBorder="0" applyAlignment="0" applyProtection="0">
      <alignment vertical="center"/>
    </xf>
    <xf numFmtId="217" fontId="88" fillId="0" borderId="0" applyFill="0" applyBorder="0" applyAlignment="0"/>
    <xf numFmtId="213" fontId="51" fillId="0" borderId="0" applyFont="0" applyFill="0" applyBorder="0" applyAlignment="0" applyProtection="0"/>
    <xf numFmtId="216" fontId="88" fillId="0" borderId="0" applyFill="0" applyBorder="0" applyAlignment="0"/>
    <xf numFmtId="213" fontId="51" fillId="0" borderId="0" applyFill="0" applyBorder="0" applyAlignment="0"/>
    <xf numFmtId="213" fontId="51" fillId="0" borderId="0" applyFill="0" applyBorder="0" applyAlignment="0"/>
    <xf numFmtId="164" fontId="30" fillId="0" borderId="23"/>
    <xf numFmtId="164" fontId="156" fillId="40" borderId="0" applyNumberFormat="0" applyBorder="0" applyAlignment="0" applyProtection="0">
      <alignment vertical="center"/>
    </xf>
    <xf numFmtId="164" fontId="20" fillId="65" borderId="27" applyNumberFormat="0" applyFont="0" applyAlignment="0" applyProtection="0"/>
    <xf numFmtId="164" fontId="156" fillId="40" borderId="0" applyNumberFormat="0" applyBorder="0" applyAlignment="0" applyProtection="0">
      <alignment vertical="center"/>
    </xf>
    <xf numFmtId="164" fontId="156" fillId="39" borderId="0" applyNumberFormat="0" applyBorder="0" applyAlignment="0" applyProtection="0">
      <alignment vertical="center"/>
    </xf>
    <xf numFmtId="164" fontId="173" fillId="39" borderId="0" applyNumberFormat="0" applyBorder="0" applyAlignment="0" applyProtection="0">
      <alignment vertical="center"/>
    </xf>
    <xf numFmtId="164" fontId="123" fillId="47" borderId="0" applyNumberFormat="0" applyBorder="0" applyAlignment="0" applyProtection="0">
      <alignment vertical="center"/>
    </xf>
    <xf numFmtId="164" fontId="63" fillId="0" borderId="21"/>
    <xf numFmtId="217" fontId="88" fillId="0" borderId="0" applyFill="0" applyBorder="0" applyAlignment="0"/>
    <xf numFmtId="164" fontId="170" fillId="0" borderId="0" applyNumberFormat="0" applyFill="0" applyBorder="0" applyAlignment="0" applyProtection="0">
      <alignment vertical="center"/>
    </xf>
    <xf numFmtId="164" fontId="129" fillId="0" borderId="0" applyNumberFormat="0" applyFill="0" applyBorder="0" applyAlignment="0" applyProtection="0">
      <alignment vertical="center"/>
    </xf>
    <xf numFmtId="164" fontId="123" fillId="47" borderId="0" applyNumberFormat="0" applyBorder="0" applyAlignment="0" applyProtection="0">
      <alignment vertical="center"/>
    </xf>
    <xf numFmtId="212" fontId="88" fillId="0" borderId="0" applyFill="0" applyBorder="0" applyAlignment="0"/>
    <xf numFmtId="164" fontId="167" fillId="0" borderId="18" applyNumberFormat="0" applyFill="0" applyAlignment="0" applyProtection="0">
      <alignment vertical="center"/>
    </xf>
    <xf numFmtId="164" fontId="162" fillId="3" borderId="0" applyNumberFormat="0" applyBorder="0" applyAlignment="0" applyProtection="0">
      <alignment vertical="center"/>
    </xf>
    <xf numFmtId="215"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74" fillId="45" borderId="0" applyNumberFormat="0" applyBorder="0" applyAlignment="0" applyProtection="0">
      <alignment vertical="center"/>
    </xf>
    <xf numFmtId="164" fontId="174" fillId="41" borderId="0" applyNumberFormat="0" applyBorder="0" applyAlignment="0" applyProtection="0">
      <alignment vertical="center"/>
    </xf>
    <xf numFmtId="219" fontId="88" fillId="0" borderId="0"/>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90" fillId="65" borderId="27" applyNumberFormat="0" applyFont="0" applyAlignment="0" applyProtection="0"/>
    <xf numFmtId="164" fontId="157" fillId="50" borderId="0" applyNumberFormat="0" applyBorder="0" applyAlignment="0" applyProtection="0">
      <alignment vertical="center"/>
    </xf>
    <xf numFmtId="220" fontId="88" fillId="0" borderId="0" applyFont="0" applyFill="0" applyBorder="0" applyAlignment="0" applyProtection="0"/>
    <xf numFmtId="164" fontId="125" fillId="0" borderId="28" applyNumberFormat="0" applyFill="0" applyAlignment="0" applyProtection="0">
      <alignment vertical="center"/>
    </xf>
    <xf numFmtId="218" fontId="88" fillId="0" borderId="0" applyFill="0" applyBorder="0" applyAlignment="0"/>
    <xf numFmtId="164" fontId="165" fillId="0" borderId="15" applyNumberFormat="0" applyFill="0" applyAlignment="0" applyProtection="0">
      <alignment vertical="center"/>
    </xf>
    <xf numFmtId="215" fontId="88" fillId="0" borderId="0" applyFill="0" applyBorder="0" applyAlignment="0"/>
    <xf numFmtId="164" fontId="20" fillId="65" borderId="27" applyNumberFormat="0" applyFont="0" applyAlignment="0" applyProtection="0"/>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23" fillId="41" borderId="0" applyNumberFormat="0" applyBorder="0" applyAlignment="0" applyProtection="0">
      <alignment vertical="center"/>
    </xf>
    <xf numFmtId="164" fontId="171" fillId="0" borderId="28" applyNumberFormat="0" applyFill="0" applyAlignment="0" applyProtection="0">
      <alignment vertical="center"/>
    </xf>
    <xf numFmtId="164" fontId="163" fillId="0" borderId="25" applyNumberFormat="0" applyFill="0" applyAlignment="0" applyProtection="0">
      <alignment vertical="center"/>
    </xf>
    <xf numFmtId="164" fontId="187" fillId="54" borderId="12" applyNumberFormat="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88" fillId="0" borderId="0" applyFill="0" applyBorder="0" applyAlignment="0"/>
    <xf numFmtId="218" fontId="51" fillId="0" borderId="0" applyFill="0" applyBorder="0" applyAlignment="0"/>
    <xf numFmtId="218" fontId="88" fillId="0" borderId="0" applyFill="0" applyBorder="0" applyAlignment="0"/>
    <xf numFmtId="213" fontId="88" fillId="0" borderId="0" applyFill="0" applyBorder="0" applyAlignment="0"/>
    <xf numFmtId="214" fontId="51" fillId="0" borderId="0" applyFill="0" applyBorder="0" applyAlignment="0"/>
    <xf numFmtId="219" fontId="51" fillId="0" borderId="0"/>
    <xf numFmtId="164" fontId="182" fillId="0" borderId="25" applyNumberFormat="0" applyFill="0" applyAlignment="0" applyProtection="0">
      <alignment vertical="center"/>
    </xf>
    <xf numFmtId="164" fontId="174" fillId="52" borderId="0" applyNumberFormat="0" applyBorder="0" applyAlignment="0" applyProtection="0">
      <alignment vertical="center"/>
    </xf>
    <xf numFmtId="218" fontId="51" fillId="0" borderId="0" applyFill="0" applyBorder="0" applyAlignment="0"/>
    <xf numFmtId="164" fontId="160" fillId="54" borderId="12"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57" fillId="45" borderId="0" applyNumberFormat="0" applyBorder="0" applyAlignment="0" applyProtection="0">
      <alignment vertical="center"/>
    </xf>
    <xf numFmtId="222" fontId="51" fillId="0" borderId="0" applyFill="0" applyBorder="0" applyAlignment="0"/>
    <xf numFmtId="217"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7" fontId="88" fillId="0" borderId="0" applyFill="0" applyBorder="0" applyAlignment="0"/>
    <xf numFmtId="164" fontId="174" fillId="45" borderId="0" applyNumberFormat="0" applyBorder="0" applyAlignment="0" applyProtection="0">
      <alignment vertical="center"/>
    </xf>
    <xf numFmtId="164" fontId="122" fillId="37" borderId="0" applyNumberFormat="0" applyBorder="0" applyAlignment="0" applyProtection="0">
      <alignment vertical="center"/>
    </xf>
    <xf numFmtId="164" fontId="170" fillId="0" borderId="0" applyNumberFormat="0" applyFill="0" applyBorder="0" applyAlignment="0" applyProtection="0">
      <alignment vertical="center"/>
    </xf>
    <xf numFmtId="164" fontId="174" fillId="45" borderId="0" applyNumberFormat="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17" fontId="51" fillId="0" borderId="0" applyFill="0" applyBorder="0" applyAlignment="0"/>
    <xf numFmtId="164" fontId="164" fillId="0" borderId="26" applyNumberFormat="0" applyFill="0" applyAlignment="0" applyProtection="0">
      <alignment vertical="center"/>
    </xf>
    <xf numFmtId="213" fontId="51" fillId="0" borderId="0" applyFill="0" applyBorder="0" applyAlignment="0"/>
    <xf numFmtId="213" fontId="88" fillId="0" borderId="0" applyFill="0" applyBorder="0" applyAlignment="0"/>
    <xf numFmtId="217" fontId="88" fillId="0" borderId="0" applyFill="0" applyBorder="0" applyAlignment="0"/>
    <xf numFmtId="164" fontId="174" fillId="45" borderId="0" applyNumberFormat="0" applyBorder="0" applyAlignment="0" applyProtection="0">
      <alignment vertical="center"/>
    </xf>
    <xf numFmtId="164" fontId="173" fillId="38"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00" fontId="51" fillId="58" borderId="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8"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164" fontId="159" fillId="53" borderId="11" applyNumberFormat="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220" fontId="88" fillId="0" borderId="0" applyFont="0" applyFill="0" applyBorder="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216"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4" fillId="50" borderId="0" applyNumberFormat="0" applyBorder="0" applyAlignment="0" applyProtection="0">
      <alignment vertical="center"/>
    </xf>
    <xf numFmtId="164" fontId="174" fillId="46"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57" fillId="50" borderId="0" applyNumberFormat="0" applyBorder="0" applyAlignment="0" applyProtection="0">
      <alignment vertical="center"/>
    </xf>
    <xf numFmtId="164" fontId="165" fillId="0" borderId="15"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7" fontId="88" fillId="0" borderId="0" applyFont="0" applyFill="0" applyBorder="0" applyAlignment="0" applyProtection="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4" fillId="49"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57" fillId="50"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27" fillId="53" borderId="11" applyNumberFormat="0" applyAlignment="0" applyProtection="0">
      <alignment vertical="center"/>
    </xf>
    <xf numFmtId="164" fontId="178" fillId="53" borderId="11" applyNumberFormat="0" applyAlignment="0" applyProtection="0">
      <alignment vertical="center"/>
    </xf>
    <xf numFmtId="217"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4" fontId="88" fillId="0" borderId="0" applyFill="0" applyBorder="0" applyAlignment="0"/>
    <xf numFmtId="164" fontId="163" fillId="0" borderId="25" applyNumberFormat="0" applyFill="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56" fillId="37" borderId="0" applyNumberFormat="0" applyBorder="0" applyAlignment="0" applyProtection="0">
      <alignment vertical="center"/>
    </xf>
    <xf numFmtId="216" fontId="88" fillId="0" borderId="0" applyFont="0" applyFill="0" applyBorder="0" applyAlignment="0" applyProtection="0"/>
    <xf numFmtId="164" fontId="128" fillId="0" borderId="18" applyNumberFormat="0" applyFill="0" applyAlignment="0" applyProtection="0">
      <alignment vertical="center"/>
    </xf>
    <xf numFmtId="164" fontId="183" fillId="0" borderId="26" applyNumberFormat="0" applyFill="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6" fontId="88" fillId="0" borderId="0" applyFont="0" applyFill="0" applyBorder="0" applyAlignment="0" applyProtection="0"/>
    <xf numFmtId="164" fontId="189" fillId="0" borderId="0" applyNumberFormat="0" applyFill="0" applyBorder="0" applyAlignment="0" applyProtection="0">
      <alignment vertical="center"/>
    </xf>
    <xf numFmtId="164" fontId="157" fillId="46" borderId="0" applyNumberFormat="0" applyBorder="0" applyAlignment="0" applyProtection="0">
      <alignment vertical="center"/>
    </xf>
    <xf numFmtId="164" fontId="188" fillId="36" borderId="0" applyNumberFormat="0" applyBorder="0" applyAlignment="0" applyProtection="0">
      <alignment vertical="center"/>
    </xf>
    <xf numFmtId="216" fontId="51" fillId="0" borderId="0" applyFill="0" applyBorder="0" applyAlignment="0"/>
    <xf numFmtId="220" fontId="88" fillId="0" borderId="0" applyFont="0" applyFill="0" applyBorder="0" applyAlignment="0" applyProtection="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64" fillId="0" borderId="26" applyNumberFormat="0" applyFill="0" applyAlignment="0" applyProtection="0">
      <alignment vertical="center"/>
    </xf>
    <xf numFmtId="164" fontId="135" fillId="53" borderId="20" applyNumberFormat="0" applyAlignment="0" applyProtection="0">
      <alignment vertical="center"/>
    </xf>
    <xf numFmtId="164" fontId="173" fillId="40" borderId="0" applyNumberFormat="0" applyBorder="0" applyAlignment="0" applyProtection="0">
      <alignment vertical="center"/>
    </xf>
    <xf numFmtId="164" fontId="20" fillId="65" borderId="27" applyNumberFormat="0" applyFont="0" applyAlignment="0" applyProtection="0"/>
    <xf numFmtId="164" fontId="187" fillId="54" borderId="12" applyNumberFormat="0" applyAlignment="0" applyProtection="0">
      <alignment vertical="center"/>
    </xf>
    <xf numFmtId="213" fontId="51" fillId="0" borderId="0" applyFill="0" applyBorder="0" applyAlignment="0"/>
    <xf numFmtId="164" fontId="123" fillId="46" borderId="0" applyNumberFormat="0" applyBorder="0" applyAlignment="0" applyProtection="0">
      <alignment vertical="center"/>
    </xf>
    <xf numFmtId="216" fontId="88" fillId="0" borderId="0" applyFill="0" applyBorder="0" applyAlignment="0"/>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3" fillId="37"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3" fillId="43" borderId="0" applyNumberFormat="0" applyBorder="0" applyAlignment="0" applyProtection="0">
      <alignment vertical="center"/>
    </xf>
    <xf numFmtId="164" fontId="174" fillId="52" borderId="0" applyNumberFormat="0" applyBorder="0" applyAlignment="0" applyProtection="0">
      <alignment vertical="center"/>
    </xf>
    <xf numFmtId="164" fontId="127" fillId="53" borderId="11" applyNumberFormat="0" applyAlignment="0" applyProtection="0">
      <alignment vertical="center"/>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87" fillId="54" borderId="12" applyNumberFormat="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65" fillId="0" borderId="0" applyNumberFormat="0" applyFill="0" applyBorder="0" applyAlignment="0" applyProtection="0">
      <alignment vertical="center"/>
    </xf>
    <xf numFmtId="217" fontId="51" fillId="0" borderId="0" applyFill="0" applyBorder="0" applyAlignment="0"/>
    <xf numFmtId="218" fontId="51" fillId="0" borderId="0" applyFill="0" applyBorder="0" applyAlignment="0"/>
    <xf numFmtId="164" fontId="134" fillId="39" borderId="11" applyNumberFormat="0" applyAlignment="0" applyProtection="0">
      <alignment vertical="center"/>
    </xf>
    <xf numFmtId="164" fontId="157" fillId="52" borderId="0" applyNumberFormat="0" applyBorder="0" applyAlignment="0" applyProtection="0">
      <alignment vertical="center"/>
    </xf>
    <xf numFmtId="164" fontId="63" fillId="0" borderId="21"/>
    <xf numFmtId="164" fontId="30" fillId="0" borderId="23"/>
    <xf numFmtId="164" fontId="157" fillId="52" borderId="0" applyNumberFormat="0" applyBorder="0" applyAlignment="0" applyProtection="0">
      <alignment vertical="center"/>
    </xf>
    <xf numFmtId="217" fontId="51" fillId="0" borderId="0" applyFont="0" applyFill="0" applyBorder="0" applyAlignment="0" applyProtection="0"/>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8" fillId="53" borderId="11" applyNumberFormat="0" applyAlignment="0" applyProtection="0">
      <alignment vertical="center"/>
    </xf>
    <xf numFmtId="164" fontId="189" fillId="0" borderId="0" applyNumberFormat="0" applyFill="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3" fillId="43" borderId="0" applyNumberFormat="0" applyBorder="0" applyAlignment="0" applyProtection="0">
      <alignment vertical="center"/>
    </xf>
    <xf numFmtId="215" fontId="51" fillId="0" borderId="0" applyFill="0" applyBorder="0" applyAlignment="0"/>
    <xf numFmtId="222" fontId="51" fillId="0" borderId="0" applyFill="0" applyBorder="0" applyAlignment="0"/>
    <xf numFmtId="215" fontId="88" fillId="0" borderId="0" applyFill="0" applyBorder="0" applyAlignment="0"/>
    <xf numFmtId="213" fontId="51" fillId="0" borderId="0" applyFont="0" applyFill="0" applyBorder="0" applyAlignment="0" applyProtection="0"/>
    <xf numFmtId="219" fontId="88" fillId="0" borderId="0"/>
    <xf numFmtId="218" fontId="51" fillId="0" borderId="0" applyFill="0" applyBorder="0" applyAlignment="0"/>
    <xf numFmtId="164" fontId="20" fillId="65" borderId="27" applyNumberFormat="0" applyFont="0" applyAlignment="0" applyProtection="0"/>
    <xf numFmtId="164" fontId="184" fillId="0" borderId="0" applyNumberFormat="0" applyFill="0" applyBorder="0" applyAlignment="0" applyProtection="0">
      <alignment vertical="center"/>
    </xf>
    <xf numFmtId="164" fontId="178" fillId="53" borderId="11" applyNumberFormat="0" applyAlignment="0" applyProtection="0">
      <alignment vertical="center"/>
    </xf>
    <xf numFmtId="164" fontId="165" fillId="0" borderId="0" applyNumberFormat="0" applyFill="0" applyBorder="0" applyAlignment="0" applyProtection="0">
      <alignment vertical="center"/>
    </xf>
    <xf numFmtId="213" fontId="51" fillId="0" borderId="0" applyFill="0" applyBorder="0" applyAlignment="0"/>
    <xf numFmtId="217" fontId="88" fillId="0" borderId="0" applyFill="0" applyBorder="0" applyAlignment="0"/>
    <xf numFmtId="14" fontId="91" fillId="0" borderId="0">
      <alignment horizontal="center" wrapText="1"/>
      <protection locked="0"/>
    </xf>
    <xf numFmtId="164" fontId="166" fillId="39" borderId="11" applyNumberFormat="0" applyAlignment="0" applyProtection="0">
      <alignment vertical="center"/>
    </xf>
    <xf numFmtId="213" fontId="88" fillId="0" borderId="0" applyFill="0" applyBorder="0" applyAlignment="0"/>
    <xf numFmtId="164" fontId="185" fillId="39" borderId="11" applyNumberFormat="0" applyAlignment="0" applyProtection="0">
      <alignment vertical="center"/>
    </xf>
    <xf numFmtId="218" fontId="51" fillId="0" borderId="0" applyFill="0" applyBorder="0" applyAlignment="0"/>
    <xf numFmtId="164" fontId="170" fillId="0" borderId="0" applyNumberFormat="0" applyFill="0" applyBorder="0" applyAlignment="0" applyProtection="0">
      <alignment vertical="center"/>
    </xf>
    <xf numFmtId="217" fontId="51" fillId="0" borderId="0" applyFill="0" applyBorder="0" applyAlignment="0"/>
    <xf numFmtId="164" fontId="157" fillId="47" borderId="0" applyNumberFormat="0" applyBorder="0" applyAlignment="0" applyProtection="0">
      <alignment vertical="center"/>
    </xf>
    <xf numFmtId="164" fontId="168" fillId="61" borderId="0" applyNumberFormat="0" applyBorder="0" applyAlignment="0" applyProtection="0">
      <alignment vertical="center"/>
    </xf>
    <xf numFmtId="200" fontId="51" fillId="57" borderId="0"/>
    <xf numFmtId="164" fontId="169" fillId="53" borderId="20" applyNumberFormat="0" applyAlignment="0" applyProtection="0">
      <alignment vertical="center"/>
    </xf>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4" fillId="44" borderId="0" applyNumberFormat="0" applyBorder="0" applyAlignment="0" applyProtection="0">
      <alignment vertical="center"/>
    </xf>
    <xf numFmtId="164" fontId="173" fillId="37" borderId="0" applyNumberFormat="0" applyBorder="0" applyAlignment="0" applyProtection="0">
      <alignment vertical="center"/>
    </xf>
    <xf numFmtId="164" fontId="173" fillId="36"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200" fontId="51" fillId="57" borderId="0"/>
    <xf numFmtId="164" fontId="179" fillId="0" borderId="18" applyNumberFormat="0" applyFill="0" applyAlignment="0" applyProtection="0">
      <alignment vertical="center"/>
    </xf>
    <xf numFmtId="164" fontId="157" fillId="47" borderId="0" applyNumberFormat="0" applyBorder="0" applyAlignment="0" applyProtection="0">
      <alignment vertical="center"/>
    </xf>
    <xf numFmtId="164" fontId="124" fillId="61" borderId="0" applyNumberFormat="0" applyBorder="0" applyAlignment="0" applyProtection="0">
      <alignment vertical="center"/>
    </xf>
    <xf numFmtId="164" fontId="158" fillId="36" borderId="0" applyNumberFormat="0" applyBorder="0" applyAlignment="0" applyProtection="0">
      <alignment vertical="center"/>
    </xf>
    <xf numFmtId="217" fontId="88" fillId="0" borderId="0" applyFill="0" applyBorder="0" applyAlignment="0"/>
    <xf numFmtId="164" fontId="123" fillId="45" borderId="0" applyNumberFormat="0" applyBorder="0" applyAlignment="0" applyProtection="0">
      <alignment vertical="center"/>
    </xf>
    <xf numFmtId="218" fontId="51" fillId="0" borderId="0" applyFill="0" applyBorder="0" applyAlignment="0"/>
    <xf numFmtId="164" fontId="85" fillId="65" borderId="27" applyNumberFormat="0" applyFon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22" fontId="88" fillId="0" borderId="0" applyFill="0" applyBorder="0" applyAlignment="0"/>
    <xf numFmtId="164" fontId="168" fillId="61" borderId="0" applyNumberFormat="0" applyBorder="0" applyAlignment="0" applyProtection="0">
      <alignment vertical="center"/>
    </xf>
    <xf numFmtId="218" fontId="51" fillId="0" borderId="0" applyFill="0" applyBorder="0" applyAlignment="0"/>
    <xf numFmtId="164" fontId="20" fillId="65" borderId="27" applyNumberFormat="0" applyFont="0" applyAlignment="0" applyProtection="0"/>
    <xf numFmtId="213" fontId="88" fillId="0" borderId="0" applyFont="0" applyFill="0" applyBorder="0" applyAlignment="0" applyProtection="0"/>
    <xf numFmtId="213" fontId="51" fillId="0" borderId="0" applyFill="0" applyBorder="0" applyAlignment="0"/>
    <xf numFmtId="213" fontId="88" fillId="0" borderId="0" applyFill="0" applyBorder="0" applyAlignment="0"/>
    <xf numFmtId="164" fontId="157" fillId="45" borderId="0" applyNumberFormat="0" applyBorder="0" applyAlignment="0" applyProtection="0">
      <alignment vertical="center"/>
    </xf>
    <xf numFmtId="164" fontId="174" fillId="46" borderId="0" applyNumberFormat="0" applyBorder="0" applyAlignment="0" applyProtection="0">
      <alignment vertical="center"/>
    </xf>
    <xf numFmtId="164" fontId="171" fillId="0" borderId="28" applyNumberFormat="0" applyFill="0" applyAlignment="0" applyProtection="0">
      <alignment vertical="center"/>
    </xf>
    <xf numFmtId="164" fontId="174" fillId="46" borderId="0" applyNumberFormat="0" applyBorder="0" applyAlignment="0" applyProtection="0">
      <alignment vertical="center"/>
    </xf>
    <xf numFmtId="164" fontId="178" fillId="53" borderId="11" applyNumberFormat="0" applyAlignment="0" applyProtection="0">
      <alignment vertical="center"/>
    </xf>
    <xf numFmtId="164" fontId="187" fillId="54" borderId="12" applyNumberFormat="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31" fillId="0" borderId="0">
      <alignment horizontal="center" wrapText="1"/>
      <protection locked="0"/>
    </xf>
    <xf numFmtId="164" fontId="174" fillId="46"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6" borderId="0" applyNumberFormat="0" applyBorder="0" applyAlignment="0" applyProtection="0">
      <alignment vertical="center"/>
    </xf>
    <xf numFmtId="164" fontId="123" fillId="46" borderId="0" applyNumberFormat="0" applyBorder="0" applyAlignment="0" applyProtection="0">
      <alignment vertical="center"/>
    </xf>
    <xf numFmtId="164" fontId="97" fillId="0" borderId="23"/>
    <xf numFmtId="213" fontId="88" fillId="0" borderId="0" applyFill="0" applyBorder="0" applyAlignment="0"/>
    <xf numFmtId="213" fontId="51"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20" fillId="65" borderId="27" applyNumberFormat="0" applyFont="0" applyAlignment="0" applyProtection="0"/>
    <xf numFmtId="164" fontId="174" fillId="45" borderId="0" applyNumberFormat="0" applyBorder="0" applyAlignment="0" applyProtection="0">
      <alignment vertical="center"/>
    </xf>
    <xf numFmtId="164" fontId="188" fillId="36" borderId="0" applyNumberFormat="0" applyBorder="0" applyAlignment="0" applyProtection="0">
      <alignment vertical="center"/>
    </xf>
    <xf numFmtId="213" fontId="88" fillId="0" borderId="0" applyFill="0" applyBorder="0" applyAlignment="0"/>
    <xf numFmtId="164" fontId="187" fillId="54" borderId="12" applyNumberFormat="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88" fillId="0" borderId="0" applyFill="0" applyBorder="0" applyAlignment="0"/>
    <xf numFmtId="217" fontId="88" fillId="0" borderId="0" applyFill="0" applyBorder="0" applyAlignment="0"/>
    <xf numFmtId="213" fontId="88" fillId="0" borderId="0" applyFill="0" applyBorder="0" applyAlignment="0"/>
    <xf numFmtId="214" fontId="51" fillId="0" borderId="0" applyFill="0" applyBorder="0" applyAlignment="0"/>
    <xf numFmtId="219" fontId="51" fillId="0" borderId="0"/>
    <xf numFmtId="164" fontId="174" fillId="52" borderId="0" applyNumberFormat="0" applyBorder="0" applyAlignment="0" applyProtection="0">
      <alignment vertical="center"/>
    </xf>
    <xf numFmtId="218" fontId="51" fillId="0" borderId="0" applyFill="0" applyBorder="0" applyAlignment="0"/>
    <xf numFmtId="164" fontId="160" fillId="54" borderId="12"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30" fillId="0" borderId="23"/>
    <xf numFmtId="164" fontId="157" fillId="45" borderId="0" applyNumberFormat="0" applyBorder="0" applyAlignment="0" applyProtection="0">
      <alignment vertical="center"/>
    </xf>
    <xf numFmtId="217"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7" fontId="88" fillId="0" borderId="0" applyFill="0" applyBorder="0" applyAlignment="0"/>
    <xf numFmtId="164" fontId="174" fillId="45" borderId="0" applyNumberFormat="0" applyBorder="0" applyAlignment="0" applyProtection="0">
      <alignment vertical="center"/>
    </xf>
    <xf numFmtId="219" fontId="88" fillId="0" borderId="0"/>
    <xf numFmtId="217" fontId="51" fillId="0" borderId="0" applyFill="0" applyBorder="0" applyAlignment="0"/>
    <xf numFmtId="164" fontId="122" fillId="37" borderId="0" applyNumberFormat="0" applyBorder="0" applyAlignment="0" applyProtection="0">
      <alignment vertical="center"/>
    </xf>
    <xf numFmtId="164" fontId="174" fillId="45" borderId="0" applyNumberFormat="0" applyBorder="0" applyAlignment="0" applyProtection="0">
      <alignment vertical="center"/>
    </xf>
    <xf numFmtId="164" fontId="173" fillId="37" borderId="0" applyNumberFormat="0" applyBorder="0" applyAlignment="0" applyProtection="0">
      <alignment vertical="center"/>
    </xf>
    <xf numFmtId="164" fontId="180" fillId="0" borderId="0" applyNumberFormat="0" applyFill="0" applyBorder="0" applyAlignment="0" applyProtection="0">
      <alignment vertical="center"/>
    </xf>
    <xf numFmtId="164" fontId="174" fillId="51" borderId="0" applyNumberFormat="0" applyBorder="0" applyAlignment="0" applyProtection="0">
      <alignment vertical="center"/>
    </xf>
    <xf numFmtId="164" fontId="184" fillId="0" borderId="0" applyNumberFormat="0" applyFill="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17" fontId="51" fillId="0" borderId="0" applyFill="0" applyBorder="0" applyAlignment="0"/>
    <xf numFmtId="164" fontId="163" fillId="0" borderId="25" applyNumberFormat="0" applyFill="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164" fontId="174" fillId="45" borderId="0" applyNumberFormat="0" applyBorder="0" applyAlignment="0" applyProtection="0">
      <alignment vertical="center"/>
    </xf>
    <xf numFmtId="164" fontId="173" fillId="38" borderId="0" applyNumberFormat="0" applyBorder="0" applyAlignment="0" applyProtection="0">
      <alignment vertical="center"/>
    </xf>
    <xf numFmtId="164" fontId="169" fillId="53" borderId="20" applyNumberFormat="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00" fontId="51" fillId="58" borderId="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8"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31" fillId="0" borderId="0">
      <alignment horizontal="center" wrapText="1"/>
      <protection locked="0"/>
    </xf>
    <xf numFmtId="213"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164" fontId="159" fillId="53" borderId="11" applyNumberFormat="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216"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64" fillId="0" borderId="26"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60" fillId="54" borderId="12" applyNumberFormat="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4" fillId="49"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57" fillId="50"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58"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7"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00" fontId="88" fillId="57" borderId="0"/>
    <xf numFmtId="214" fontId="88" fillId="0" borderId="0" applyFill="0" applyBorder="0" applyAlignment="0"/>
    <xf numFmtId="164" fontId="63" fillId="0" borderId="21"/>
    <xf numFmtId="164" fontId="163" fillId="0" borderId="25" applyNumberFormat="0" applyFill="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57" fillId="41" borderId="0" applyNumberFormat="0" applyBorder="0" applyAlignment="0" applyProtection="0">
      <alignment vertical="center"/>
    </xf>
    <xf numFmtId="216" fontId="88" fillId="0" borderId="0" applyFont="0" applyFill="0" applyBorder="0" applyAlignment="0" applyProtection="0"/>
    <xf numFmtId="164" fontId="128" fillId="0" borderId="18" applyNumberFormat="0" applyFill="0" applyAlignment="0" applyProtection="0">
      <alignment vertical="center"/>
    </xf>
    <xf numFmtId="164" fontId="182" fillId="0" borderId="25" applyNumberFormat="0" applyFill="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64" fontId="157" fillId="45" borderId="0" applyNumberFormat="0" applyBorder="0" applyAlignment="0" applyProtection="0">
      <alignment vertical="center"/>
    </xf>
    <xf numFmtId="164" fontId="187" fillId="54" borderId="12" applyNumberFormat="0" applyAlignment="0" applyProtection="0">
      <alignment vertical="center"/>
    </xf>
    <xf numFmtId="220" fontId="88" fillId="0" borderId="0" applyFont="0" applyFill="0" applyBorder="0" applyAlignment="0" applyProtection="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35" fillId="53" borderId="20" applyNumberFormat="0" applyAlignment="0" applyProtection="0">
      <alignment vertical="center"/>
    </xf>
    <xf numFmtId="164" fontId="173" fillId="40" borderId="0" applyNumberFormat="0" applyBorder="0" applyAlignment="0" applyProtection="0">
      <alignment vertical="center"/>
    </xf>
    <xf numFmtId="164" fontId="20" fillId="65" borderId="27" applyNumberFormat="0" applyFont="0" applyAlignment="0" applyProtection="0"/>
    <xf numFmtId="164" fontId="187" fillId="54" borderId="12" applyNumberFormat="0" applyAlignment="0" applyProtection="0">
      <alignment vertical="center"/>
    </xf>
    <xf numFmtId="213" fontId="51" fillId="0" borderId="0" applyFill="0" applyBorder="0" applyAlignment="0"/>
    <xf numFmtId="164" fontId="123" fillId="46" borderId="0" applyNumberFormat="0" applyBorder="0" applyAlignment="0" applyProtection="0">
      <alignment vertical="center"/>
    </xf>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3" fillId="37"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3" fillId="43" borderId="0" applyNumberFormat="0" applyBorder="0" applyAlignment="0" applyProtection="0">
      <alignment vertical="center"/>
    </xf>
    <xf numFmtId="164" fontId="174" fillId="52" borderId="0" applyNumberFormat="0" applyBorder="0" applyAlignment="0" applyProtection="0">
      <alignment vertical="center"/>
    </xf>
    <xf numFmtId="164" fontId="164" fillId="0" borderId="26" applyNumberFormat="0" applyFill="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3"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8" fontId="51" fillId="0" borderId="0" applyFill="0" applyBorder="0" applyAlignment="0"/>
    <xf numFmtId="164" fontId="134" fillId="39" borderId="11" applyNumberFormat="0" applyAlignment="0" applyProtection="0">
      <alignment vertical="center"/>
    </xf>
    <xf numFmtId="164" fontId="157" fillId="46" borderId="0" applyNumberFormat="0" applyBorder="0" applyAlignment="0" applyProtection="0">
      <alignment vertical="center"/>
    </xf>
    <xf numFmtId="164" fontId="63" fillId="0" borderId="21"/>
    <xf numFmtId="164" fontId="30" fillId="0" borderId="23"/>
    <xf numFmtId="164" fontId="157" fillId="52" borderId="0" applyNumberFormat="0" applyBorder="0" applyAlignment="0" applyProtection="0">
      <alignment vertical="center"/>
    </xf>
    <xf numFmtId="217" fontId="51" fillId="0" borderId="0" applyFont="0" applyFill="0" applyBorder="0" applyAlignment="0" applyProtection="0"/>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164" fontId="157" fillId="47" borderId="0" applyNumberFormat="0" applyBorder="0" applyAlignment="0" applyProtection="0">
      <alignment vertical="center"/>
    </xf>
    <xf numFmtId="164" fontId="178" fillId="53" borderId="11" applyNumberFormat="0" applyAlignment="0" applyProtection="0">
      <alignment vertical="center"/>
    </xf>
    <xf numFmtId="220" fontId="88" fillId="0" borderId="0" applyFont="0" applyFill="0" applyBorder="0" applyAlignment="0" applyProtection="0"/>
    <xf numFmtId="215" fontId="51" fillId="0" borderId="0" applyFill="0" applyBorder="0" applyAlignment="0"/>
    <xf numFmtId="213" fontId="51" fillId="0" borderId="0" applyFont="0" applyFill="0" applyBorder="0" applyAlignment="0" applyProtection="0"/>
    <xf numFmtId="164" fontId="168" fillId="61" borderId="0" applyNumberFormat="0" applyBorder="0" applyAlignment="0" applyProtection="0">
      <alignment vertical="center"/>
    </xf>
    <xf numFmtId="164" fontId="90" fillId="65" borderId="27" applyNumberFormat="0" applyFont="0" applyAlignment="0" applyProtection="0"/>
    <xf numFmtId="164" fontId="20" fillId="65" borderId="27" applyNumberFormat="0" applyFont="0" applyAlignment="0" applyProtection="0"/>
    <xf numFmtId="164" fontId="178" fillId="53" borderId="11" applyNumberFormat="0" applyAlignment="0" applyProtection="0">
      <alignment vertical="center"/>
    </xf>
    <xf numFmtId="164" fontId="165" fillId="0" borderId="0" applyNumberFormat="0" applyFill="0" applyBorder="0" applyAlignment="0" applyProtection="0">
      <alignment vertical="center"/>
    </xf>
    <xf numFmtId="164" fontId="174" fillId="45" borderId="0" applyNumberFormat="0" applyBorder="0" applyAlignment="0" applyProtection="0">
      <alignment vertical="center"/>
    </xf>
    <xf numFmtId="213" fontId="88" fillId="0" borderId="0" applyFill="0" applyBorder="0" applyAlignment="0"/>
    <xf numFmtId="164" fontId="96" fillId="0" borderId="21"/>
    <xf numFmtId="164" fontId="185" fillId="39" borderId="11" applyNumberFormat="0" applyAlignment="0" applyProtection="0">
      <alignment vertical="center"/>
    </xf>
    <xf numFmtId="164" fontId="173" fillId="42" borderId="0" applyNumberFormat="0" applyBorder="0" applyAlignment="0" applyProtection="0">
      <alignment vertical="center"/>
    </xf>
    <xf numFmtId="164" fontId="157" fillId="47" borderId="0" applyNumberFormat="0" applyBorder="0" applyAlignment="0" applyProtection="0">
      <alignment vertical="center"/>
    </xf>
    <xf numFmtId="200" fontId="51" fillId="57" borderId="0"/>
    <xf numFmtId="164" fontId="174" fillId="47" borderId="0" applyNumberFormat="0" applyBorder="0" applyAlignment="0" applyProtection="0">
      <alignment vertical="center"/>
    </xf>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4" fillId="50" borderId="0" applyNumberFormat="0" applyBorder="0" applyAlignment="0" applyProtection="0">
      <alignment vertical="center"/>
    </xf>
    <xf numFmtId="164" fontId="173" fillId="37" borderId="0" applyNumberFormat="0" applyBorder="0" applyAlignment="0" applyProtection="0">
      <alignment vertical="center"/>
    </xf>
    <xf numFmtId="164" fontId="173" fillId="35"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71" fillId="0" borderId="28" applyNumberFormat="0" applyFill="0" applyAlignment="0" applyProtection="0">
      <alignment vertical="center"/>
    </xf>
    <xf numFmtId="164" fontId="179" fillId="0" borderId="18" applyNumberFormat="0" applyFill="0" applyAlignment="0" applyProtection="0">
      <alignment vertical="center"/>
    </xf>
    <xf numFmtId="164" fontId="124" fillId="61" borderId="0" applyNumberFormat="0" applyBorder="0" applyAlignment="0" applyProtection="0">
      <alignment vertical="center"/>
    </xf>
    <xf numFmtId="164" fontId="91" fillId="0" borderId="0">
      <alignment horizontal="center" wrapText="1"/>
      <protection locked="0"/>
    </xf>
    <xf numFmtId="217" fontId="88" fillId="0" borderId="0" applyFill="0" applyBorder="0" applyAlignment="0"/>
    <xf numFmtId="218" fontId="51" fillId="0" borderId="0" applyFill="0" applyBorder="0" applyAlignment="0"/>
    <xf numFmtId="164" fontId="85" fillId="65" borderId="27" applyNumberFormat="0" applyFont="0" applyAlignment="0" applyProtection="0">
      <alignment vertical="center"/>
    </xf>
    <xf numFmtId="164" fontId="174" fillId="46" borderId="0" applyNumberFormat="0" applyBorder="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22" fontId="88" fillId="0" borderId="0" applyFill="0" applyBorder="0" applyAlignment="0"/>
    <xf numFmtId="221" fontId="51" fillId="0" borderId="0" applyFill="0" applyBorder="0" applyAlignment="0"/>
    <xf numFmtId="218" fontId="51" fillId="0" borderId="0" applyFill="0" applyBorder="0" applyAlignment="0"/>
    <xf numFmtId="164" fontId="20" fillId="65" borderId="27" applyNumberFormat="0" applyFont="0" applyAlignment="0" applyProtection="0"/>
    <xf numFmtId="164" fontId="172" fillId="0" borderId="0" applyNumberFormat="0" applyFill="0" applyBorder="0" applyAlignment="0" applyProtection="0">
      <alignment vertical="center"/>
    </xf>
    <xf numFmtId="213" fontId="51" fillId="0" borderId="0" applyFill="0" applyBorder="0" applyAlignment="0"/>
    <xf numFmtId="213" fontId="88" fillId="0" borderId="0" applyFill="0" applyBorder="0" applyAlignment="0"/>
    <xf numFmtId="213" fontId="51" fillId="0" borderId="0" applyFill="0" applyBorder="0" applyAlignment="0"/>
    <xf numFmtId="164" fontId="174" fillId="46" borderId="0" applyNumberFormat="0" applyBorder="0" applyAlignment="0" applyProtection="0">
      <alignment vertical="center"/>
    </xf>
    <xf numFmtId="164" fontId="17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97" fillId="0" borderId="23"/>
    <xf numFmtId="213" fontId="88" fillId="0" borderId="0" applyFill="0" applyBorder="0" applyAlignment="0"/>
    <xf numFmtId="213" fontId="51"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20" fillId="65" borderId="27" applyNumberFormat="0" applyFont="0" applyAlignment="0" applyProtection="0"/>
    <xf numFmtId="164" fontId="174" fillId="42"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88" fillId="0" borderId="0" applyFill="0" applyBorder="0" applyAlignment="0"/>
    <xf numFmtId="219" fontId="88" fillId="0" borderId="0"/>
    <xf numFmtId="213" fontId="51" fillId="0" borderId="0" applyFill="0" applyBorder="0" applyAlignment="0"/>
    <xf numFmtId="213" fontId="88" fillId="0" borderId="0" applyFill="0" applyBorder="0" applyAlignment="0"/>
    <xf numFmtId="214" fontId="51" fillId="0" borderId="0" applyFill="0" applyBorder="0" applyAlignment="0"/>
    <xf numFmtId="214" fontId="88" fillId="0" borderId="0" applyFill="0" applyBorder="0" applyAlignment="0"/>
    <xf numFmtId="219" fontId="51" fillId="0" borderId="0"/>
    <xf numFmtId="221" fontId="88" fillId="0" borderId="0" applyFill="0" applyBorder="0" applyAlignment="0"/>
    <xf numFmtId="217" fontId="51" fillId="0" borderId="0" applyFill="0" applyBorder="0" applyAlignment="0"/>
    <xf numFmtId="164" fontId="174" fillId="46" borderId="0" applyNumberFormat="0" applyBorder="0" applyAlignment="0" applyProtection="0">
      <alignment vertical="center"/>
    </xf>
    <xf numFmtId="218" fontId="51" fillId="0" borderId="0" applyFill="0" applyBorder="0" applyAlignment="0"/>
    <xf numFmtId="164" fontId="160" fillId="54" borderId="12"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89" fillId="0" borderId="0" applyNumberFormat="0" applyFill="0" applyBorder="0" applyAlignment="0" applyProtection="0">
      <alignment vertical="center"/>
    </xf>
    <xf numFmtId="164" fontId="157" fillId="45" borderId="0" applyNumberFormat="0" applyBorder="0" applyAlignment="0" applyProtection="0">
      <alignment vertical="center"/>
    </xf>
    <xf numFmtId="164" fontId="187" fillId="54" borderId="12" applyNumberFormat="0" applyAlignment="0" applyProtection="0">
      <alignment vertical="center"/>
    </xf>
    <xf numFmtId="217"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7" fontId="88" fillId="0" borderId="0" applyFill="0" applyBorder="0" applyAlignment="0"/>
    <xf numFmtId="164" fontId="174" fillId="45" borderId="0" applyNumberFormat="0" applyBorder="0" applyAlignment="0" applyProtection="0">
      <alignment vertical="center"/>
    </xf>
    <xf numFmtId="164" fontId="161" fillId="0" borderId="0" applyNumberFormat="0" applyFill="0" applyBorder="0" applyAlignment="0" applyProtection="0">
      <alignment vertical="center"/>
    </xf>
    <xf numFmtId="164" fontId="122" fillId="3" borderId="0" applyNumberFormat="0" applyBorder="0" applyAlignment="0" applyProtection="0">
      <alignment vertical="center"/>
    </xf>
    <xf numFmtId="164" fontId="174" fillId="51" borderId="0" applyNumberFormat="0" applyBorder="0" applyAlignment="0" applyProtection="0">
      <alignment vertical="center"/>
    </xf>
    <xf numFmtId="164" fontId="180" fillId="0" borderId="0" applyNumberFormat="0" applyFill="0" applyBorder="0" applyAlignment="0" applyProtection="0">
      <alignment vertical="center"/>
    </xf>
    <xf numFmtId="164" fontId="174" fillId="51" borderId="0" applyNumberFormat="0" applyBorder="0" applyAlignment="0" applyProtection="0">
      <alignment vertical="center"/>
    </xf>
    <xf numFmtId="164" fontId="157" fillId="46"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17" fontId="51" fillId="0" borderId="0" applyFill="0" applyBorder="0" applyAlignment="0"/>
    <xf numFmtId="217" fontId="88" fillId="0" borderId="0" applyFill="0" applyBorder="0" applyAlignment="0"/>
    <xf numFmtId="213" fontId="51" fillId="0" borderId="0" applyFill="0" applyBorder="0" applyAlignment="0"/>
    <xf numFmtId="164" fontId="174" fillId="45" borderId="0" applyNumberFormat="0" applyBorder="0" applyAlignment="0" applyProtection="0">
      <alignment vertical="center"/>
    </xf>
    <xf numFmtId="164" fontId="173" fillId="38" borderId="0" applyNumberFormat="0" applyBorder="0" applyAlignment="0" applyProtection="0">
      <alignment vertical="center"/>
    </xf>
    <xf numFmtId="216" fontId="51" fillId="0" borderId="0" applyFill="0" applyBorder="0" applyAlignment="0"/>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8"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164" fontId="159" fillId="53" borderId="11" applyNumberFormat="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218" fontId="51" fillId="0" borderId="0" applyFill="0" applyBorder="0" applyAlignment="0"/>
    <xf numFmtId="164" fontId="188" fillId="36" borderId="0" applyNumberFormat="0" applyBorder="0" applyAlignment="0" applyProtection="0">
      <alignment vertical="center"/>
    </xf>
    <xf numFmtId="164" fontId="31" fillId="0" borderId="0">
      <alignment horizontal="center" wrapText="1"/>
      <protection locked="0"/>
    </xf>
    <xf numFmtId="216"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3" fontId="88"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4" fillId="49"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26" fillId="3" borderId="0" applyNumberFormat="0" applyBorder="0" applyAlignment="0" applyProtection="0">
      <alignment vertical="center"/>
    </xf>
    <xf numFmtId="217" fontId="51" fillId="0" borderId="0" applyFill="0" applyBorder="0" applyAlignment="0"/>
    <xf numFmtId="217"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88" fillId="0" borderId="0" applyFill="0" applyBorder="0" applyAlignment="0"/>
    <xf numFmtId="164" fontId="156" fillId="37" borderId="0" applyNumberFormat="0" applyBorder="0" applyAlignment="0" applyProtection="0">
      <alignment vertical="center"/>
    </xf>
    <xf numFmtId="164" fontId="163" fillId="0" borderId="25" applyNumberFormat="0" applyFill="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5" fontId="51" fillId="0" borderId="0" applyFill="0" applyBorder="0" applyAlignment="0"/>
    <xf numFmtId="216" fontId="88" fillId="0" borderId="0" applyFont="0" applyFill="0" applyBorder="0" applyAlignment="0" applyProtection="0"/>
    <xf numFmtId="164" fontId="128" fillId="0" borderId="18" applyNumberFormat="0" applyFill="0" applyAlignment="0" applyProtection="0">
      <alignment vertical="center"/>
    </xf>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64" fontId="157" fillId="45" borderId="0" applyNumberFormat="0" applyBorder="0" applyAlignment="0" applyProtection="0">
      <alignment vertical="center"/>
    </xf>
    <xf numFmtId="220" fontId="88" fillId="0" borderId="0" applyFont="0" applyFill="0" applyBorder="0" applyAlignment="0" applyProtection="0"/>
    <xf numFmtId="217"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35" fillId="53" borderId="20" applyNumberFormat="0" applyAlignment="0" applyProtection="0">
      <alignment vertical="center"/>
    </xf>
    <xf numFmtId="164" fontId="173" fillId="37" borderId="0" applyNumberFormat="0" applyBorder="0" applyAlignment="0" applyProtection="0">
      <alignment vertical="center"/>
    </xf>
    <xf numFmtId="164" fontId="20" fillId="65" borderId="27" applyNumberFormat="0" applyFont="0" applyAlignment="0" applyProtection="0"/>
    <xf numFmtId="216" fontId="51" fillId="0" borderId="0" applyFill="0" applyBorder="0" applyAlignment="0"/>
    <xf numFmtId="164" fontId="187" fillId="54" borderId="12" applyNumberFormat="0" applyAlignment="0" applyProtection="0">
      <alignment vertical="center"/>
    </xf>
    <xf numFmtId="213" fontId="51" fillId="0" borderId="0" applyFill="0" applyBorder="0" applyAlignment="0"/>
    <xf numFmtId="164" fontId="90" fillId="65" borderId="27" applyNumberFormat="0" applyFont="0" applyAlignment="0" applyProtection="0"/>
    <xf numFmtId="164" fontId="185" fillId="39" borderId="11" applyNumberFormat="0" applyAlignment="0" applyProtection="0">
      <alignment vertical="center"/>
    </xf>
    <xf numFmtId="164" fontId="189" fillId="0" borderId="0" applyNumberFormat="0" applyFill="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3" fillId="42"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3" fillId="43" borderId="0" applyNumberFormat="0" applyBorder="0" applyAlignment="0" applyProtection="0">
      <alignment vertical="center"/>
    </xf>
    <xf numFmtId="164" fontId="174" fillId="52"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7" fontId="51" fillId="0" borderId="0" applyFill="0" applyBorder="0" applyAlignment="0"/>
    <xf numFmtId="164" fontId="134" fillId="39" borderId="11" applyNumberFormat="0" applyAlignment="0" applyProtection="0">
      <alignment vertical="center"/>
    </xf>
    <xf numFmtId="164" fontId="157" fillId="46" borderId="0" applyNumberFormat="0" applyBorder="0" applyAlignment="0" applyProtection="0">
      <alignment vertical="center"/>
    </xf>
    <xf numFmtId="164" fontId="63" fillId="0" borderId="21"/>
    <xf numFmtId="164" fontId="169" fillId="53" borderId="20" applyNumberFormat="0" applyAlignment="0" applyProtection="0">
      <alignment vertical="center"/>
    </xf>
    <xf numFmtId="214" fontId="51" fillId="0" borderId="0" applyFill="0" applyBorder="0" applyAlignment="0"/>
    <xf numFmtId="164" fontId="30" fillId="0" borderId="23"/>
    <xf numFmtId="213" fontId="88" fillId="0" borderId="0" applyFill="0" applyBorder="0" applyAlignment="0"/>
    <xf numFmtId="217" fontId="51" fillId="0" borderId="0" applyFont="0" applyFill="0" applyBorder="0" applyAlignment="0" applyProtection="0"/>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218" fontId="51" fillId="0" borderId="0" applyFill="0" applyBorder="0" applyAlignment="0"/>
    <xf numFmtId="215" fontId="51" fillId="0" borderId="0" applyFill="0" applyBorder="0" applyAlignment="0"/>
    <xf numFmtId="213" fontId="51" fillId="0" borderId="0" applyFont="0" applyFill="0" applyBorder="0" applyAlignment="0" applyProtection="0"/>
    <xf numFmtId="164" fontId="90" fillId="65" borderId="27" applyNumberFormat="0" applyFont="0" applyAlignment="0" applyProtection="0"/>
    <xf numFmtId="164" fontId="20" fillId="65" borderId="27" applyNumberFormat="0" applyFont="0" applyAlignment="0" applyProtection="0"/>
    <xf numFmtId="215" fontId="88" fillId="0" borderId="0" applyFill="0" applyBorder="0" applyAlignment="0"/>
    <xf numFmtId="164" fontId="178" fillId="53" borderId="11" applyNumberFormat="0" applyAlignment="0" applyProtection="0">
      <alignment vertical="center"/>
    </xf>
    <xf numFmtId="164" fontId="180" fillId="0" borderId="0" applyNumberFormat="0" applyFill="0" applyBorder="0" applyAlignment="0" applyProtection="0">
      <alignment vertical="center"/>
    </xf>
    <xf numFmtId="164" fontId="165" fillId="0" borderId="0" applyNumberFormat="0" applyFill="0" applyBorder="0" applyAlignment="0" applyProtection="0">
      <alignment vertical="center"/>
    </xf>
    <xf numFmtId="213" fontId="51" fillId="0" borderId="0" applyFont="0" applyFill="0" applyBorder="0" applyAlignment="0" applyProtection="0"/>
    <xf numFmtId="213" fontId="88" fillId="0" borderId="0" applyFill="0" applyBorder="0" applyAlignment="0"/>
    <xf numFmtId="164" fontId="185" fillId="39" borderId="11" applyNumberFormat="0" applyAlignment="0" applyProtection="0">
      <alignment vertical="center"/>
    </xf>
    <xf numFmtId="217" fontId="51" fillId="0" borderId="0" applyFont="0" applyFill="0" applyBorder="0" applyAlignment="0" applyProtection="0"/>
    <xf numFmtId="164" fontId="157" fillId="47" borderId="0" applyNumberFormat="0" applyBorder="0" applyAlignment="0" applyProtection="0">
      <alignment vertical="center"/>
    </xf>
    <xf numFmtId="14" fontId="91" fillId="0" borderId="0">
      <alignment horizontal="center" wrapText="1"/>
      <protection locked="0"/>
    </xf>
    <xf numFmtId="200" fontId="51" fillId="57" borderId="0"/>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3" fillId="37" borderId="0" applyNumberFormat="0" applyBorder="0" applyAlignment="0" applyProtection="0">
      <alignment vertical="center"/>
    </xf>
    <xf numFmtId="164" fontId="173" fillId="41" borderId="0" applyNumberFormat="0" applyBorder="0" applyAlignment="0" applyProtection="0">
      <alignment vertical="center"/>
    </xf>
    <xf numFmtId="164" fontId="123" fillId="51"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71" fillId="0" borderId="28" applyNumberFormat="0" applyFill="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72" fillId="0" borderId="0" applyNumberFormat="0" applyFill="0" applyBorder="0" applyAlignment="0" applyProtection="0">
      <alignment vertical="center"/>
    </xf>
    <xf numFmtId="217" fontId="88" fillId="0" borderId="0" applyFill="0" applyBorder="0" applyAlignment="0"/>
    <xf numFmtId="164" fontId="85" fillId="65" borderId="27" applyNumberFormat="0" applyFont="0" applyAlignment="0" applyProtection="0">
      <alignment vertical="center"/>
    </xf>
    <xf numFmtId="218" fontId="88" fillId="0" borderId="0" applyFill="0" applyBorder="0" applyAlignment="0"/>
    <xf numFmtId="216" fontId="88" fillId="0" borderId="0" applyFill="0" applyBorder="0" applyAlignment="0"/>
    <xf numFmtId="213" fontId="88" fillId="0" borderId="0" applyFill="0" applyBorder="0" applyAlignment="0"/>
    <xf numFmtId="222" fontId="88" fillId="0" borderId="0" applyFill="0" applyBorder="0" applyAlignment="0"/>
    <xf numFmtId="217" fontId="51" fillId="0" borderId="0" applyFill="0" applyBorder="0" applyAlignment="0"/>
    <xf numFmtId="213" fontId="51" fillId="0" borderId="0" applyFill="0" applyBorder="0" applyAlignment="0"/>
    <xf numFmtId="218" fontId="51" fillId="0" borderId="0" applyFill="0" applyBorder="0" applyAlignment="0"/>
    <xf numFmtId="164" fontId="20" fillId="65" borderId="27" applyNumberFormat="0" applyFont="0" applyAlignment="0" applyProtection="0"/>
    <xf numFmtId="213" fontId="51" fillId="0" borderId="0" applyFill="0" applyBorder="0" applyAlignment="0"/>
    <xf numFmtId="213" fontId="88" fillId="0" borderId="0" applyFill="0" applyBorder="0" applyAlignment="0"/>
    <xf numFmtId="164" fontId="31" fillId="0" borderId="0">
      <alignment horizontal="center" wrapText="1"/>
      <protection locked="0"/>
    </xf>
    <xf numFmtId="164" fontId="162" fillId="3" borderId="0" applyNumberFormat="0" applyBorder="0" applyAlignment="0" applyProtection="0">
      <alignment vertical="center"/>
    </xf>
    <xf numFmtId="164" fontId="123" fillId="44" borderId="0" applyNumberFormat="0" applyBorder="0" applyAlignment="0" applyProtection="0">
      <alignment vertical="center"/>
    </xf>
    <xf numFmtId="164" fontId="135" fillId="53" borderId="20" applyNumberFormat="0" applyAlignment="0" applyProtection="0">
      <alignment vertical="center"/>
    </xf>
    <xf numFmtId="164" fontId="177" fillId="3"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6" borderId="0" applyNumberFormat="0" applyBorder="0" applyAlignment="0" applyProtection="0">
      <alignment vertical="center"/>
    </xf>
    <xf numFmtId="164" fontId="97" fillId="0" borderId="23"/>
    <xf numFmtId="213" fontId="88" fillId="0" borderId="0" applyFill="0" applyBorder="0" applyAlignment="0"/>
    <xf numFmtId="213" fontId="51"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20" fillId="65" borderId="27" applyNumberFormat="0" applyFont="0" applyAlignment="0" applyProtection="0"/>
    <xf numFmtId="164" fontId="174" fillId="45" borderId="0" applyNumberFormat="0" applyBorder="0" applyAlignment="0" applyProtection="0">
      <alignment vertical="center"/>
    </xf>
    <xf numFmtId="214" fontId="51" fillId="0" borderId="0" applyFill="0" applyBorder="0" applyAlignment="0"/>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88" fillId="0" borderId="0" applyFill="0" applyBorder="0" applyAlignment="0"/>
    <xf numFmtId="213" fontId="88" fillId="0" borderId="0" applyFill="0" applyBorder="0" applyAlignment="0"/>
    <xf numFmtId="164" fontId="175" fillId="61" borderId="0" applyNumberFormat="0" applyBorder="0" applyAlignment="0" applyProtection="0">
      <alignment vertical="center"/>
    </xf>
    <xf numFmtId="164" fontId="178" fillId="53" borderId="11" applyNumberFormat="0" applyAlignment="0" applyProtection="0">
      <alignment vertical="center"/>
    </xf>
    <xf numFmtId="218" fontId="51" fillId="0" borderId="0" applyFill="0" applyBorder="0" applyAlignment="0"/>
    <xf numFmtId="164" fontId="160" fillId="54" borderId="12"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57" fillId="42" borderId="0" applyNumberFormat="0" applyBorder="0" applyAlignment="0" applyProtection="0">
      <alignment vertical="center"/>
    </xf>
    <xf numFmtId="217"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7" fontId="88" fillId="0" borderId="0" applyFill="0" applyBorder="0" applyAlignment="0"/>
    <xf numFmtId="164" fontId="174" fillId="45" borderId="0" applyNumberFormat="0" applyBorder="0" applyAlignment="0" applyProtection="0">
      <alignment vertical="center"/>
    </xf>
    <xf numFmtId="164" fontId="184" fillId="0" borderId="15" applyNumberFormat="0" applyFill="0" applyAlignment="0" applyProtection="0">
      <alignment vertical="center"/>
    </xf>
    <xf numFmtId="218" fontId="51" fillId="0" borderId="0" applyFill="0" applyBorder="0" applyAlignment="0"/>
    <xf numFmtId="164" fontId="31" fillId="0" borderId="0">
      <alignment horizontal="center" wrapText="1"/>
      <protection locked="0"/>
    </xf>
    <xf numFmtId="164" fontId="174" fillId="51" borderId="0" applyNumberFormat="0" applyBorder="0" applyAlignment="0" applyProtection="0">
      <alignment vertical="center"/>
    </xf>
    <xf numFmtId="164" fontId="122" fillId="36"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17" fontId="51" fillId="0" borderId="0" applyFill="0" applyBorder="0" applyAlignment="0"/>
    <xf numFmtId="164" fontId="174" fillId="45" borderId="0" applyNumberFormat="0" applyBorder="0" applyAlignment="0" applyProtection="0">
      <alignment vertical="center"/>
    </xf>
    <xf numFmtId="164" fontId="173" fillId="38" borderId="0" applyNumberFormat="0" applyBorder="0" applyAlignment="0" applyProtection="0">
      <alignment vertical="center"/>
    </xf>
    <xf numFmtId="217" fontId="51" fillId="0" borderId="0" applyFill="0" applyBorder="0" applyAlignment="0"/>
    <xf numFmtId="164" fontId="123" fillId="45" borderId="0" applyNumberFormat="0" applyBorder="0" applyAlignment="0" applyProtection="0">
      <alignment vertical="center"/>
    </xf>
    <xf numFmtId="164" fontId="123"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8"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9" fontId="51" fillId="0" borderId="0"/>
    <xf numFmtId="213"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164" fontId="159" fillId="53" borderId="11" applyNumberFormat="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215" fontId="51" fillId="0" borderId="0" applyFill="0" applyBorder="0" applyAlignment="0"/>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6" fontId="88"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73" fillId="43" borderId="0" applyNumberFormat="0" applyBorder="0" applyAlignment="0" applyProtection="0">
      <alignment vertical="center"/>
    </xf>
    <xf numFmtId="164" fontId="184"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22" fillId="40"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79" fillId="0" borderId="18" applyNumberFormat="0" applyFill="0" applyAlignment="0" applyProtection="0">
      <alignment vertical="center"/>
    </xf>
    <xf numFmtId="14" fontId="91" fillId="0" borderId="0">
      <alignment horizontal="center" wrapText="1"/>
      <protection locked="0"/>
    </xf>
    <xf numFmtId="164" fontId="91" fillId="0" borderId="0">
      <alignment horizontal="center" wrapText="1"/>
      <protection locked="0"/>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217" fontId="88" fillId="0" borderId="0" applyFill="0" applyBorder="0" applyAlignment="0"/>
    <xf numFmtId="216" fontId="88" fillId="0" borderId="0" applyFont="0" applyFill="0" applyBorder="0" applyAlignment="0" applyProtection="0"/>
    <xf numFmtId="216"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34" fillId="39" borderId="11" applyNumberFormat="0" applyAlignment="0" applyProtection="0">
      <alignment vertical="center"/>
    </xf>
    <xf numFmtId="220" fontId="51" fillId="0" borderId="0" applyFont="0" applyFill="0" applyBorder="0" applyAlignment="0" applyProtection="0"/>
    <xf numFmtId="164" fontId="20" fillId="65" borderId="27" applyNumberFormat="0" applyFont="0" applyAlignment="0" applyProtection="0"/>
    <xf numFmtId="164" fontId="174" fillId="52" borderId="0" applyNumberFormat="0" applyBorder="0" applyAlignment="0" applyProtection="0">
      <alignment vertical="center"/>
    </xf>
    <xf numFmtId="213" fontId="51" fillId="0" borderId="0" applyFont="0" applyFill="0" applyBorder="0" applyAlignment="0" applyProtection="0"/>
    <xf numFmtId="217" fontId="88" fillId="0" borderId="0" applyFill="0" applyBorder="0" applyAlignment="0"/>
    <xf numFmtId="164" fontId="185" fillId="39" borderId="11" applyNumberFormat="0" applyAlignment="0" applyProtection="0">
      <alignment vertical="center"/>
    </xf>
    <xf numFmtId="164" fontId="123" fillId="42"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4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3" fillId="40" borderId="0" applyNumberFormat="0" applyBorder="0" applyAlignment="0" applyProtection="0">
      <alignment vertical="center"/>
    </xf>
    <xf numFmtId="164" fontId="174" fillId="52"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56" fillId="3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00" fontId="51" fillId="58" borderId="0"/>
    <xf numFmtId="164" fontId="165" fillId="0" borderId="0" applyNumberFormat="0" applyFill="0" applyBorder="0" applyAlignment="0" applyProtection="0">
      <alignment vertical="center"/>
    </xf>
    <xf numFmtId="164" fontId="63" fillId="0" borderId="21"/>
    <xf numFmtId="164" fontId="30" fillId="0" borderId="23"/>
    <xf numFmtId="217" fontId="51" fillId="0" borderId="0" applyFont="0" applyFill="0" applyBorder="0" applyAlignment="0" applyProtection="0"/>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164" fontId="173" fillId="39" borderId="0" applyNumberFormat="0" applyBorder="0" applyAlignment="0" applyProtection="0">
      <alignment vertical="center"/>
    </xf>
    <xf numFmtId="215" fontId="51" fillId="0" borderId="0" applyFill="0" applyBorder="0" applyAlignment="0"/>
    <xf numFmtId="213" fontId="51" fillId="0" borderId="0" applyFont="0" applyFill="0" applyBorder="0" applyAlignment="0" applyProtection="0"/>
    <xf numFmtId="164" fontId="128" fillId="0" borderId="18" applyNumberFormat="0" applyFill="0" applyAlignment="0" applyProtection="0">
      <alignment vertical="center"/>
    </xf>
    <xf numFmtId="164" fontId="20" fillId="65" borderId="27" applyNumberFormat="0" applyFont="0" applyAlignment="0" applyProtection="0"/>
    <xf numFmtId="164" fontId="187" fillId="54" borderId="12" applyNumberFormat="0" applyAlignment="0" applyProtection="0">
      <alignment vertical="center"/>
    </xf>
    <xf numFmtId="213" fontId="88" fillId="0" borderId="0" applyFill="0" applyBorder="0" applyAlignment="0"/>
    <xf numFmtId="164" fontId="165" fillId="0" borderId="15" applyNumberFormat="0" applyFill="0" applyAlignment="0" applyProtection="0">
      <alignment vertical="center"/>
    </xf>
    <xf numFmtId="217" fontId="88" fillId="0" borderId="0" applyFill="0" applyBorder="0" applyAlignment="0"/>
    <xf numFmtId="200" fontId="88" fillId="57" borderId="0"/>
    <xf numFmtId="213" fontId="88" fillId="0" borderId="0" applyFont="0" applyFill="0" applyBorder="0" applyAlignment="0" applyProtection="0"/>
    <xf numFmtId="164" fontId="157" fillId="46" borderId="0" applyNumberFormat="0" applyBorder="0" applyAlignment="0" applyProtection="0">
      <alignment vertical="center"/>
    </xf>
    <xf numFmtId="164" fontId="176" fillId="0" borderId="28" applyNumberFormat="0" applyFill="0" applyAlignment="0" applyProtection="0">
      <alignment vertical="center"/>
    </xf>
    <xf numFmtId="200" fontId="51" fillId="57" borderId="0"/>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3" fillId="37" borderId="0" applyNumberFormat="0" applyBorder="0" applyAlignment="0" applyProtection="0">
      <alignment vertical="center"/>
    </xf>
    <xf numFmtId="164" fontId="123" fillId="51" borderId="0" applyNumberFormat="0" applyBorder="0" applyAlignment="0" applyProtection="0">
      <alignment vertical="center"/>
    </xf>
    <xf numFmtId="164" fontId="123" fillId="46" borderId="0" applyNumberFormat="0" applyBorder="0" applyAlignment="0" applyProtection="0">
      <alignment vertical="center"/>
    </xf>
    <xf numFmtId="164" fontId="123" fillId="42" borderId="0" applyNumberFormat="0" applyBorder="0" applyAlignment="0" applyProtection="0">
      <alignment vertical="center"/>
    </xf>
    <xf numFmtId="164" fontId="173" fillId="43" borderId="0" applyNumberFormat="0" applyBorder="0" applyAlignment="0" applyProtection="0">
      <alignment vertical="center"/>
    </xf>
    <xf numFmtId="213" fontId="51" fillId="0" borderId="0" applyFill="0" applyBorder="0" applyAlignment="0"/>
    <xf numFmtId="164" fontId="172" fillId="0" borderId="0" applyNumberFormat="0" applyFill="0" applyBorder="0" applyAlignment="0" applyProtection="0">
      <alignment vertical="center"/>
    </xf>
    <xf numFmtId="217" fontId="88" fillId="0" borderId="0" applyFill="0" applyBorder="0" applyAlignment="0"/>
    <xf numFmtId="164" fontId="123" fillId="45" borderId="0" applyNumberFormat="0" applyBorder="0" applyAlignment="0" applyProtection="0">
      <alignment vertical="center"/>
    </xf>
    <xf numFmtId="164" fontId="156" fillId="39" borderId="0" applyNumberFormat="0" applyBorder="0" applyAlignment="0" applyProtection="0">
      <alignment vertical="center"/>
    </xf>
    <xf numFmtId="218" fontId="88" fillId="0" borderId="0" applyFill="0" applyBorder="0" applyAlignment="0"/>
    <xf numFmtId="213" fontId="88" fillId="0" borderId="0" applyFill="0" applyBorder="0" applyAlignment="0"/>
    <xf numFmtId="164" fontId="156" fillId="65" borderId="27" applyNumberFormat="0" applyFont="0" applyAlignment="0" applyProtection="0">
      <alignment vertical="center"/>
    </xf>
    <xf numFmtId="221" fontId="88" fillId="0" borderId="0" applyFill="0" applyBorder="0" applyAlignment="0"/>
    <xf numFmtId="164" fontId="127" fillId="53" borderId="11" applyNumberFormat="0" applyAlignment="0" applyProtection="0">
      <alignment vertical="center"/>
    </xf>
    <xf numFmtId="216" fontId="51" fillId="0" borderId="0" applyFont="0" applyFill="0" applyBorder="0" applyAlignment="0" applyProtection="0"/>
    <xf numFmtId="218" fontId="51" fillId="0" borderId="0" applyFill="0" applyBorder="0" applyAlignment="0"/>
    <xf numFmtId="164" fontId="20" fillId="65" borderId="27" applyNumberFormat="0" applyFont="0" applyAlignment="0" applyProtection="0"/>
    <xf numFmtId="164" fontId="178" fillId="53" borderId="11" applyNumberFormat="0" applyAlignment="0" applyProtection="0">
      <alignment vertical="center"/>
    </xf>
    <xf numFmtId="218" fontId="88" fillId="0" borderId="0" applyFill="0" applyBorder="0" applyAlignment="0"/>
    <xf numFmtId="164" fontId="165"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6" fillId="3" borderId="0" applyNumberFormat="0" applyBorder="0" applyAlignment="0" applyProtection="0">
      <alignment vertical="center"/>
    </xf>
    <xf numFmtId="164" fontId="163" fillId="0" borderId="25" applyNumberFormat="0" applyFill="0" applyAlignment="0" applyProtection="0">
      <alignment vertical="center"/>
    </xf>
    <xf numFmtId="164" fontId="177" fillId="3" borderId="0" applyNumberFormat="0" applyBorder="0" applyAlignment="0" applyProtection="0">
      <alignment vertical="center"/>
    </xf>
    <xf numFmtId="218" fontId="88" fillId="0" borderId="0" applyFill="0" applyBorder="0" applyAlignment="0"/>
    <xf numFmtId="164" fontId="31" fillId="0" borderId="0">
      <alignment horizontal="center" wrapText="1"/>
      <protection locked="0"/>
    </xf>
    <xf numFmtId="164" fontId="174" fillId="46"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5" borderId="0" applyNumberFormat="0" applyBorder="0" applyAlignment="0" applyProtection="0">
      <alignment vertical="center"/>
    </xf>
    <xf numFmtId="164" fontId="97" fillId="0" borderId="23"/>
    <xf numFmtId="213" fontId="88" fillId="0" borderId="0" applyFill="0" applyBorder="0" applyAlignment="0"/>
    <xf numFmtId="218" fontId="51"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20" fillId="65" borderId="27" applyNumberFormat="0" applyFont="0" applyAlignment="0" applyProtection="0"/>
    <xf numFmtId="213" fontId="51" fillId="0" borderId="0" applyFill="0" applyBorder="0" applyAlignment="0"/>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63" fillId="0" borderId="25" applyNumberFormat="0" applyFill="0" applyAlignment="0" applyProtection="0">
      <alignment vertical="center"/>
    </xf>
    <xf numFmtId="164" fontId="123" fillId="41" borderId="0" applyNumberFormat="0" applyBorder="0" applyAlignment="0" applyProtection="0">
      <alignment vertical="center"/>
    </xf>
    <xf numFmtId="218" fontId="88" fillId="0" borderId="0" applyFill="0" applyBorder="0" applyAlignment="0"/>
    <xf numFmtId="217" fontId="51" fillId="0" borderId="0" applyFont="0" applyFill="0" applyBorder="0" applyAlignment="0" applyProtection="0"/>
    <xf numFmtId="164" fontId="175" fillId="61" borderId="0" applyNumberFormat="0" applyBorder="0" applyAlignment="0" applyProtection="0">
      <alignment vertical="center"/>
    </xf>
    <xf numFmtId="213" fontId="88" fillId="0" borderId="0" applyFill="0" applyBorder="0" applyAlignment="0"/>
    <xf numFmtId="218" fontId="51" fillId="0" borderId="0" applyFill="0" applyBorder="0" applyAlignment="0"/>
    <xf numFmtId="164" fontId="159" fillId="53" borderId="11"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8" borderId="0" applyNumberFormat="0" applyBorder="0" applyAlignment="0" applyProtection="0">
      <alignment vertical="center"/>
    </xf>
    <xf numFmtId="215" fontId="51" fillId="0" borderId="0" applyFill="0" applyBorder="0" applyAlignment="0"/>
    <xf numFmtId="213" fontId="51" fillId="0" borderId="0" applyFont="0" applyFill="0" applyBorder="0" applyAlignment="0" applyProtection="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64" fillId="0" borderId="26" applyNumberFormat="0" applyFill="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00" fontId="51" fillId="57" borderId="0"/>
    <xf numFmtId="164" fontId="188" fillId="36" borderId="0" applyNumberFormat="0" applyBorder="0" applyAlignment="0" applyProtection="0">
      <alignment vertical="center"/>
    </xf>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4" fillId="45" borderId="0" applyNumberFormat="0" applyBorder="0" applyAlignment="0" applyProtection="0">
      <alignment vertical="center"/>
    </xf>
    <xf numFmtId="164" fontId="173" fillId="37" borderId="0" applyNumberFormat="0" applyBorder="0" applyAlignment="0" applyProtection="0">
      <alignment vertical="center"/>
    </xf>
    <xf numFmtId="164" fontId="123" fillId="51" borderId="0" applyNumberFormat="0" applyBorder="0" applyAlignment="0" applyProtection="0">
      <alignment vertical="center"/>
    </xf>
    <xf numFmtId="164" fontId="123"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7"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8"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213" fontId="88" fillId="0" borderId="0" applyFill="0" applyBorder="0" applyAlignment="0"/>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22" fillId="42"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5"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8"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83" fillId="0" borderId="26" applyNumberFormat="0" applyFill="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6" fillId="53" borderId="20" applyNumberFormat="0" applyAlignment="0" applyProtection="0">
      <alignment vertical="center"/>
    </xf>
    <xf numFmtId="164" fontId="174" fillId="50" borderId="0" applyNumberFormat="0" applyBorder="0" applyAlignment="0" applyProtection="0">
      <alignment vertical="center"/>
    </xf>
    <xf numFmtId="164" fontId="165" fillId="0" borderId="15" applyNumberFormat="0" applyFill="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165" fillId="0" borderId="15" applyNumberFormat="0" applyFill="0" applyAlignment="0" applyProtection="0">
      <alignment vertical="center"/>
    </xf>
    <xf numFmtId="164" fontId="126" fillId="3" borderId="0" applyNumberFormat="0" applyBorder="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78" fillId="53" borderId="11" applyNumberFormat="0" applyAlignment="0" applyProtection="0">
      <alignment vertical="center"/>
    </xf>
    <xf numFmtId="164" fontId="189"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58" fillId="36" borderId="0" applyNumberFormat="0" applyBorder="0" applyAlignment="0" applyProtection="0">
      <alignment vertical="center"/>
    </xf>
    <xf numFmtId="164" fontId="136" fillId="54" borderId="12" applyNumberFormat="0" applyAlignment="0" applyProtection="0">
      <alignment vertical="center"/>
    </xf>
    <xf numFmtId="164" fontId="20" fillId="65" borderId="27" applyNumberFormat="0" applyFont="0" applyAlignment="0" applyProtection="0"/>
    <xf numFmtId="164" fontId="166" fillId="39" borderId="11" applyNumberFormat="0" applyAlignment="0" applyProtection="0">
      <alignment vertical="center"/>
    </xf>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157"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22" fontId="51" fillId="0" borderId="0" applyFill="0" applyBorder="0" applyAlignment="0"/>
    <xf numFmtId="164" fontId="63" fillId="0" borderId="21"/>
    <xf numFmtId="213" fontId="88" fillId="0" borderId="0" applyFill="0" applyBorder="0" applyAlignment="0"/>
    <xf numFmtId="164" fontId="30" fillId="0" borderId="23"/>
    <xf numFmtId="164" fontId="156" fillId="38"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218" fontId="51" fillId="0" borderId="0" applyFill="0" applyBorder="0" applyAlignment="0"/>
    <xf numFmtId="164" fontId="20" fillId="65" borderId="27" applyNumberFormat="0" applyFont="0" applyAlignment="0" applyProtection="0"/>
    <xf numFmtId="164" fontId="187" fillId="54" borderId="12" applyNumberFormat="0" applyAlignment="0" applyProtection="0">
      <alignment vertical="center"/>
    </xf>
    <xf numFmtId="217" fontId="51" fillId="0" borderId="0" applyFill="0" applyBorder="0" applyAlignment="0"/>
    <xf numFmtId="217" fontId="88" fillId="0" borderId="0" applyFill="0" applyBorder="0" applyAlignment="0"/>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217" fontId="88" fillId="0" borderId="0" applyFill="0" applyBorder="0" applyAlignment="0"/>
    <xf numFmtId="213" fontId="51" fillId="0" borderId="0" applyFill="0" applyBorder="0" applyAlignment="0"/>
    <xf numFmtId="217" fontId="88" fillId="0" borderId="0" applyFont="0" applyFill="0" applyBorder="0" applyAlignment="0" applyProtection="0"/>
    <xf numFmtId="164" fontId="177" fillId="3"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2" borderId="0" applyNumberFormat="0" applyBorder="0" applyAlignment="0" applyProtection="0">
      <alignment vertical="center"/>
    </xf>
    <xf numFmtId="164" fontId="97" fillId="0" borderId="23"/>
    <xf numFmtId="164" fontId="123" fillId="46" borderId="0" applyNumberFormat="0" applyBorder="0" applyAlignment="0" applyProtection="0">
      <alignment vertical="center"/>
    </xf>
    <xf numFmtId="214" fontId="51" fillId="0" borderId="0" applyFill="0" applyBorder="0" applyAlignment="0"/>
    <xf numFmtId="213" fontId="88" fillId="0" borderId="0" applyFill="0" applyBorder="0" applyAlignment="0"/>
    <xf numFmtId="217" fontId="51" fillId="0" borderId="0" applyFill="0" applyBorder="0" applyAlignment="0"/>
    <xf numFmtId="164" fontId="156" fillId="37" borderId="0" applyNumberFormat="0" applyBorder="0" applyAlignment="0" applyProtection="0">
      <alignment vertical="center"/>
    </xf>
    <xf numFmtId="217" fontId="51"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159" fillId="53" borderId="11" applyNumberFormat="0" applyAlignment="0" applyProtection="0">
      <alignment vertical="center"/>
    </xf>
    <xf numFmtId="213" fontId="51" fillId="0" borderId="0" applyFill="0" applyBorder="0" applyAlignment="0"/>
    <xf numFmtId="164" fontId="20" fillId="65" borderId="27" applyNumberFormat="0" applyFont="0" applyAlignment="0" applyProtection="0"/>
    <xf numFmtId="164" fontId="178" fillId="53" borderId="11" applyNumberFormat="0" applyAlignment="0" applyProtection="0">
      <alignment vertical="center"/>
    </xf>
    <xf numFmtId="164" fontId="168" fillId="61" borderId="0" applyNumberFormat="0" applyBorder="0" applyAlignment="0" applyProtection="0">
      <alignment vertical="center"/>
    </xf>
    <xf numFmtId="218" fontId="88" fillId="0" borderId="0" applyFill="0" applyBorder="0" applyAlignment="0"/>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73" fillId="36" borderId="0" applyNumberFormat="0" applyBorder="0" applyAlignment="0" applyProtection="0">
      <alignment vertical="center"/>
    </xf>
    <xf numFmtId="164" fontId="137" fillId="36" borderId="0" applyNumberFormat="0" applyBorder="0" applyAlignment="0" applyProtection="0">
      <alignment vertical="center"/>
    </xf>
    <xf numFmtId="164" fontId="123" fillId="49" borderId="0" applyNumberFormat="0" applyBorder="0" applyAlignment="0" applyProtection="0">
      <alignment vertical="center"/>
    </xf>
    <xf numFmtId="164" fontId="123" fillId="45" borderId="0" applyNumberFormat="0" applyBorder="0" applyAlignment="0" applyProtection="0">
      <alignment vertical="center"/>
    </xf>
    <xf numFmtId="217" fontId="88" fillId="0" borderId="0" applyFill="0" applyBorder="0" applyAlignment="0"/>
    <xf numFmtId="164" fontId="167" fillId="0" borderId="18" applyNumberFormat="0" applyFill="0" applyAlignment="0" applyProtection="0">
      <alignment vertical="center"/>
    </xf>
    <xf numFmtId="213" fontId="88" fillId="0" borderId="0" applyFill="0" applyBorder="0" applyAlignment="0"/>
    <xf numFmtId="217" fontId="88" fillId="0" borderId="0" applyFill="0" applyBorder="0" applyAlignment="0"/>
    <xf numFmtId="164" fontId="20" fillId="65" borderId="27" applyNumberFormat="0" applyFont="0" applyAlignment="0" applyProtection="0"/>
    <xf numFmtId="164" fontId="156" fillId="43" borderId="0" applyNumberFormat="0" applyBorder="0" applyAlignment="0" applyProtection="0">
      <alignment vertical="center"/>
    </xf>
    <xf numFmtId="213" fontId="51" fillId="0" borderId="0" applyFill="0" applyBorder="0" applyAlignment="0"/>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4" fillId="61" borderId="0" applyNumberFormat="0" applyBorder="0" applyAlignment="0" applyProtection="0">
      <alignment vertical="center"/>
    </xf>
    <xf numFmtId="217" fontId="88" fillId="0" borderId="0" applyFill="0" applyBorder="0" applyAlignment="0"/>
    <xf numFmtId="164" fontId="85" fillId="65" borderId="27" applyNumberFormat="0" applyFont="0" applyAlignment="0" applyProtection="0">
      <alignment vertical="center"/>
    </xf>
    <xf numFmtId="218" fontId="88" fillId="0" borderId="0" applyFill="0" applyBorder="0" applyAlignment="0"/>
    <xf numFmtId="218" fontId="51" fillId="0" borderId="0" applyFill="0" applyBorder="0" applyAlignment="0"/>
    <xf numFmtId="213" fontId="88" fillId="0" borderId="0" applyFill="0" applyBorder="0" applyAlignment="0"/>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222" fontId="88" fillId="0" borderId="0" applyFill="0" applyBorder="0" applyAlignment="0"/>
    <xf numFmtId="218"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213" fontId="88" fillId="0" borderId="0" applyFill="0" applyBorder="0" applyAlignment="0"/>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7" fillId="3"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6"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97" fillId="0" borderId="23"/>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3"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3" fontId="51" fillId="0" borderId="0" applyFill="0" applyBorder="0" applyAlignment="0"/>
    <xf numFmtId="200" fontId="88" fillId="58" borderId="0"/>
    <xf numFmtId="217"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218" fontId="88" fillId="0" borderId="0" applyFill="0" applyBorder="0" applyAlignment="0"/>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7" fillId="54" borderId="12" applyNumberFormat="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84" fillId="0" borderId="0" applyNumberFormat="0" applyFill="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213" fontId="88"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88"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78" fillId="53" borderId="11" applyNumberFormat="0" applyAlignment="0" applyProtection="0">
      <alignment vertical="center"/>
    </xf>
    <xf numFmtId="164" fontId="184" fillId="0" borderId="0" applyNumberFormat="0" applyFill="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9" fontId="88" fillId="0" borderId="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73" fillId="41" borderId="0" applyNumberFormat="0" applyBorder="0" applyAlignment="0" applyProtection="0">
      <alignment vertical="center"/>
    </xf>
    <xf numFmtId="164" fontId="20" fillId="65" borderId="27" applyNumberFormat="0" applyFont="0" applyAlignment="0" applyProtection="0"/>
    <xf numFmtId="213" fontId="51" fillId="0" borderId="0" applyFill="0" applyBorder="0" applyAlignment="0"/>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215" fontId="51" fillId="0" borderId="0" applyFill="0" applyBorder="0" applyAlignment="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3" fillId="40" borderId="0" applyNumberFormat="0" applyBorder="0" applyAlignment="0" applyProtection="0">
      <alignment vertical="center"/>
    </xf>
    <xf numFmtId="220" fontId="51" fillId="0" borderId="0" applyFont="0" applyFill="0" applyBorder="0" applyAlignment="0" applyProtection="0"/>
    <xf numFmtId="164" fontId="63" fillId="0" borderId="21"/>
    <xf numFmtId="164" fontId="170" fillId="0" borderId="0" applyNumberFormat="0" applyFill="0" applyBorder="0" applyAlignment="0" applyProtection="0">
      <alignment vertical="center"/>
    </xf>
    <xf numFmtId="164" fontId="30" fillId="0" borderId="23"/>
    <xf numFmtId="164" fontId="156" fillId="4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217" fontId="88" fillId="0" borderId="0" applyFont="0" applyFill="0" applyBorder="0" applyAlignment="0" applyProtection="0"/>
    <xf numFmtId="213" fontId="51" fillId="0" borderId="0" applyFill="0" applyBorder="0" applyAlignment="0"/>
    <xf numFmtId="164" fontId="174" fillId="41" borderId="0" applyNumberFormat="0" applyBorder="0" applyAlignment="0" applyProtection="0">
      <alignment vertical="center"/>
    </xf>
    <xf numFmtId="164" fontId="20" fillId="65" borderId="27" applyNumberFormat="0" applyFont="0" applyAlignment="0" applyProtection="0"/>
    <xf numFmtId="164" fontId="167" fillId="0" borderId="18" applyNumberFormat="0" applyFill="0" applyAlignment="0" applyProtection="0">
      <alignment vertical="center"/>
    </xf>
    <xf numFmtId="164" fontId="185" fillId="39" borderId="11" applyNumberFormat="0" applyAlignment="0" applyProtection="0">
      <alignment vertical="center"/>
    </xf>
    <xf numFmtId="164" fontId="180" fillId="0" borderId="0" applyNumberFormat="0" applyFill="0" applyBorder="0" applyAlignment="0" applyProtection="0">
      <alignment vertical="center"/>
    </xf>
    <xf numFmtId="217" fontId="51" fillId="0" borderId="0" applyFont="0" applyFill="0" applyBorder="0" applyAlignment="0" applyProtection="0"/>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73" fillId="36" borderId="0" applyNumberFormat="0" applyBorder="0" applyAlignment="0" applyProtection="0">
      <alignment vertical="center"/>
    </xf>
    <xf numFmtId="164" fontId="137" fillId="36" borderId="0" applyNumberFormat="0" applyBorder="0" applyAlignment="0" applyProtection="0">
      <alignment vertical="center"/>
    </xf>
    <xf numFmtId="164" fontId="123" fillId="49" borderId="0" applyNumberFormat="0" applyBorder="0" applyAlignment="0" applyProtection="0">
      <alignment vertical="center"/>
    </xf>
    <xf numFmtId="164" fontId="123" fillId="47" borderId="0" applyNumberFormat="0" applyBorder="0" applyAlignment="0" applyProtection="0">
      <alignment vertical="center"/>
    </xf>
    <xf numFmtId="217" fontId="88" fillId="0" borderId="0" applyFill="0" applyBorder="0" applyAlignment="0"/>
    <xf numFmtId="164" fontId="157" fillId="46" borderId="0" applyNumberFormat="0" applyBorder="0" applyAlignment="0" applyProtection="0">
      <alignment vertical="center"/>
    </xf>
    <xf numFmtId="164" fontId="63" fillId="0" borderId="21"/>
    <xf numFmtId="164" fontId="167" fillId="0" borderId="18" applyNumberFormat="0" applyFill="0" applyAlignment="0" applyProtection="0">
      <alignment vertical="center"/>
    </xf>
    <xf numFmtId="213" fontId="88" fillId="0" borderId="0" applyFill="0" applyBorder="0" applyAlignment="0"/>
    <xf numFmtId="217" fontId="88" fillId="0" borderId="0" applyFill="0" applyBorder="0" applyAlignment="0"/>
    <xf numFmtId="213" fontId="51" fillId="0" borderId="0" applyFill="0" applyBorder="0" applyAlignment="0"/>
    <xf numFmtId="212" fontId="51" fillId="0" borderId="0" applyFill="0" applyBorder="0" applyAlignment="0"/>
    <xf numFmtId="164" fontId="178" fillId="53" borderId="11" applyNumberFormat="0" applyAlignment="0" applyProtection="0">
      <alignment vertical="center"/>
    </xf>
    <xf numFmtId="164" fontId="20" fillId="65" borderId="27" applyNumberFormat="0" applyFont="0" applyAlignment="0" applyProtection="0"/>
    <xf numFmtId="164" fontId="156" fillId="43" borderId="0" applyNumberFormat="0" applyBorder="0" applyAlignment="0" applyProtection="0">
      <alignment vertical="center"/>
    </xf>
    <xf numFmtId="218" fontId="51" fillId="0" borderId="0" applyFill="0" applyBorder="0" applyAlignment="0"/>
    <xf numFmtId="164" fontId="122" fillId="37" borderId="0" applyNumberFormat="0" applyBorder="0" applyAlignment="0" applyProtection="0">
      <alignment vertical="center"/>
    </xf>
    <xf numFmtId="164" fontId="187" fillId="54" borderId="12" applyNumberFormat="0" applyAlignment="0" applyProtection="0">
      <alignment vertical="center"/>
    </xf>
    <xf numFmtId="164" fontId="174" fillId="46" borderId="0" applyNumberFormat="0" applyBorder="0" applyAlignment="0" applyProtection="0">
      <alignment vertical="center"/>
    </xf>
    <xf numFmtId="164" fontId="174" fillId="42" borderId="0" applyNumberFormat="0" applyBorder="0" applyAlignment="0" applyProtection="0">
      <alignment vertical="center"/>
    </xf>
    <xf numFmtId="164" fontId="173" fillId="35" borderId="0" applyNumberFormat="0" applyBorder="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57" fillId="49" borderId="0" applyNumberFormat="0" applyBorder="0" applyAlignment="0" applyProtection="0">
      <alignment vertical="center"/>
    </xf>
    <xf numFmtId="164" fontId="176" fillId="0" borderId="28" applyNumberFormat="0" applyFill="0" applyAlignment="0" applyProtection="0">
      <alignment vertical="center"/>
    </xf>
    <xf numFmtId="213" fontId="88" fillId="0" borderId="0" applyFill="0" applyBorder="0" applyAlignment="0"/>
    <xf numFmtId="164" fontId="165" fillId="0" borderId="0" applyNumberFormat="0" applyFill="0" applyBorder="0" applyAlignment="0" applyProtection="0">
      <alignment vertical="center"/>
    </xf>
    <xf numFmtId="217" fontId="88" fillId="0" borderId="0" applyFill="0" applyBorder="0" applyAlignment="0"/>
    <xf numFmtId="216" fontId="88" fillId="0" borderId="0" applyFill="0" applyBorder="0" applyAlignment="0"/>
    <xf numFmtId="164" fontId="20" fillId="65" borderId="27" applyNumberFormat="0" applyFont="0" applyAlignment="0" applyProtection="0"/>
    <xf numFmtId="164" fontId="156" fillId="40" borderId="0" applyNumberFormat="0" applyBorder="0" applyAlignment="0" applyProtection="0">
      <alignment vertical="center"/>
    </xf>
    <xf numFmtId="164" fontId="156" fillId="39"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88" fillId="0" borderId="0" applyFill="0" applyBorder="0" applyAlignment="0"/>
    <xf numFmtId="213" fontId="88" fillId="0" borderId="0" applyFill="0" applyBorder="0" applyAlignment="0"/>
    <xf numFmtId="218" fontId="51" fillId="0" borderId="0" applyFill="0" applyBorder="0" applyAlignment="0"/>
    <xf numFmtId="164" fontId="160" fillId="54" borderId="12" applyNumberFormat="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217"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57"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217" fontId="51" fillId="0" borderId="0" applyFill="0" applyBorder="0" applyAlignment="0"/>
    <xf numFmtId="164" fontId="174" fillId="45" borderId="0" applyNumberFormat="0" applyBorder="0" applyAlignment="0" applyProtection="0">
      <alignment vertical="center"/>
    </xf>
    <xf numFmtId="164" fontId="173" fillId="38" borderId="0" applyNumberFormat="0" applyBorder="0" applyAlignment="0" applyProtection="0">
      <alignment vertical="center"/>
    </xf>
    <xf numFmtId="164" fontId="123"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218" fontId="88" fillId="0" borderId="0" applyFill="0" applyBorder="0" applyAlignment="0"/>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13" fontId="88" fillId="0" borderId="0" applyFill="0" applyBorder="0" applyAlignment="0"/>
    <xf numFmtId="164" fontId="173" fillId="40" borderId="0" applyNumberFormat="0" applyBorder="0" applyAlignment="0" applyProtection="0">
      <alignment vertical="center"/>
    </xf>
    <xf numFmtId="217" fontId="51" fillId="0" borderId="0" applyFill="0" applyBorder="0" applyAlignment="0"/>
    <xf numFmtId="164" fontId="159" fillId="53" borderId="11" applyNumberFormat="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57"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57" fillId="44" borderId="0" applyNumberFormat="0" applyBorder="0" applyAlignment="0" applyProtection="0">
      <alignment vertical="center"/>
    </xf>
    <xf numFmtId="164" fontId="156" fillId="41" borderId="0" applyNumberFormat="0" applyBorder="0" applyAlignment="0" applyProtection="0">
      <alignment vertical="center"/>
    </xf>
    <xf numFmtId="164" fontId="156" fillId="3" borderId="0" applyNumberFormat="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22"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6"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22" fillId="40" borderId="0" applyNumberFormat="0" applyBorder="0" applyAlignment="0" applyProtection="0">
      <alignment vertical="center"/>
    </xf>
    <xf numFmtId="164" fontId="122" fillId="39" borderId="0" applyNumberFormat="0" applyBorder="0" applyAlignment="0" applyProtection="0">
      <alignment vertical="center"/>
    </xf>
    <xf numFmtId="164" fontId="156" fillId="35" borderId="0" applyNumberFormat="0" applyBorder="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1" borderId="0" applyNumberFormat="0" applyBorder="0" applyAlignment="0" applyProtection="0">
      <alignment vertical="center"/>
    </xf>
    <xf numFmtId="164" fontId="122" fillId="3"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40" borderId="0" applyNumberFormat="0" applyBorder="0" applyAlignment="0" applyProtection="0">
      <alignment vertical="center"/>
    </xf>
    <xf numFmtId="164" fontId="122" fillId="36" borderId="0" applyNumberFormat="0" applyBorder="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22" fillId="35" borderId="0" applyNumberFormat="0" applyBorder="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20" fillId="65" borderId="27" applyNumberFormat="0" applyFont="0" applyAlignment="0" applyProtection="0"/>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174" fillId="52"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17" fontId="51" fillId="0" borderId="0" applyFont="0" applyFill="0" applyBorder="0" applyAlignment="0" applyProtection="0"/>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215" fontId="51" fillId="0" borderId="0" applyFill="0" applyBorder="0" applyAlignment="0"/>
    <xf numFmtId="213" fontId="51" fillId="0" borderId="0" applyFont="0" applyFill="0" applyBorder="0" applyAlignment="0" applyProtection="0"/>
    <xf numFmtId="164" fontId="20" fillId="65" borderId="27" applyNumberFormat="0" applyFont="0" applyAlignment="0" applyProtection="0"/>
    <xf numFmtId="200" fontId="51" fillId="57" borderId="0"/>
    <xf numFmtId="164" fontId="188" fillId="36" borderId="0" applyNumberFormat="0" applyBorder="0" applyAlignment="0" applyProtection="0">
      <alignment vertical="center"/>
    </xf>
    <xf numFmtId="164" fontId="174" fillId="47" borderId="0" applyNumberFormat="0" applyBorder="0" applyAlignment="0" applyProtection="0">
      <alignment vertical="center"/>
    </xf>
    <xf numFmtId="164" fontId="173" fillId="37" borderId="0" applyNumberFormat="0" applyBorder="0" applyAlignment="0" applyProtection="0">
      <alignment vertical="center"/>
    </xf>
    <xf numFmtId="164" fontId="123" fillId="51" borderId="0" applyNumberFormat="0" applyBorder="0" applyAlignment="0" applyProtection="0">
      <alignment vertical="center"/>
    </xf>
    <xf numFmtId="217" fontId="88" fillId="0" borderId="0" applyFill="0" applyBorder="0" applyAlignment="0"/>
    <xf numFmtId="218" fontId="88" fillId="0" borderId="0" applyFill="0" applyBorder="0" applyAlignment="0"/>
    <xf numFmtId="213" fontId="88" fillId="0" borderId="0" applyFill="0" applyBorder="0" applyAlignment="0"/>
    <xf numFmtId="218" fontId="51" fillId="0" borderId="0" applyFill="0" applyBorder="0" applyAlignment="0"/>
    <xf numFmtId="164" fontId="20" fillId="65" borderId="27" applyNumberFormat="0" applyFont="0" applyAlignment="0" applyProtection="0"/>
    <xf numFmtId="164" fontId="177" fillId="3"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3" fillId="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97" fillId="0" borderId="23"/>
    <xf numFmtId="213" fontId="88" fillId="0" borderId="0" applyFill="0" applyBorder="0" applyAlignment="0"/>
    <xf numFmtId="200" fontId="88" fillId="58" borderId="0"/>
    <xf numFmtId="217" fontId="88" fillId="0" borderId="0" applyFill="0" applyBorder="0" applyAlignment="0"/>
    <xf numFmtId="218" fontId="88" fillId="0" borderId="0" applyFill="0" applyBorder="0" applyAlignment="0"/>
    <xf numFmtId="164" fontId="20" fillId="65" borderId="27" applyNumberFormat="0" applyFont="0" applyAlignment="0" applyProtection="0"/>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7" fillId="54" borderId="12" applyNumberFormat="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213" fontId="51" fillId="0" borderId="0" applyFont="0" applyFill="0" applyBorder="0" applyAlignment="0" applyProtection="0"/>
    <xf numFmtId="217"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6" fontId="51" fillId="0" borderId="0" applyFill="0" applyBorder="0" applyAlignment="0"/>
    <xf numFmtId="215"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4"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3"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2" fontId="51" fillId="0" borderId="0" applyFill="0" applyBorder="0" applyAlignment="0"/>
    <xf numFmtId="217" fontId="51" fillId="0" borderId="0" applyFont="0" applyFill="0" applyBorder="0" applyAlignment="0" applyProtection="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7" fontId="51" fillId="0" borderId="0" applyFill="0" applyBorder="0" applyAlignment="0"/>
    <xf numFmtId="164" fontId="189" fillId="0" borderId="0" applyNumberFormat="0" applyFill="0" applyBorder="0" applyAlignment="0" applyProtection="0">
      <alignment vertical="center"/>
    </xf>
    <xf numFmtId="218" fontId="51" fillId="0" borderId="0" applyFill="0" applyBorder="0" applyAlignment="0"/>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4" fontId="51" fillId="0" borderId="0" applyFill="0" applyBorder="0" applyAlignment="0"/>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174" fillId="52" borderId="0" applyNumberFormat="0" applyBorder="0" applyAlignment="0" applyProtection="0">
      <alignment vertical="center"/>
    </xf>
    <xf numFmtId="164" fontId="174" fillId="45" borderId="0" applyNumberFormat="0" applyBorder="0" applyAlignment="0" applyProtection="0">
      <alignment vertical="center"/>
    </xf>
    <xf numFmtId="164" fontId="185" fillId="39" borderId="11" applyNumberFormat="0" applyAlignment="0" applyProtection="0">
      <alignment vertical="center"/>
    </xf>
    <xf numFmtId="164" fontId="174" fillId="51"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0"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2"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73" fillId="43" borderId="0" applyNumberFormat="0" applyBorder="0" applyAlignment="0" applyProtection="0">
      <alignment vertical="center"/>
    </xf>
    <xf numFmtId="164" fontId="63" fillId="0" borderId="21"/>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30" fillId="0" borderId="23"/>
    <xf numFmtId="164" fontId="173" fillId="41" borderId="0" applyNumberFormat="0" applyBorder="0" applyAlignment="0" applyProtection="0">
      <alignment vertical="center"/>
    </xf>
    <xf numFmtId="164" fontId="173" fillId="40"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218" fontId="51" fillId="0" borderId="0" applyFill="0" applyBorder="0" applyAlignment="0"/>
    <xf numFmtId="213" fontId="51" fillId="0" borderId="0" applyFill="0" applyBorder="0" applyAlignment="0"/>
    <xf numFmtId="164" fontId="189" fillId="0" borderId="0" applyNumberFormat="0" applyFill="0" applyBorder="0" applyAlignment="0" applyProtection="0">
      <alignment vertical="center"/>
    </xf>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217" fontId="51" fillId="0" borderId="0" applyFont="0" applyFill="0" applyBorder="0" applyAlignment="0" applyProtection="0"/>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87" fillId="54" borderId="12" applyNumberFormat="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6"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215"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214" fontId="51" fillId="0" borderId="0" applyFill="0" applyBorder="0" applyAlignment="0"/>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213" fontId="51" fillId="0" borderId="0" applyFont="0" applyFill="0" applyBorder="0" applyAlignment="0" applyProtection="0"/>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218" fontId="51" fillId="0" borderId="0" applyFill="0" applyBorder="0" applyAlignment="0"/>
    <xf numFmtId="164" fontId="189" fillId="0" borderId="0" applyNumberFormat="0" applyFill="0" applyBorder="0" applyAlignment="0" applyProtection="0">
      <alignment vertical="center"/>
    </xf>
    <xf numFmtId="213" fontId="51" fillId="0" borderId="0" applyFill="0" applyBorder="0" applyAlignment="0"/>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20" fillId="65" borderId="27" applyNumberFormat="0" applyFont="0" applyAlignment="0" applyProtection="0"/>
    <xf numFmtId="164" fontId="184" fillId="0" borderId="0" applyNumberFormat="0" applyFill="0" applyBorder="0" applyAlignment="0" applyProtection="0">
      <alignment vertical="center"/>
    </xf>
    <xf numFmtId="164" fontId="174" fillId="46" borderId="0" applyNumberFormat="0" applyBorder="0" applyAlignment="0" applyProtection="0">
      <alignment vertical="center"/>
    </xf>
    <xf numFmtId="164" fontId="185" fillId="39" borderId="11" applyNumberFormat="0" applyAlignment="0" applyProtection="0">
      <alignment vertical="center"/>
    </xf>
    <xf numFmtId="164" fontId="174" fillId="45"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4" fillId="5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74" fillId="4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174" fillId="44" borderId="0" applyNumberFormat="0" applyBorder="0" applyAlignment="0" applyProtection="0">
      <alignment vertical="center"/>
    </xf>
    <xf numFmtId="164" fontId="63" fillId="0" borderId="21"/>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30" fillId="0" borderId="23"/>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73" fillId="40" borderId="0" applyNumberFormat="0" applyBorder="0" applyAlignment="0" applyProtection="0">
      <alignment vertical="center"/>
    </xf>
    <xf numFmtId="164" fontId="189" fillId="0" borderId="0" applyNumberFormat="0" applyFill="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173" fillId="35" borderId="0" applyNumberFormat="0" applyBorder="0" applyAlignment="0" applyProtection="0">
      <alignment vertical="center"/>
    </xf>
    <xf numFmtId="164" fontId="20" fillId="65" borderId="27" applyNumberFormat="0" applyFont="0" applyAlignment="0" applyProtection="0"/>
    <xf numFmtId="164" fontId="185"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75" fillId="61" borderId="0" applyNumberFormat="0" applyBorder="0" applyAlignment="0" applyProtection="0">
      <alignment vertical="center"/>
    </xf>
    <xf numFmtId="219" fontId="51" fillId="0" borderId="0"/>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63" fillId="0" borderId="21"/>
    <xf numFmtId="164" fontId="30" fillId="0" borderId="23"/>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9" fillId="0" borderId="0" applyNumberFormat="0" applyFill="0" applyBorder="0" applyAlignment="0" applyProtection="0">
      <alignment vertical="center"/>
    </xf>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164" fontId="20" fillId="65" borderId="27" applyNumberFormat="0" applyFont="0" applyAlignment="0" applyProtection="0"/>
    <xf numFmtId="213" fontId="51" fillId="0" borderId="0" applyFill="0" applyBorder="0" applyAlignment="0"/>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22" fillId="42" borderId="0" applyNumberFormat="0" applyBorder="0" applyAlignment="0" applyProtection="0">
      <alignment vertical="center"/>
    </xf>
    <xf numFmtId="164" fontId="157" fillId="46" borderId="0" applyNumberFormat="0" applyBorder="0" applyAlignment="0" applyProtection="0">
      <alignment vertical="center"/>
    </xf>
    <xf numFmtId="164" fontId="123" fillId="42"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1" fillId="30"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56" fillId="35" borderId="0" applyNumberFormat="0" applyBorder="0" applyAlignment="0" applyProtection="0">
      <alignment vertical="center"/>
    </xf>
    <xf numFmtId="164" fontId="156" fillId="36" borderId="0" applyNumberFormat="0" applyBorder="0" applyAlignment="0" applyProtection="0">
      <alignment vertical="center"/>
    </xf>
    <xf numFmtId="164" fontId="156" fillId="3" borderId="0" applyNumberFormat="0" applyBorder="0" applyAlignment="0" applyProtection="0">
      <alignment vertical="center"/>
    </xf>
    <xf numFmtId="164" fontId="156" fillId="37" borderId="0" applyNumberFormat="0" applyBorder="0" applyAlignment="0" applyProtection="0">
      <alignment vertical="center"/>
    </xf>
    <xf numFmtId="164" fontId="156" fillId="38" borderId="0" applyNumberFormat="0" applyBorder="0" applyAlignment="0" applyProtection="0">
      <alignment vertical="center"/>
    </xf>
    <xf numFmtId="164" fontId="156" fillId="39" borderId="0" applyNumberFormat="0" applyBorder="0" applyAlignment="0" applyProtection="0">
      <alignment vertical="center"/>
    </xf>
    <xf numFmtId="164" fontId="199" fillId="0" borderId="2" applyNumberFormat="0" applyFill="0" applyAlignment="0" applyProtection="0">
      <alignment vertical="center"/>
    </xf>
    <xf numFmtId="164" fontId="190" fillId="17" borderId="0" applyNumberFormat="0" applyBorder="0" applyAlignment="0" applyProtection="0">
      <alignment vertical="center"/>
    </xf>
    <xf numFmtId="164" fontId="126" fillId="3" borderId="0" applyNumberFormat="0" applyBorder="0" applyAlignment="0" applyProtection="0">
      <alignment vertical="center"/>
    </xf>
    <xf numFmtId="164" fontId="190" fillId="12" borderId="0" applyNumberFormat="0" applyBorder="0" applyAlignment="0" applyProtection="0">
      <alignment vertical="center"/>
    </xf>
    <xf numFmtId="164" fontId="191" fillId="18"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56" fillId="40" borderId="0" applyNumberFormat="0" applyBorder="0" applyAlignment="0" applyProtection="0">
      <alignment vertical="center"/>
    </xf>
    <xf numFmtId="164" fontId="156" fillId="41" borderId="0" applyNumberFormat="0" applyBorder="0" applyAlignment="0" applyProtection="0">
      <alignment vertical="center"/>
    </xf>
    <xf numFmtId="164" fontId="156" fillId="42" borderId="0" applyNumberFormat="0" applyBorder="0" applyAlignment="0" applyProtection="0">
      <alignment vertical="center"/>
    </xf>
    <xf numFmtId="164" fontId="156" fillId="37" borderId="0" applyNumberFormat="0" applyBorder="0" applyAlignment="0" applyProtection="0">
      <alignment vertical="center"/>
    </xf>
    <xf numFmtId="164" fontId="156" fillId="40" borderId="0" applyNumberFormat="0" applyBorder="0" applyAlignment="0" applyProtection="0">
      <alignment vertical="center"/>
    </xf>
    <xf numFmtId="164" fontId="156" fillId="43" borderId="0" applyNumberFormat="0" applyBorder="0" applyAlignment="0" applyProtection="0">
      <alignment vertical="center"/>
    </xf>
    <xf numFmtId="164" fontId="199" fillId="0" borderId="2" applyNumberFormat="0" applyFill="0" applyAlignment="0" applyProtection="0">
      <alignment vertical="center"/>
    </xf>
    <xf numFmtId="164" fontId="190" fillId="28"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57" fillId="44" borderId="0" applyNumberFormat="0" applyBorder="0" applyAlignment="0" applyProtection="0">
      <alignment vertical="center"/>
    </xf>
    <xf numFmtId="164" fontId="157" fillId="41" borderId="0" applyNumberFormat="0" applyBorder="0" applyAlignment="0" applyProtection="0">
      <alignment vertical="center"/>
    </xf>
    <xf numFmtId="164" fontId="157" fillId="42"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47"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57" fillId="49" borderId="0" applyNumberFormat="0" applyBorder="0" applyAlignment="0" applyProtection="0">
      <alignment vertical="center"/>
    </xf>
    <xf numFmtId="164" fontId="157" fillId="50" borderId="0" applyNumberFormat="0" applyBorder="0" applyAlignment="0" applyProtection="0">
      <alignment vertical="center"/>
    </xf>
    <xf numFmtId="164" fontId="157" fillId="51"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52" borderId="0" applyNumberFormat="0" applyBorder="0" applyAlignment="0" applyProtection="0">
      <alignment vertical="center"/>
    </xf>
    <xf numFmtId="164" fontId="91" fillId="0" borderId="0">
      <alignment horizontal="center" wrapText="1"/>
      <protection locked="0"/>
    </xf>
    <xf numFmtId="164" fontId="158" fillId="36" borderId="0" applyNumberFormat="0" applyBorder="0" applyAlignment="0" applyProtection="0">
      <alignment vertical="center"/>
    </xf>
    <xf numFmtId="164" fontId="123" fillId="46" borderId="0" applyNumberFormat="0" applyBorder="0" applyAlignment="0" applyProtection="0">
      <alignment vertical="center"/>
    </xf>
    <xf numFmtId="212" fontId="88" fillId="0" borderId="0" applyFill="0" applyBorder="0" applyAlignment="0"/>
    <xf numFmtId="213" fontId="88" fillId="0" borderId="0" applyFill="0" applyBorder="0" applyAlignment="0"/>
    <xf numFmtId="214" fontId="88" fillId="0" borderId="0" applyFill="0" applyBorder="0" applyAlignment="0"/>
    <xf numFmtId="215" fontId="88" fillId="0" borderId="0" applyFill="0" applyBorder="0" applyAlignment="0"/>
    <xf numFmtId="216"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59" fillId="53" borderId="11" applyNumberFormat="0" applyAlignment="0" applyProtection="0">
      <alignment vertical="center"/>
    </xf>
    <xf numFmtId="164" fontId="160" fillId="54" borderId="12" applyNumberFormat="0" applyAlignment="0" applyProtection="0">
      <alignment vertical="center"/>
    </xf>
    <xf numFmtId="217" fontId="88" fillId="0" borderId="0" applyFont="0" applyFill="0" applyBorder="0" applyAlignment="0" applyProtection="0"/>
    <xf numFmtId="164" fontId="199" fillId="0" borderId="2" applyNumberFormat="0" applyFill="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213" fontId="88" fillId="0" borderId="0" applyFont="0" applyFill="0" applyBorder="0" applyAlignment="0" applyProtection="0"/>
    <xf numFmtId="164" fontId="190" fillId="17" borderId="0" applyNumberFormat="0" applyBorder="0" applyAlignment="0" applyProtection="0">
      <alignment vertical="center"/>
    </xf>
    <xf numFmtId="164" fontId="122" fillId="36" borderId="0" applyNumberFormat="0" applyBorder="0" applyAlignment="0" applyProtection="0">
      <alignment vertical="center"/>
    </xf>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91" fillId="34" borderId="0" applyNumberFormat="0" applyBorder="0" applyAlignment="0" applyProtection="0">
      <alignment vertical="center"/>
    </xf>
    <xf numFmtId="164" fontId="161" fillId="0" borderId="0" applyNumberFormat="0" applyFill="0" applyBorder="0" applyAlignment="0" applyProtection="0">
      <alignment vertical="center"/>
    </xf>
    <xf numFmtId="164" fontId="162" fillId="3" borderId="0" applyNumberFormat="0" applyBorder="0" applyAlignment="0" applyProtection="0">
      <alignment vertical="center"/>
    </xf>
    <xf numFmtId="164" fontId="190" fillId="24" borderId="0" applyNumberFormat="0" applyBorder="0" applyAlignment="0" applyProtection="0">
      <alignment vertical="center"/>
    </xf>
    <xf numFmtId="164" fontId="190" fillId="33" borderId="0" applyNumberFormat="0" applyBorder="0" applyAlignment="0" applyProtection="0">
      <alignment vertical="center"/>
    </xf>
    <xf numFmtId="164" fontId="190" fillId="16" borderId="0" applyNumberFormat="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34" fillId="39" borderId="11" applyNumberFormat="0" applyAlignment="0" applyProtection="0">
      <alignment vertical="center"/>
    </xf>
    <xf numFmtId="164" fontId="166" fillId="39" borderId="11" applyNumberFormat="0" applyAlignment="0" applyProtection="0">
      <alignment vertical="center"/>
    </xf>
    <xf numFmtId="164" fontId="191" fillId="30" borderId="0" applyNumberFormat="0" applyBorder="0" applyAlignment="0" applyProtection="0">
      <alignment vertical="center"/>
    </xf>
    <xf numFmtId="200" fontId="88" fillId="57" borderId="0"/>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164" fontId="167" fillId="0" borderId="18" applyNumberFormat="0" applyFill="0" applyAlignment="0" applyProtection="0">
      <alignment vertical="center"/>
    </xf>
    <xf numFmtId="200" fontId="88" fillId="58" borderId="0"/>
    <xf numFmtId="213" fontId="51" fillId="0" borderId="0" applyFill="0" applyBorder="0" applyAlignment="0"/>
    <xf numFmtId="164" fontId="168" fillId="61" borderId="0" applyNumberFormat="0" applyBorder="0" applyAlignment="0" applyProtection="0">
      <alignment vertical="center"/>
    </xf>
    <xf numFmtId="219" fontId="88" fillId="0" borderId="0"/>
    <xf numFmtId="164" fontId="180" fillId="0" borderId="0" applyNumberFormat="0" applyFill="0" applyBorder="0" applyAlignment="0" applyProtection="0">
      <alignment vertical="center"/>
    </xf>
    <xf numFmtId="213" fontId="51" fillId="0" borderId="0" applyFont="0" applyFill="0" applyBorder="0" applyAlignment="0" applyProtection="0"/>
    <xf numFmtId="216" fontId="51" fillId="0" borderId="0" applyFill="0" applyBorder="0" applyAlignment="0"/>
    <xf numFmtId="164" fontId="174" fillId="45" borderId="0" applyNumberFormat="0" applyBorder="0" applyAlignment="0" applyProtection="0">
      <alignment vertical="center"/>
    </xf>
    <xf numFmtId="164" fontId="174" fillId="47" borderId="0" applyNumberFormat="0" applyBorder="0" applyAlignment="0" applyProtection="0">
      <alignment vertical="center"/>
    </xf>
    <xf numFmtId="164" fontId="173"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56" fillId="65" borderId="27" applyNumberFormat="0" applyFont="0" applyAlignment="0" applyProtection="0">
      <alignment vertical="center"/>
    </xf>
    <xf numFmtId="164" fontId="169" fillId="53" borderId="20" applyNumberFormat="0" applyAlignment="0" applyProtection="0">
      <alignment vertical="center"/>
    </xf>
    <xf numFmtId="14" fontId="91" fillId="0" borderId="0">
      <alignment horizontal="center" wrapText="1"/>
      <protection locked="0"/>
    </xf>
    <xf numFmtId="216" fontId="88" fillId="0" borderId="0" applyFont="0" applyFill="0" applyBorder="0" applyAlignment="0" applyProtection="0"/>
    <xf numFmtId="220" fontId="88" fillId="0" borderId="0" applyFont="0" applyFill="0" applyBorder="0" applyAlignment="0" applyProtection="0"/>
    <xf numFmtId="164" fontId="190" fillId="20" borderId="0" applyNumberFormat="0" applyBorder="0" applyAlignment="0" applyProtection="0">
      <alignment vertical="center"/>
    </xf>
    <xf numFmtId="217" fontId="88" fillId="0" borderId="0" applyFill="0" applyBorder="0" applyAlignment="0"/>
    <xf numFmtId="213" fontId="88" fillId="0" borderId="0" applyFill="0" applyBorder="0" applyAlignment="0"/>
    <xf numFmtId="217" fontId="88" fillId="0" borderId="0" applyFill="0" applyBorder="0" applyAlignment="0"/>
    <xf numFmtId="218" fontId="88" fillId="0" borderId="0" applyFill="0" applyBorder="0" applyAlignment="0"/>
    <xf numFmtId="213" fontId="88" fillId="0" borderId="0" applyFill="0" applyBorder="0" applyAlignment="0"/>
    <xf numFmtId="200" fontId="88" fillId="58" borderId="0"/>
    <xf numFmtId="164" fontId="167" fillId="0" borderId="18" applyNumberFormat="0" applyFill="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164" fontId="96" fillId="0" borderId="21"/>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97" fillId="0" borderId="23"/>
    <xf numFmtId="221" fontId="88" fillId="0" borderId="0" applyFill="0" applyBorder="0" applyAlignment="0"/>
    <xf numFmtId="222" fontId="88" fillId="0" borderId="0" applyFill="0" applyBorder="0" applyAlignment="0"/>
    <xf numFmtId="164" fontId="170" fillId="0" borderId="0" applyNumberFormat="0" applyFill="0" applyBorder="0" applyAlignment="0" applyProtection="0">
      <alignment vertical="center"/>
    </xf>
    <xf numFmtId="164" fontId="171" fillId="0" borderId="28" applyNumberFormat="0" applyFill="0" applyAlignment="0" applyProtection="0">
      <alignment vertical="center"/>
    </xf>
    <xf numFmtId="164" fontId="157" fillId="42" borderId="0" applyNumberFormat="0" applyBorder="0" applyAlignment="0" applyProtection="0">
      <alignment vertical="center"/>
    </xf>
    <xf numFmtId="164" fontId="157" fillId="41" borderId="0" applyNumberFormat="0" applyBorder="0" applyAlignment="0" applyProtection="0">
      <alignment vertical="center"/>
    </xf>
    <xf numFmtId="164" fontId="172"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4" fillId="4" borderId="0" applyNumberFormat="0" applyBorder="0" applyAlignment="0" applyProtection="0">
      <alignment vertical="center"/>
    </xf>
    <xf numFmtId="164" fontId="156" fillId="43" borderId="0" applyNumberFormat="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5" borderId="0" applyNumberFormat="0" applyBorder="0" applyAlignment="0" applyProtection="0">
      <alignment vertical="center"/>
    </xf>
    <xf numFmtId="164" fontId="205" fillId="5" borderId="0" applyNumberFormat="0" applyBorder="0" applyAlignment="0" applyProtection="0">
      <alignment vertical="center"/>
    </xf>
    <xf numFmtId="164" fontId="90" fillId="65" borderId="27" applyNumberFormat="0" applyFont="0" applyAlignment="0" applyProtection="0"/>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164" fontId="124" fillId="61" borderId="0" applyNumberFormat="0" applyBorder="0" applyAlignment="0" applyProtection="0">
      <alignment vertical="center"/>
    </xf>
    <xf numFmtId="164" fontId="125" fillId="0" borderId="28" applyNumberFormat="0" applyFill="0" applyAlignment="0" applyProtection="0">
      <alignment vertical="center"/>
    </xf>
    <xf numFmtId="164" fontId="126" fillId="3" borderId="0" applyNumberFormat="0" applyBorder="0" applyAlignment="0" applyProtection="0">
      <alignment vertical="center"/>
    </xf>
    <xf numFmtId="164" fontId="127" fillId="53" borderId="11" applyNumberFormat="0" applyAlignment="0" applyProtection="0">
      <alignment vertical="center"/>
    </xf>
    <xf numFmtId="164" fontId="30" fillId="0" borderId="23"/>
    <xf numFmtId="164" fontId="128" fillId="0" borderId="18" applyNumberFormat="0" applyFill="0" applyAlignment="0" applyProtection="0">
      <alignment vertical="center"/>
    </xf>
    <xf numFmtId="164" fontId="103" fillId="65" borderId="27" applyNumberFormat="0" applyFont="0" applyAlignment="0" applyProtection="0">
      <alignment vertical="center"/>
    </xf>
    <xf numFmtId="164" fontId="129" fillId="0" borderId="0" applyNumberFormat="0" applyFill="0" applyBorder="0" applyAlignment="0" applyProtection="0">
      <alignment vertical="center"/>
    </xf>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70" fillId="0" borderId="0" applyNumberFormat="0" applyFill="0" applyBorder="0" applyAlignment="0" applyProtection="0">
      <alignment vertical="center"/>
    </xf>
    <xf numFmtId="164" fontId="163" fillId="0" borderId="25" applyNumberFormat="0" applyFill="0" applyAlignment="0" applyProtection="0">
      <alignment vertical="center"/>
    </xf>
    <xf numFmtId="164" fontId="164" fillId="0" borderId="26" applyNumberFormat="0" applyFill="0" applyAlignment="0" applyProtection="0">
      <alignment vertical="center"/>
    </xf>
    <xf numFmtId="164" fontId="165" fillId="0" borderId="15" applyNumberFormat="0" applyFill="0" applyAlignment="0" applyProtection="0">
      <alignment vertical="center"/>
    </xf>
    <xf numFmtId="164" fontId="165" fillId="0" borderId="0" applyNumberFormat="0" applyFill="0" applyBorder="0" applyAlignment="0" applyProtection="0">
      <alignment vertical="center"/>
    </xf>
    <xf numFmtId="164" fontId="134" fillId="39" borderId="11" applyNumberFormat="0" applyAlignment="0" applyProtection="0">
      <alignment vertical="center"/>
    </xf>
    <xf numFmtId="164" fontId="135" fillId="53" borderId="20"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3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123" fillId="41" borderId="0" applyNumberFormat="0" applyBorder="0" applyAlignment="0" applyProtection="0">
      <alignment vertical="center"/>
    </xf>
    <xf numFmtId="164" fontId="192" fillId="6" borderId="0" applyNumberFormat="0" applyBorder="0" applyAlignment="0" applyProtection="0">
      <alignment vertical="center"/>
    </xf>
    <xf numFmtId="164" fontId="199" fillId="0" borderId="2" applyNumberFormat="0" applyFill="0" applyAlignment="0" applyProtection="0">
      <alignment vertical="center"/>
    </xf>
    <xf numFmtId="164" fontId="192" fillId="6" borderId="0" applyNumberFormat="0" applyBorder="0" applyAlignment="0" applyProtection="0">
      <alignment vertical="center"/>
    </xf>
    <xf numFmtId="164" fontId="190" fillId="24"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73" fillId="35" borderId="0" applyNumberFormat="0" applyBorder="0" applyAlignment="0" applyProtection="0">
      <alignment vertical="center"/>
    </xf>
    <xf numFmtId="164" fontId="173" fillId="36" borderId="0" applyNumberFormat="0" applyBorder="0" applyAlignment="0" applyProtection="0">
      <alignment vertical="center"/>
    </xf>
    <xf numFmtId="164" fontId="173" fillId="3" borderId="0" applyNumberFormat="0" applyBorder="0" applyAlignment="0" applyProtection="0">
      <alignment vertical="center"/>
    </xf>
    <xf numFmtId="164" fontId="173" fillId="37" borderId="0" applyNumberFormat="0" applyBorder="0" applyAlignment="0" applyProtection="0">
      <alignment vertical="center"/>
    </xf>
    <xf numFmtId="164" fontId="173" fillId="38" borderId="0" applyNumberFormat="0" applyBorder="0" applyAlignment="0" applyProtection="0">
      <alignment vertical="center"/>
    </xf>
    <xf numFmtId="164" fontId="173" fillId="39" borderId="0" applyNumberFormat="0" applyBorder="0" applyAlignment="0" applyProtection="0">
      <alignment vertical="center"/>
    </xf>
    <xf numFmtId="164" fontId="190" fillId="32" borderId="0" applyNumberFormat="0" applyBorder="0" applyAlignment="0" applyProtection="0">
      <alignment vertical="center"/>
    </xf>
    <xf numFmtId="164" fontId="190" fillId="24" borderId="0" applyNumberFormat="0" applyBorder="0" applyAlignment="0" applyProtection="0">
      <alignment vertical="center"/>
    </xf>
    <xf numFmtId="164" fontId="205" fillId="5"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23" fillId="45" borderId="0" applyNumberFormat="0" applyBorder="0" applyAlignment="0" applyProtection="0">
      <alignment vertical="center"/>
    </xf>
    <xf numFmtId="164" fontId="173" fillId="40" borderId="0" applyNumberFormat="0" applyBorder="0" applyAlignment="0" applyProtection="0">
      <alignment vertical="center"/>
    </xf>
    <xf numFmtId="164" fontId="173" fillId="41" borderId="0" applyNumberFormat="0" applyBorder="0" applyAlignment="0" applyProtection="0">
      <alignment vertical="center"/>
    </xf>
    <xf numFmtId="164" fontId="173" fillId="42" borderId="0" applyNumberFormat="0" applyBorder="0" applyAlignment="0" applyProtection="0">
      <alignment vertical="center"/>
    </xf>
    <xf numFmtId="164" fontId="173" fillId="37" borderId="0" applyNumberFormat="0" applyBorder="0" applyAlignment="0" applyProtection="0">
      <alignment vertical="center"/>
    </xf>
    <xf numFmtId="164" fontId="173" fillId="40" borderId="0" applyNumberFormat="0" applyBorder="0" applyAlignment="0" applyProtection="0">
      <alignment vertical="center"/>
    </xf>
    <xf numFmtId="164" fontId="173" fillId="43"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164" fontId="190" fillId="32" borderId="0" applyNumberFormat="0" applyBorder="0" applyAlignment="0" applyProtection="0">
      <alignment vertical="center"/>
    </xf>
    <xf numFmtId="164" fontId="174" fillId="44" borderId="0" applyNumberFormat="0" applyBorder="0" applyAlignment="0" applyProtection="0">
      <alignment vertical="center"/>
    </xf>
    <xf numFmtId="164" fontId="174" fillId="41" borderId="0" applyNumberFormat="0" applyBorder="0" applyAlignment="0" applyProtection="0">
      <alignment vertical="center"/>
    </xf>
    <xf numFmtId="164" fontId="174" fillId="42"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47" borderId="0" applyNumberFormat="0" applyBorder="0" applyAlignment="0" applyProtection="0">
      <alignment vertical="center"/>
    </xf>
    <xf numFmtId="164" fontId="191" fillId="14" borderId="0" applyNumberFormat="0" applyBorder="0" applyAlignment="0" applyProtection="0">
      <alignment vertical="center"/>
    </xf>
    <xf numFmtId="164" fontId="190" fillId="21"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205" fillId="5" borderId="0" applyNumberFormat="0" applyBorder="0" applyAlignment="0" applyProtection="0">
      <alignment vertical="center"/>
    </xf>
    <xf numFmtId="164" fontId="174" fillId="49" borderId="0" applyNumberFormat="0" applyBorder="0" applyAlignment="0" applyProtection="0">
      <alignment vertical="center"/>
    </xf>
    <xf numFmtId="164" fontId="174" fillId="50" borderId="0" applyNumberFormat="0" applyBorder="0" applyAlignment="0" applyProtection="0">
      <alignment vertical="center"/>
    </xf>
    <xf numFmtId="164" fontId="174" fillId="51" borderId="0" applyNumberFormat="0" applyBorder="0" applyAlignment="0" applyProtection="0">
      <alignment vertical="center"/>
    </xf>
    <xf numFmtId="164" fontId="174" fillId="45" borderId="0" applyNumberFormat="0" applyBorder="0" applyAlignment="0" applyProtection="0">
      <alignment vertical="center"/>
    </xf>
    <xf numFmtId="164" fontId="174" fillId="46" borderId="0" applyNumberFormat="0" applyBorder="0" applyAlignment="0" applyProtection="0">
      <alignment vertical="center"/>
    </xf>
    <xf numFmtId="164" fontId="174" fillId="52" borderId="0" applyNumberFormat="0" applyBorder="0" applyAlignment="0" applyProtection="0">
      <alignment vertical="center"/>
    </xf>
    <xf numFmtId="164" fontId="31" fillId="0" borderId="0">
      <alignment horizontal="center" wrapText="1"/>
      <protection locked="0"/>
    </xf>
    <xf numFmtId="164" fontId="188" fillId="36" borderId="0" applyNumberFormat="0" applyBorder="0" applyAlignment="0" applyProtection="0">
      <alignment vertical="center"/>
    </xf>
    <xf numFmtId="164" fontId="190" fillId="21"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8" fillId="53" borderId="11" applyNumberFormat="0" applyAlignment="0" applyProtection="0">
      <alignment vertical="center"/>
    </xf>
    <xf numFmtId="164" fontId="187" fillId="54" borderId="12" applyNumberFormat="0" applyAlignment="0" applyProtection="0">
      <alignment vertical="center"/>
    </xf>
    <xf numFmtId="217" fontId="51" fillId="0" borderId="0" applyFont="0" applyFill="0" applyBorder="0" applyAlignment="0" applyProtection="0"/>
    <xf numFmtId="164" fontId="194" fillId="4" borderId="0" applyNumberFormat="0" applyBorder="0" applyAlignment="0" applyProtection="0">
      <alignment vertical="center"/>
    </xf>
    <xf numFmtId="164" fontId="123" fillId="47" borderId="0" applyNumberFormat="0" applyBorder="0" applyAlignment="0" applyProtection="0">
      <alignment vertical="center"/>
    </xf>
    <xf numFmtId="164" fontId="199" fillId="0" borderId="2" applyNumberFormat="0" applyFill="0" applyAlignment="0" applyProtection="0">
      <alignment vertical="center"/>
    </xf>
    <xf numFmtId="213" fontId="51" fillId="0" borderId="0" applyFont="0" applyFill="0" applyBorder="0" applyAlignment="0" applyProtection="0"/>
    <xf numFmtId="164" fontId="190" fillId="32" borderId="0" applyNumberFormat="0" applyBorder="0" applyAlignment="0" applyProtection="0">
      <alignment vertical="center"/>
    </xf>
    <xf numFmtId="164" fontId="190" fillId="24" borderId="0" applyNumberFormat="0" applyBorder="0" applyAlignment="0" applyProtection="0">
      <alignment vertical="center"/>
    </xf>
    <xf numFmtId="164" fontId="191" fillId="14"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2" fillId="42" borderId="0" applyNumberFormat="0" applyBorder="0" applyAlignment="0" applyProtection="0">
      <alignment vertical="center"/>
    </xf>
    <xf numFmtId="164" fontId="180" fillId="0" borderId="0" applyNumberFormat="0" applyFill="0" applyBorder="0" applyAlignment="0" applyProtection="0">
      <alignment vertical="center"/>
    </xf>
    <xf numFmtId="164" fontId="177" fillId="3" borderId="0" applyNumberFormat="0" applyBorder="0" applyAlignment="0" applyProtection="0">
      <alignment vertical="center"/>
    </xf>
    <xf numFmtId="164" fontId="190" fillId="17" borderId="0" applyNumberFormat="0" applyBorder="0" applyAlignment="0" applyProtection="0">
      <alignment vertical="center"/>
    </xf>
    <xf numFmtId="164" fontId="190" fillId="12" borderId="0" applyNumberFormat="0" applyBorder="0" applyAlignment="0" applyProtection="0">
      <alignment vertical="center"/>
    </xf>
    <xf numFmtId="164" fontId="190" fillId="33" borderId="0" applyNumberFormat="0" applyBorder="0" applyAlignment="0" applyProtection="0">
      <alignment vertical="center"/>
    </xf>
    <xf numFmtId="164" fontId="182" fillId="0" borderId="25" applyNumberFormat="0" applyFill="0" applyAlignment="0" applyProtection="0">
      <alignment vertical="center"/>
    </xf>
    <xf numFmtId="164" fontId="183" fillId="0" borderId="26" applyNumberFormat="0" applyFill="0" applyAlignment="0" applyProtection="0">
      <alignment vertical="center"/>
    </xf>
    <xf numFmtId="164" fontId="184" fillId="0" borderId="15" applyNumberFormat="0" applyFill="0" applyAlignment="0" applyProtection="0">
      <alignment vertical="center"/>
    </xf>
    <xf numFmtId="164" fontId="184" fillId="0" borderId="0" applyNumberFormat="0" applyFill="0" applyBorder="0" applyAlignment="0" applyProtection="0">
      <alignment vertical="center"/>
    </xf>
    <xf numFmtId="164" fontId="190" fillId="13"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85" fillId="39" borderId="11" applyNumberFormat="0" applyAlignment="0" applyProtection="0">
      <alignment vertical="center"/>
    </xf>
    <xf numFmtId="164" fontId="122" fillId="40" borderId="0" applyNumberFormat="0" applyBorder="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79" fillId="0" borderId="18" applyNumberFormat="0" applyFill="0" applyAlignment="0" applyProtection="0">
      <alignment vertical="center"/>
    </xf>
    <xf numFmtId="200" fontId="51" fillId="58" borderId="0"/>
    <xf numFmtId="164" fontId="122" fillId="41" borderId="0" applyNumberFormat="0" applyBorder="0" applyAlignment="0" applyProtection="0">
      <alignment vertical="center"/>
    </xf>
    <xf numFmtId="164" fontId="175" fillId="61" borderId="0" applyNumberFormat="0" applyBorder="0" applyAlignment="0" applyProtection="0">
      <alignment vertical="center"/>
    </xf>
    <xf numFmtId="219" fontId="51" fillId="0" borderId="0"/>
    <xf numFmtId="213" fontId="51" fillId="0" borderId="0" applyFill="0" applyBorder="0" applyAlignment="0"/>
    <xf numFmtId="164" fontId="191" fillId="30" borderId="0" applyNumberFormat="0" applyBorder="0" applyAlignment="0" applyProtection="0">
      <alignment vertical="center"/>
    </xf>
    <xf numFmtId="214" fontId="51" fillId="0" borderId="0" applyFill="0" applyBorder="0" applyAlignment="0"/>
    <xf numFmtId="164" fontId="174" fillId="50" borderId="0" applyNumberFormat="0" applyBorder="0" applyAlignment="0" applyProtection="0">
      <alignment vertical="center"/>
    </xf>
    <xf numFmtId="164" fontId="174" fillId="45" borderId="0" applyNumberFormat="0" applyBorder="0" applyAlignment="0" applyProtection="0">
      <alignment vertical="center"/>
    </xf>
    <xf numFmtId="164" fontId="173" fillId="37" borderId="0" applyNumberFormat="0" applyBorder="0" applyAlignment="0" applyProtection="0">
      <alignment vertical="center"/>
    </xf>
    <xf numFmtId="164" fontId="190" fillId="24" borderId="0" applyNumberFormat="0" applyBorder="0" applyAlignment="0" applyProtection="0">
      <alignment vertical="center"/>
    </xf>
    <xf numFmtId="164" fontId="190" fillId="13"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85" fillId="65" borderId="27" applyNumberFormat="0" applyFont="0" applyAlignment="0" applyProtection="0">
      <alignment vertical="center"/>
    </xf>
    <xf numFmtId="164" fontId="186"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16"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91" fillId="26" borderId="0" applyNumberFormat="0" applyBorder="0" applyAlignment="0" applyProtection="0">
      <alignment vertical="center"/>
    </xf>
    <xf numFmtId="164" fontId="123" fillId="44"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33"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63" fillId="0" borderId="21"/>
    <xf numFmtId="164" fontId="194" fillId="4"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30" fillId="0" borderId="23"/>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81"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90" fillId="16" borderId="0" applyNumberFormat="0" applyBorder="0" applyAlignment="0" applyProtection="0">
      <alignment vertical="center"/>
    </xf>
    <xf numFmtId="164" fontId="191" fillId="22" borderId="0" applyNumberFormat="0" applyBorder="0" applyAlignment="0" applyProtection="0">
      <alignment vertical="center"/>
    </xf>
    <xf numFmtId="164" fontId="189"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22" fillId="37"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0" fillId="28"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23" fillId="52" borderId="0" applyNumberFormat="0" applyBorder="0" applyAlignment="0" applyProtection="0">
      <alignment vertical="center"/>
    </xf>
    <xf numFmtId="164" fontId="192" fillId="6"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1" fillId="18"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205" fillId="5"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94" fillId="4"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23" fillId="4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1" fillId="18" borderId="0" applyNumberFormat="0" applyBorder="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13" borderId="0" applyNumberFormat="0" applyBorder="0" applyAlignment="0" applyProtection="0">
      <alignment vertical="center"/>
    </xf>
    <xf numFmtId="164" fontId="192" fillId="6" borderId="0" applyNumberFormat="0" applyBorder="0" applyAlignment="0" applyProtection="0">
      <alignment vertical="center"/>
    </xf>
    <xf numFmtId="164" fontId="191" fillId="26" borderId="0" applyNumberFormat="0" applyBorder="0" applyAlignment="0" applyProtection="0">
      <alignment vertical="center"/>
    </xf>
    <xf numFmtId="216" fontId="51" fillId="0" borderId="0" applyFont="0" applyFill="0" applyBorder="0" applyAlignment="0" applyProtection="0"/>
    <xf numFmtId="164" fontId="205" fillId="5" borderId="0" applyNumberFormat="0" applyBorder="0" applyAlignment="0" applyProtection="0">
      <alignment vertical="center"/>
    </xf>
    <xf numFmtId="164" fontId="122" fillId="42" borderId="0" applyNumberFormat="0" applyBorder="0" applyAlignment="0" applyProtection="0">
      <alignment vertical="center"/>
    </xf>
    <xf numFmtId="217" fontId="51" fillId="0" borderId="0" applyFill="0" applyBorder="0" applyAlignment="0"/>
    <xf numFmtId="164" fontId="184" fillId="0" borderId="15" applyNumberFormat="0" applyFill="0" applyAlignment="0" applyProtection="0">
      <alignment vertical="center"/>
    </xf>
    <xf numFmtId="218" fontId="51" fillId="0" borderId="0" applyFill="0" applyBorder="0" applyAlignment="0"/>
    <xf numFmtId="164" fontId="190" fillId="33" borderId="0" applyNumberFormat="0" applyBorder="0" applyAlignment="0" applyProtection="0">
      <alignment vertical="center"/>
    </xf>
    <xf numFmtId="213" fontId="51" fillId="0" borderId="0" applyFill="0" applyBorder="0" applyAlignment="0"/>
    <xf numFmtId="164" fontId="174" fillId="49" borderId="0" applyNumberFormat="0" applyBorder="0" applyAlignment="0" applyProtection="0">
      <alignment vertical="center"/>
    </xf>
    <xf numFmtId="164" fontId="174" fillId="42" borderId="0" applyNumberFormat="0" applyBorder="0" applyAlignment="0" applyProtection="0">
      <alignment vertical="center"/>
    </xf>
    <xf numFmtId="164" fontId="173" fillId="42" borderId="0" applyNumberFormat="0" applyBorder="0" applyAlignment="0" applyProtection="0">
      <alignment vertical="center"/>
    </xf>
    <xf numFmtId="164" fontId="190" fillId="24"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1" fillId="30" borderId="0" applyNumberFormat="0" applyBorder="0" applyAlignment="0" applyProtection="0">
      <alignment vertical="center"/>
    </xf>
    <xf numFmtId="164" fontId="173" fillId="35" borderId="0" applyNumberFormat="0" applyBorder="0" applyAlignment="0" applyProtection="0">
      <alignment vertical="center"/>
    </xf>
    <xf numFmtId="164" fontId="190" fillId="32" borderId="0" applyNumberFormat="0" applyBorder="0" applyAlignment="0" applyProtection="0">
      <alignment vertical="center"/>
    </xf>
    <xf numFmtId="164" fontId="163" fillId="0" borderId="25" applyNumberFormat="0" applyFill="0" applyAlignment="0" applyProtection="0">
      <alignment vertical="center"/>
    </xf>
    <xf numFmtId="164" fontId="127" fillId="53" borderId="11" applyNumberFormat="0" applyAlignment="0" applyProtection="0">
      <alignment vertical="center"/>
    </xf>
    <xf numFmtId="164" fontId="205" fillId="5" borderId="0" applyNumberFormat="0" applyBorder="0" applyAlignment="0" applyProtection="0">
      <alignment vertical="center"/>
    </xf>
    <xf numFmtId="164" fontId="123" fillId="42" borderId="0" applyNumberFormat="0" applyBorder="0" applyAlignment="0" applyProtection="0">
      <alignment vertical="center"/>
    </xf>
    <xf numFmtId="164" fontId="191" fillId="26" borderId="0" applyNumberFormat="0" applyBorder="0" applyAlignment="0" applyProtection="0">
      <alignment vertical="center"/>
    </xf>
    <xf numFmtId="164" fontId="122" fillId="3"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0" fillId="13" borderId="0" applyNumberFormat="0" applyBorder="0" applyAlignment="0" applyProtection="0">
      <alignment vertical="center"/>
    </xf>
    <xf numFmtId="164" fontId="122" fillId="10" borderId="9" applyNumberFormat="0" applyFont="0" applyAlignment="0" applyProtection="0">
      <alignment vertical="center"/>
    </xf>
    <xf numFmtId="164" fontId="190" fillId="13" borderId="0" applyNumberFormat="0" applyBorder="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213" fontId="88" fillId="0" borderId="0" applyFill="0" applyBorder="0" applyAlignment="0"/>
    <xf numFmtId="164" fontId="191" fillId="34" borderId="0" applyNumberFormat="0" applyBorder="0" applyAlignment="0" applyProtection="0">
      <alignment vertical="center"/>
    </xf>
    <xf numFmtId="164" fontId="190" fillId="32" borderId="0" applyNumberFormat="0" applyBorder="0" applyAlignment="0" applyProtection="0">
      <alignment vertical="center"/>
    </xf>
    <xf numFmtId="217" fontId="88" fillId="0" borderId="0" applyFont="0" applyFill="0" applyBorder="0" applyAlignment="0" applyProtection="0"/>
    <xf numFmtId="164" fontId="158" fillId="36" borderId="0" applyNumberFormat="0" applyBorder="0" applyAlignment="0" applyProtection="0">
      <alignment vertical="center"/>
    </xf>
    <xf numFmtId="164" fontId="123" fillId="47" borderId="0" applyNumberFormat="0" applyBorder="0" applyAlignment="0" applyProtection="0">
      <alignment vertical="center"/>
    </xf>
    <xf numFmtId="164" fontId="191" fillId="14" borderId="0" applyNumberFormat="0" applyBorder="0" applyAlignment="0" applyProtection="0">
      <alignment vertical="center"/>
    </xf>
    <xf numFmtId="164" fontId="122" fillId="10" borderId="9" applyNumberFormat="0" applyFont="0" applyAlignment="0" applyProtection="0">
      <alignment vertical="center"/>
    </xf>
    <xf numFmtId="164" fontId="191" fillId="22"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18" borderId="0" applyNumberFormat="0" applyBorder="0" applyAlignment="0" applyProtection="0">
      <alignment vertical="center"/>
    </xf>
    <xf numFmtId="164" fontId="157" fillId="47" borderId="0" applyNumberFormat="0" applyBorder="0" applyAlignment="0" applyProtection="0">
      <alignment vertical="center"/>
    </xf>
    <xf numFmtId="164" fontId="191" fillId="22" borderId="0" applyNumberFormat="0" applyBorder="0" applyAlignment="0" applyProtection="0">
      <alignment vertical="center"/>
    </xf>
    <xf numFmtId="164" fontId="122" fillId="35" borderId="0" applyNumberFormat="0" applyBorder="0" applyAlignment="0" applyProtection="0">
      <alignment vertical="center"/>
    </xf>
    <xf numFmtId="164" fontId="191" fillId="14" borderId="0" applyNumberFormat="0" applyBorder="0" applyAlignment="0" applyProtection="0">
      <alignment vertical="center"/>
    </xf>
    <xf numFmtId="164" fontId="190" fillId="24" borderId="0" applyNumberFormat="0" applyBorder="0" applyAlignment="0" applyProtection="0">
      <alignment vertical="center"/>
    </xf>
    <xf numFmtId="164" fontId="191" fillId="26"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94" fillId="4" borderId="0" applyNumberFormat="0" applyBorder="0" applyAlignment="0" applyProtection="0">
      <alignment vertical="center"/>
    </xf>
    <xf numFmtId="164" fontId="199" fillId="0" borderId="2" applyNumberFormat="0" applyFill="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205" fillId="5" borderId="0" applyNumberFormat="0" applyBorder="0" applyAlignment="0" applyProtection="0">
      <alignment vertical="center"/>
    </xf>
    <xf numFmtId="164" fontId="103" fillId="65" borderId="27" applyNumberFormat="0" applyFont="0" applyAlignment="0" applyProtection="0">
      <alignment vertical="center"/>
    </xf>
    <xf numFmtId="164" fontId="191" fillId="26" borderId="0" applyNumberFormat="0" applyBorder="0" applyAlignment="0" applyProtection="0">
      <alignment vertical="center"/>
    </xf>
    <xf numFmtId="164" fontId="190" fillId="16" borderId="0" applyNumberFormat="0" applyBorder="0" applyAlignment="0" applyProtection="0">
      <alignment vertical="center"/>
    </xf>
    <xf numFmtId="164" fontId="191" fillId="18" borderId="0" applyNumberFormat="0" applyBorder="0" applyAlignment="0" applyProtection="0">
      <alignment vertical="center"/>
    </xf>
    <xf numFmtId="164" fontId="190" fillId="16"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33" borderId="0" applyNumberFormat="0" applyBorder="0" applyAlignment="0" applyProtection="0">
      <alignment vertical="center"/>
    </xf>
    <xf numFmtId="164" fontId="190" fillId="12"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93" fillId="0" borderId="10" applyNumberFormat="0" applyFill="0" applyAlignment="0" applyProtection="0">
      <alignment vertical="center"/>
    </xf>
    <xf numFmtId="164" fontId="192" fillId="6" borderId="0" applyNumberFormat="0" applyBorder="0" applyAlignment="0" applyProtection="0">
      <alignment vertical="center"/>
    </xf>
    <xf numFmtId="213" fontId="51" fillId="0" borderId="0" applyFill="0" applyBorder="0" applyAlignment="0"/>
    <xf numFmtId="14" fontId="31" fillId="0" borderId="0">
      <alignment horizontal="center" wrapText="1"/>
      <protection locked="0"/>
    </xf>
    <xf numFmtId="164" fontId="190" fillId="12" borderId="0" applyNumberFormat="0" applyBorder="0" applyAlignment="0" applyProtection="0">
      <alignment vertical="center"/>
    </xf>
    <xf numFmtId="213" fontId="51" fillId="0" borderId="0" applyFill="0" applyBorder="0" applyAlignment="0"/>
    <xf numFmtId="164" fontId="183" fillId="0" borderId="26" applyNumberFormat="0" applyFill="0" applyAlignment="0" applyProtection="0">
      <alignment vertical="center"/>
    </xf>
    <xf numFmtId="217" fontId="51" fillId="0" borderId="0" applyFill="0" applyBorder="0" applyAlignment="0"/>
    <xf numFmtId="217" fontId="51" fillId="0" borderId="0" applyFont="0" applyFill="0" applyBorder="0" applyAlignment="0" applyProtection="0"/>
    <xf numFmtId="212" fontId="51" fillId="0" borderId="0" applyFill="0" applyBorder="0" applyAlignment="0"/>
    <xf numFmtId="164" fontId="190" fillId="21" borderId="0" applyNumberFormat="0" applyBorder="0" applyAlignment="0" applyProtection="0">
      <alignment vertical="center"/>
    </xf>
    <xf numFmtId="164" fontId="174" fillId="41" borderId="0" applyNumberFormat="0" applyBorder="0" applyAlignment="0" applyProtection="0">
      <alignment vertical="center"/>
    </xf>
    <xf numFmtId="164" fontId="173" fillId="41" borderId="0" applyNumberFormat="0" applyBorder="0" applyAlignment="0" applyProtection="0">
      <alignment vertical="center"/>
    </xf>
    <xf numFmtId="164" fontId="205" fillId="5" borderId="0" applyNumberFormat="0" applyBorder="0" applyAlignment="0" applyProtection="0">
      <alignment vertical="center"/>
    </xf>
    <xf numFmtId="164" fontId="123" fillId="44"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0" fillId="21" borderId="0" applyNumberFormat="0" applyBorder="0" applyAlignment="0" applyProtection="0">
      <alignment vertical="center"/>
    </xf>
    <xf numFmtId="164" fontId="170"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1" fillId="18" borderId="0" applyNumberFormat="0" applyBorder="0" applyAlignment="0" applyProtection="0">
      <alignment vertical="center"/>
    </xf>
    <xf numFmtId="164" fontId="157" fillId="46" borderId="0" applyNumberFormat="0" applyBorder="0" applyAlignment="0" applyProtection="0">
      <alignment vertical="center"/>
    </xf>
    <xf numFmtId="164" fontId="122" fillId="37" borderId="0" applyNumberFormat="0" applyBorder="0" applyAlignment="0" applyProtection="0">
      <alignment vertical="center"/>
    </xf>
    <xf numFmtId="213" fontId="88" fillId="0" borderId="0" applyFill="0" applyBorder="0" applyAlignment="0"/>
    <xf numFmtId="164" fontId="205" fillId="5" borderId="0" applyNumberFormat="0" applyBorder="0" applyAlignment="0" applyProtection="0">
      <alignment vertical="center"/>
    </xf>
    <xf numFmtId="219" fontId="88" fillId="0" borderId="0"/>
    <xf numFmtId="164" fontId="123" fillId="47" borderId="0" applyNumberFormat="0" applyBorder="0" applyAlignment="0" applyProtection="0">
      <alignment vertical="center"/>
    </xf>
    <xf numFmtId="164" fontId="190" fillId="32" borderId="0" applyNumberFormat="0" applyBorder="0" applyAlignment="0" applyProtection="0">
      <alignment vertical="center"/>
    </xf>
    <xf numFmtId="164" fontId="123" fillId="52" borderId="0" applyNumberFormat="0" applyBorder="0" applyAlignment="0" applyProtection="0">
      <alignment vertical="center"/>
    </xf>
    <xf numFmtId="164" fontId="190" fillId="16" borderId="0" applyNumberFormat="0" applyBorder="0" applyAlignment="0" applyProtection="0">
      <alignment vertical="center"/>
    </xf>
    <xf numFmtId="164" fontId="191" fillId="22"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22" fillId="10" borderId="9" applyNumberFormat="0" applyFont="0" applyAlignment="0" applyProtection="0">
      <alignment vertical="center"/>
    </xf>
    <xf numFmtId="164" fontId="190" fillId="33" borderId="0" applyNumberFormat="0" applyBorder="0" applyAlignment="0" applyProtection="0">
      <alignment vertical="center"/>
    </xf>
    <xf numFmtId="164" fontId="190" fillId="24" borderId="0" applyNumberFormat="0" applyBorder="0" applyAlignment="0" applyProtection="0">
      <alignment vertical="center"/>
    </xf>
    <xf numFmtId="164" fontId="191" fillId="30" borderId="0" applyNumberFormat="0" applyBorder="0" applyAlignment="0" applyProtection="0">
      <alignment vertical="center"/>
    </xf>
    <xf numFmtId="218" fontId="88" fillId="0" borderId="0" applyFill="0" applyBorder="0" applyAlignment="0"/>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60" fillId="54" borderId="12" applyNumberFormat="0" applyAlignment="0" applyProtection="0">
      <alignment vertical="center"/>
    </xf>
    <xf numFmtId="164" fontId="91" fillId="0" borderId="0">
      <alignment horizontal="center" wrapText="1"/>
      <protection locked="0"/>
    </xf>
    <xf numFmtId="164" fontId="123" fillId="46" borderId="0" applyNumberFormat="0" applyBorder="0" applyAlignment="0" applyProtection="0">
      <alignment vertical="center"/>
    </xf>
    <xf numFmtId="164" fontId="191" fillId="14" borderId="0" applyNumberFormat="0" applyBorder="0" applyAlignment="0" applyProtection="0">
      <alignment vertical="center"/>
    </xf>
    <xf numFmtId="164" fontId="191" fillId="30" borderId="0" applyNumberFormat="0" applyBorder="0" applyAlignment="0" applyProtection="0">
      <alignment vertical="center"/>
    </xf>
    <xf numFmtId="164" fontId="193" fillId="0" borderId="10" applyNumberFormat="0" applyFill="0" applyAlignment="0" applyProtection="0">
      <alignment vertical="center"/>
    </xf>
    <xf numFmtId="164" fontId="122" fillId="40"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1" fillId="18" borderId="0" applyNumberFormat="0" applyBorder="0" applyAlignment="0" applyProtection="0">
      <alignment vertical="center"/>
    </xf>
    <xf numFmtId="164" fontId="190" fillId="16" borderId="0" applyNumberFormat="0" applyBorder="0" applyAlignment="0" applyProtection="0">
      <alignment vertical="center"/>
    </xf>
    <xf numFmtId="164" fontId="191" fillId="14" borderId="0" applyNumberFormat="0" applyBorder="0" applyAlignment="0" applyProtection="0">
      <alignment vertical="center"/>
    </xf>
    <xf numFmtId="164" fontId="190" fillId="29" borderId="0" applyNumberFormat="0" applyBorder="0" applyAlignment="0" applyProtection="0">
      <alignment vertical="center"/>
    </xf>
    <xf numFmtId="164" fontId="205" fillId="5" borderId="0" applyNumberFormat="0" applyBorder="0" applyAlignment="0" applyProtection="0">
      <alignment vertical="center"/>
    </xf>
    <xf numFmtId="164" fontId="199" fillId="0" borderId="2" applyNumberFormat="0" applyFill="0" applyAlignment="0" applyProtection="0">
      <alignment vertical="center"/>
    </xf>
    <xf numFmtId="164" fontId="190" fillId="25"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91" fillId="0" borderId="0">
      <alignment horizontal="center" wrapText="1"/>
      <protection locked="0"/>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33" borderId="0" applyNumberFormat="0" applyBorder="0" applyAlignment="0" applyProtection="0">
      <alignment vertical="center"/>
    </xf>
    <xf numFmtId="164" fontId="193" fillId="0" borderId="10" applyNumberFormat="0" applyFill="0" applyAlignment="0" applyProtection="0">
      <alignment vertical="center"/>
    </xf>
    <xf numFmtId="164" fontId="191" fillId="22"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29" borderId="0" applyNumberFormat="0" applyBorder="0" applyAlignment="0" applyProtection="0">
      <alignment vertical="center"/>
    </xf>
    <xf numFmtId="164" fontId="190" fillId="32" borderId="0" applyNumberFormat="0" applyBorder="0" applyAlignment="0" applyProtection="0">
      <alignment vertical="center"/>
    </xf>
    <xf numFmtId="164" fontId="190" fillId="16" borderId="0" applyNumberFormat="0" applyBorder="0" applyAlignment="0" applyProtection="0">
      <alignment vertical="center"/>
    </xf>
    <xf numFmtId="164" fontId="122" fillId="10" borderId="9" applyNumberFormat="0" applyFont="0" applyAlignment="0" applyProtection="0">
      <alignment vertical="center"/>
    </xf>
    <xf numFmtId="164" fontId="190" fillId="25" borderId="0" applyNumberFormat="0" applyBorder="0" applyAlignment="0" applyProtection="0">
      <alignment vertical="center"/>
    </xf>
    <xf numFmtId="164" fontId="193" fillId="0" borderId="10" applyNumberFormat="0" applyFill="0" applyAlignment="0" applyProtection="0">
      <alignment vertical="center"/>
    </xf>
    <xf numFmtId="164" fontId="189" fillId="0" borderId="0" applyNumberFormat="0" applyFill="0" applyBorder="0" applyAlignment="0" applyProtection="0">
      <alignment vertical="center"/>
    </xf>
    <xf numFmtId="164" fontId="191" fillId="30" borderId="0" applyNumberFormat="0" applyBorder="0" applyAlignment="0" applyProtection="0">
      <alignment vertical="center"/>
    </xf>
    <xf numFmtId="218" fontId="51" fillId="0" borderId="0" applyFill="0" applyBorder="0" applyAlignment="0"/>
    <xf numFmtId="164" fontId="186" fillId="53" borderId="20" applyNumberFormat="0" applyAlignment="0" applyProtection="0">
      <alignment vertical="center"/>
    </xf>
    <xf numFmtId="219" fontId="51" fillId="0" borderId="0"/>
    <xf numFmtId="164" fontId="122" fillId="40" borderId="0" applyNumberFormat="0" applyBorder="0" applyAlignment="0" applyProtection="0">
      <alignment vertical="center"/>
    </xf>
    <xf numFmtId="217" fontId="51" fillId="0" borderId="0" applyFill="0" applyBorder="0" applyAlignment="0"/>
    <xf numFmtId="164" fontId="182" fillId="0" borderId="25" applyNumberFormat="0" applyFill="0" applyAlignment="0" applyProtection="0">
      <alignment vertical="center"/>
    </xf>
    <xf numFmtId="213" fontId="51" fillId="0" borderId="0" applyFill="0" applyBorder="0" applyAlignment="0"/>
    <xf numFmtId="164" fontId="187" fillId="54" borderId="12" applyNumberFormat="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74" fillId="44" borderId="0" applyNumberFormat="0" applyBorder="0" applyAlignment="0" applyProtection="0">
      <alignment vertical="center"/>
    </xf>
    <xf numFmtId="164" fontId="173" fillId="40"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16" borderId="0" applyNumberFormat="0" applyBorder="0" applyAlignment="0" applyProtection="0">
      <alignment vertical="center"/>
    </xf>
    <xf numFmtId="164" fontId="190" fillId="32" borderId="0" applyNumberFormat="0" applyBorder="0" applyAlignment="0" applyProtection="0">
      <alignment vertical="center"/>
    </xf>
    <xf numFmtId="164" fontId="190" fillId="13" borderId="0" applyNumberFormat="0" applyBorder="0" applyAlignment="0" applyProtection="0">
      <alignment vertical="center"/>
    </xf>
    <xf numFmtId="164" fontId="191" fillId="14" borderId="0" applyNumberFormat="0" applyBorder="0" applyAlignment="0" applyProtection="0">
      <alignment vertical="center"/>
    </xf>
    <xf numFmtId="164" fontId="123" fillId="52" borderId="0" applyNumberFormat="0" applyBorder="0" applyAlignment="0" applyProtection="0">
      <alignment vertical="center"/>
    </xf>
    <xf numFmtId="164" fontId="125" fillId="0" borderId="28" applyNumberFormat="0" applyFill="0" applyAlignment="0" applyProtection="0">
      <alignment vertical="center"/>
    </xf>
    <xf numFmtId="164" fontId="122" fillId="42" borderId="0" applyNumberFormat="0" applyBorder="0" applyAlignment="0" applyProtection="0">
      <alignment vertical="center"/>
    </xf>
    <xf numFmtId="164" fontId="122" fillId="38" borderId="0" applyNumberFormat="0" applyBorder="0" applyAlignment="0" applyProtection="0">
      <alignment vertical="center"/>
    </xf>
    <xf numFmtId="218" fontId="88" fillId="0" borderId="0" applyFill="0" applyBorder="0" applyAlignment="0"/>
    <xf numFmtId="164" fontId="168" fillId="61" borderId="0" applyNumberFormat="0" applyBorder="0" applyAlignment="0" applyProtection="0">
      <alignment vertical="center"/>
    </xf>
    <xf numFmtId="164" fontId="193" fillId="0" borderId="10" applyNumberFormat="0" applyFill="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22" fillId="37" borderId="0" applyNumberFormat="0" applyBorder="0" applyAlignment="0" applyProtection="0">
      <alignment vertical="center"/>
    </xf>
    <xf numFmtId="164" fontId="191" fillId="18" borderId="0" applyNumberFormat="0" applyBorder="0" applyAlignment="0" applyProtection="0">
      <alignment vertical="center"/>
    </xf>
    <xf numFmtId="164" fontId="190" fillId="17" borderId="0" applyNumberFormat="0" applyBorder="0" applyAlignment="0" applyProtection="0">
      <alignment vertical="center"/>
    </xf>
    <xf numFmtId="164" fontId="138" fillId="0" borderId="0" applyNumberFormat="0" applyFill="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90" fillId="32" borderId="0" applyNumberFormat="0" applyBorder="0" applyAlignment="0" applyProtection="0">
      <alignment vertical="center"/>
    </xf>
    <xf numFmtId="164" fontId="205" fillId="5" borderId="0" applyNumberFormat="0" applyBorder="0" applyAlignment="0" applyProtection="0">
      <alignment vertical="center"/>
    </xf>
    <xf numFmtId="164" fontId="123" fillId="42" borderId="0" applyNumberFormat="0" applyBorder="0" applyAlignment="0" applyProtection="0">
      <alignment vertical="center"/>
    </xf>
    <xf numFmtId="164" fontId="190" fillId="29" borderId="0" applyNumberFormat="0" applyBorder="0" applyAlignment="0" applyProtection="0">
      <alignment vertical="center"/>
    </xf>
    <xf numFmtId="217" fontId="88" fillId="0" borderId="0" applyFill="0" applyBorder="0" applyAlignment="0"/>
    <xf numFmtId="164" fontId="191" fillId="14" borderId="0" applyNumberFormat="0" applyBorder="0" applyAlignment="0" applyProtection="0">
      <alignment vertical="center"/>
    </xf>
    <xf numFmtId="164" fontId="190" fillId="16" borderId="0" applyNumberFormat="0" applyBorder="0" applyAlignment="0" applyProtection="0">
      <alignment vertical="center"/>
    </xf>
    <xf numFmtId="164" fontId="159" fillId="53" borderId="11" applyNumberFormat="0" applyAlignment="0" applyProtection="0">
      <alignment vertical="center"/>
    </xf>
    <xf numFmtId="164" fontId="157" fillId="52" borderId="0" applyNumberFormat="0" applyBorder="0" applyAlignment="0" applyProtection="0">
      <alignment vertical="center"/>
    </xf>
    <xf numFmtId="164" fontId="123" fillId="45" borderId="0" applyNumberFormat="0" applyBorder="0" applyAlignment="0" applyProtection="0">
      <alignment vertical="center"/>
    </xf>
    <xf numFmtId="164" fontId="191" fillId="18"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22" fillId="37" borderId="0" applyNumberFormat="0" applyBorder="0" applyAlignment="0" applyProtection="0">
      <alignment vertical="center"/>
    </xf>
    <xf numFmtId="164" fontId="190" fillId="29" borderId="0" applyNumberFormat="0" applyBorder="0" applyAlignment="0" applyProtection="0">
      <alignment vertical="center"/>
    </xf>
    <xf numFmtId="164" fontId="205" fillId="5" borderId="0" applyNumberFormat="0" applyBorder="0" applyAlignment="0" applyProtection="0">
      <alignment vertical="center"/>
    </xf>
    <xf numFmtId="164" fontId="91" fillId="0" borderId="0">
      <alignment horizontal="center" wrapText="1"/>
      <protection locked="0"/>
    </xf>
    <xf numFmtId="164" fontId="190" fillId="1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3" borderId="0" applyNumberFormat="0" applyBorder="0" applyAlignment="0" applyProtection="0">
      <alignment vertical="center"/>
    </xf>
    <xf numFmtId="164" fontId="193" fillId="0" borderId="10"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1" fillId="18" borderId="0" applyNumberFormat="0" applyBorder="0" applyAlignment="0" applyProtection="0">
      <alignment vertical="center"/>
    </xf>
    <xf numFmtId="164" fontId="157" fillId="44" borderId="0" applyNumberFormat="0" applyBorder="0" applyAlignment="0" applyProtection="0">
      <alignment vertical="center"/>
    </xf>
    <xf numFmtId="164" fontId="191" fillId="30" borderId="0" applyNumberFormat="0" applyBorder="0" applyAlignment="0" applyProtection="0">
      <alignment vertical="center"/>
    </xf>
    <xf numFmtId="164" fontId="191" fillId="26" borderId="0" applyNumberFormat="0" applyBorder="0" applyAlignment="0" applyProtection="0">
      <alignment vertical="center"/>
    </xf>
    <xf numFmtId="164" fontId="193" fillId="0" borderId="10" applyNumberFormat="0" applyFill="0" applyAlignment="0" applyProtection="0">
      <alignment vertical="center"/>
    </xf>
    <xf numFmtId="164" fontId="122" fillId="40" borderId="0" applyNumberFormat="0" applyBorder="0" applyAlignment="0" applyProtection="0">
      <alignment vertical="center"/>
    </xf>
    <xf numFmtId="164" fontId="190" fillId="28" borderId="0" applyNumberFormat="0" applyBorder="0" applyAlignment="0" applyProtection="0">
      <alignment vertical="center"/>
    </xf>
    <xf numFmtId="164" fontId="191" fillId="18" borderId="0" applyNumberFormat="0" applyBorder="0" applyAlignment="0" applyProtection="0">
      <alignment vertical="center"/>
    </xf>
    <xf numFmtId="164" fontId="123" fillId="44" borderId="0" applyNumberFormat="0" applyBorder="0" applyAlignment="0" applyProtection="0">
      <alignment vertical="center"/>
    </xf>
    <xf numFmtId="164" fontId="190" fillId="17" borderId="0" applyNumberFormat="0" applyBorder="0" applyAlignment="0" applyProtection="0">
      <alignment vertical="center"/>
    </xf>
    <xf numFmtId="164" fontId="191" fillId="22"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9" fillId="0" borderId="2" applyNumberFormat="0" applyFill="0" applyAlignment="0" applyProtection="0">
      <alignment vertical="center"/>
    </xf>
    <xf numFmtId="164" fontId="190" fillId="13" borderId="0" applyNumberFormat="0" applyBorder="0" applyAlignment="0" applyProtection="0">
      <alignment vertical="center"/>
    </xf>
    <xf numFmtId="164" fontId="63" fillId="0" borderId="21"/>
    <xf numFmtId="217" fontId="51" fillId="0" borderId="0" applyFill="0" applyBorder="0" applyAlignment="0"/>
    <xf numFmtId="164" fontId="85" fillId="65" borderId="27" applyNumberFormat="0" applyFont="0" applyAlignment="0" applyProtection="0">
      <alignment vertical="center"/>
    </xf>
    <xf numFmtId="164" fontId="175" fillId="61" borderId="0" applyNumberFormat="0" applyBorder="0" applyAlignment="0" applyProtection="0">
      <alignment vertical="center"/>
    </xf>
    <xf numFmtId="164" fontId="190" fillId="13" borderId="0" applyNumberFormat="0" applyBorder="0" applyAlignment="0" applyProtection="0">
      <alignment vertical="center"/>
    </xf>
    <xf numFmtId="200" fontId="51" fillId="57" borderId="0"/>
    <xf numFmtId="164" fontId="190" fillId="29" borderId="0" applyNumberFormat="0" applyBorder="0" applyAlignment="0" applyProtection="0">
      <alignment vertical="center"/>
    </xf>
    <xf numFmtId="217" fontId="51" fillId="0" borderId="0" applyFill="0" applyBorder="0" applyAlignment="0"/>
    <xf numFmtId="164" fontId="178" fillId="53" borderId="11" applyNumberFormat="0" applyAlignment="0" applyProtection="0">
      <alignment vertical="center"/>
    </xf>
    <xf numFmtId="164" fontId="188" fillId="36" borderId="0" applyNumberFormat="0" applyBorder="0" applyAlignment="0" applyProtection="0">
      <alignment vertical="center"/>
    </xf>
    <xf numFmtId="164" fontId="190" fillId="17"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2" fillId="6"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91" fillId="14" borderId="0" applyNumberFormat="0" applyBorder="0" applyAlignment="0" applyProtection="0">
      <alignment vertical="center"/>
    </xf>
    <xf numFmtId="164" fontId="190" fillId="13" borderId="0" applyNumberFormat="0" applyBorder="0" applyAlignment="0" applyProtection="0">
      <alignment vertical="center"/>
    </xf>
    <xf numFmtId="164" fontId="191" fillId="18" borderId="0" applyNumberFormat="0" applyBorder="0" applyAlignment="0" applyProtection="0">
      <alignment vertical="center"/>
    </xf>
    <xf numFmtId="164" fontId="123" fillId="46" borderId="0" applyNumberFormat="0" applyBorder="0" applyAlignment="0" applyProtection="0">
      <alignment vertical="center"/>
    </xf>
    <xf numFmtId="164" fontId="124" fillId="61" borderId="0" applyNumberFormat="0" applyBorder="0" applyAlignment="0" applyProtection="0">
      <alignment vertical="center"/>
    </xf>
    <xf numFmtId="164" fontId="191" fillId="30" borderId="0" applyNumberFormat="0" applyBorder="0" applyAlignment="0" applyProtection="0">
      <alignment vertical="center"/>
    </xf>
    <xf numFmtId="164" fontId="190" fillId="16" borderId="0" applyNumberFormat="0" applyBorder="0" applyAlignment="0" applyProtection="0">
      <alignment vertical="center"/>
    </xf>
    <xf numFmtId="164" fontId="96" fillId="0" borderId="21"/>
    <xf numFmtId="217" fontId="88" fillId="0" borderId="0" applyFill="0" applyBorder="0" applyAlignment="0"/>
    <xf numFmtId="164" fontId="205" fillId="5"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23" fillId="44" borderId="0" applyNumberFormat="0" applyBorder="0" applyAlignment="0" applyProtection="0">
      <alignment vertical="center"/>
    </xf>
    <xf numFmtId="164" fontId="190" fillId="16"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190" fillId="20" borderId="0" applyNumberFormat="0" applyBorder="0" applyAlignment="0" applyProtection="0">
      <alignment vertical="center"/>
    </xf>
    <xf numFmtId="164" fontId="191" fillId="18" borderId="0" applyNumberFormat="0" applyBorder="0" applyAlignment="0" applyProtection="0">
      <alignment vertical="center"/>
    </xf>
    <xf numFmtId="164" fontId="190" fillId="16" borderId="0" applyNumberFormat="0" applyBorder="0" applyAlignment="0" applyProtection="0">
      <alignment vertical="center"/>
    </xf>
    <xf numFmtId="213" fontId="88" fillId="0" borderId="0" applyFill="0" applyBorder="0" applyAlignment="0"/>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213" fontId="88" fillId="0" borderId="0" applyFill="0" applyBorder="0" applyAlignment="0"/>
    <xf numFmtId="164" fontId="157" fillId="46" borderId="0" applyNumberFormat="0" applyBorder="0" applyAlignment="0" applyProtection="0">
      <alignment vertical="center"/>
    </xf>
    <xf numFmtId="164" fontId="123" fillId="42"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22" fillId="42" borderId="0" applyNumberFormat="0" applyBorder="0" applyAlignment="0" applyProtection="0">
      <alignment vertical="center"/>
    </xf>
    <xf numFmtId="164" fontId="190" fillId="29" borderId="0" applyNumberFormat="0" applyBorder="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4" fillId="4" borderId="0" applyNumberFormat="0" applyBorder="0" applyAlignment="0" applyProtection="0">
      <alignment vertical="center"/>
    </xf>
    <xf numFmtId="164" fontId="199" fillId="0" borderId="2" applyNumberFormat="0" applyFill="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0" fillId="13"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22" borderId="0" applyNumberFormat="0" applyBorder="0" applyAlignment="0" applyProtection="0">
      <alignment vertical="center"/>
    </xf>
    <xf numFmtId="164" fontId="190" fillId="17" borderId="0" applyNumberFormat="0" applyBorder="0" applyAlignment="0" applyProtection="0">
      <alignment vertical="center"/>
    </xf>
    <xf numFmtId="164" fontId="190" fillId="33" borderId="0" applyNumberFormat="0" applyBorder="0" applyAlignment="0" applyProtection="0">
      <alignment vertical="center"/>
    </xf>
    <xf numFmtId="164" fontId="205" fillId="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18"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25" fillId="0" borderId="28" applyNumberFormat="0" applyFill="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9" fillId="0" borderId="2" applyNumberFormat="0" applyFill="0" applyAlignment="0" applyProtection="0">
      <alignment vertical="center"/>
    </xf>
    <xf numFmtId="164" fontId="192" fillId="6" borderId="0" applyNumberFormat="0" applyBorder="0" applyAlignment="0" applyProtection="0">
      <alignment vertical="center"/>
    </xf>
    <xf numFmtId="164" fontId="122" fillId="35" borderId="0" applyNumberFormat="0" applyBorder="0" applyAlignment="0" applyProtection="0">
      <alignment vertical="center"/>
    </xf>
    <xf numFmtId="213" fontId="51" fillId="0" borderId="0" applyFill="0" applyBorder="0" applyAlignment="0"/>
    <xf numFmtId="164" fontId="191" fillId="22" borderId="0" applyNumberFormat="0" applyBorder="0" applyAlignment="0" applyProtection="0">
      <alignment vertical="center"/>
    </xf>
    <xf numFmtId="164" fontId="123" fillId="50" borderId="0" applyNumberFormat="0" applyBorder="0" applyAlignment="0" applyProtection="0">
      <alignment vertical="center"/>
    </xf>
    <xf numFmtId="164" fontId="190" fillId="20" borderId="0" applyNumberFormat="0" applyBorder="0" applyAlignment="0" applyProtection="0">
      <alignment vertical="center"/>
    </xf>
    <xf numFmtId="164" fontId="123" fillId="41"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213" fontId="51" fillId="0" borderId="0" applyFill="0" applyBorder="0" applyAlignment="0"/>
    <xf numFmtId="164" fontId="31" fillId="0" borderId="0">
      <alignment horizontal="center" wrapText="1"/>
      <protection locked="0"/>
    </xf>
    <xf numFmtId="164" fontId="191" fillId="14" borderId="0" applyNumberFormat="0" applyBorder="0" applyAlignment="0" applyProtection="0">
      <alignment vertical="center"/>
    </xf>
    <xf numFmtId="164" fontId="123" fillId="42"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91" fillId="26" borderId="0" applyNumberFormat="0" applyBorder="0" applyAlignment="0" applyProtection="0">
      <alignment vertical="center"/>
    </xf>
    <xf numFmtId="164" fontId="63" fillId="0" borderId="21"/>
    <xf numFmtId="164" fontId="191" fillId="14" borderId="0" applyNumberFormat="0" applyBorder="0" applyAlignment="0" applyProtection="0">
      <alignment vertical="center"/>
    </xf>
    <xf numFmtId="164" fontId="190" fillId="28" borderId="0" applyNumberFormat="0" applyBorder="0" applyAlignment="0" applyProtection="0">
      <alignment vertical="center"/>
    </xf>
    <xf numFmtId="164" fontId="190" fillId="33" borderId="0" applyNumberFormat="0" applyBorder="0" applyAlignment="0" applyProtection="0">
      <alignment vertical="center"/>
    </xf>
    <xf numFmtId="164" fontId="192" fillId="6" borderId="0" applyNumberFormat="0" applyBorder="0" applyAlignment="0" applyProtection="0">
      <alignment vertical="center"/>
    </xf>
    <xf numFmtId="164" fontId="190" fillId="33" borderId="0" applyNumberFormat="0" applyBorder="0" applyAlignment="0" applyProtection="0">
      <alignment vertical="center"/>
    </xf>
    <xf numFmtId="164" fontId="138"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1" fillId="22" borderId="0" applyNumberFormat="0" applyBorder="0" applyAlignment="0" applyProtection="0">
      <alignment vertical="center"/>
    </xf>
    <xf numFmtId="164" fontId="190" fillId="33" borderId="0" applyNumberFormat="0" applyBorder="0" applyAlignment="0" applyProtection="0">
      <alignment vertical="center"/>
    </xf>
    <xf numFmtId="164" fontId="190" fillId="12" borderId="0" applyNumberFormat="0" applyBorder="0" applyAlignment="0" applyProtection="0">
      <alignment vertical="center"/>
    </xf>
    <xf numFmtId="213" fontId="88" fillId="0" borderId="0" applyFill="0" applyBorder="0" applyAlignment="0"/>
    <xf numFmtId="164" fontId="205" fillId="5"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1" fillId="18" borderId="0" applyNumberFormat="0" applyBorder="0" applyAlignment="0" applyProtection="0">
      <alignment vertical="center"/>
    </xf>
    <xf numFmtId="164" fontId="123" fillId="45" borderId="0" applyNumberFormat="0" applyBorder="0" applyAlignment="0" applyProtection="0">
      <alignment vertical="center"/>
    </xf>
    <xf numFmtId="164" fontId="190" fillId="17" borderId="0" applyNumberFormat="0" applyBorder="0" applyAlignment="0" applyProtection="0">
      <alignment vertical="center"/>
    </xf>
    <xf numFmtId="164" fontId="191" fillId="26" borderId="0" applyNumberFormat="0" applyBorder="0" applyAlignment="0" applyProtection="0">
      <alignment vertical="center"/>
    </xf>
    <xf numFmtId="164" fontId="199" fillId="0" borderId="2" applyNumberFormat="0" applyFill="0" applyAlignment="0" applyProtection="0">
      <alignment vertical="center"/>
    </xf>
    <xf numFmtId="164" fontId="122" fillId="10" borderId="9" applyNumberFormat="0" applyFont="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217" fontId="88" fillId="0" borderId="0" applyFill="0" applyBorder="0" applyAlignment="0"/>
    <xf numFmtId="164" fontId="190" fillId="16" borderId="0" applyNumberFormat="0" applyBorder="0" applyAlignment="0" applyProtection="0">
      <alignment vertical="center"/>
    </xf>
    <xf numFmtId="164" fontId="191" fillId="18" borderId="0" applyNumberFormat="0" applyBorder="0" applyAlignment="0" applyProtection="0">
      <alignment vertical="center"/>
    </xf>
    <xf numFmtId="218" fontId="88" fillId="0" borderId="0" applyFill="0" applyBorder="0" applyAlignment="0"/>
    <xf numFmtId="164" fontId="157" fillId="45" borderId="0" applyNumberFormat="0" applyBorder="0" applyAlignment="0" applyProtection="0">
      <alignment vertical="center"/>
    </xf>
    <xf numFmtId="164" fontId="123" fillId="41" borderId="0" applyNumberFormat="0" applyBorder="0" applyAlignment="0" applyProtection="0">
      <alignment vertical="center"/>
    </xf>
    <xf numFmtId="164" fontId="157" fillId="47"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22" fillId="41" borderId="0" applyNumberFormat="0" applyBorder="0" applyAlignment="0" applyProtection="0">
      <alignment vertical="center"/>
    </xf>
    <xf numFmtId="164" fontId="191" fillId="30" borderId="0" applyNumberFormat="0" applyBorder="0" applyAlignment="0" applyProtection="0">
      <alignment vertical="center"/>
    </xf>
    <xf numFmtId="164" fontId="191" fillId="14" borderId="0" applyNumberFormat="0" applyBorder="0" applyAlignment="0" applyProtection="0">
      <alignment vertical="center"/>
    </xf>
    <xf numFmtId="164" fontId="190" fillId="28" borderId="0" applyNumberFormat="0" applyBorder="0" applyAlignment="0" applyProtection="0">
      <alignment vertical="center"/>
    </xf>
    <xf numFmtId="164" fontId="190" fillId="13"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90" fillId="17" borderId="0" applyNumberFormat="0" applyBorder="0" applyAlignment="0" applyProtection="0">
      <alignment vertical="center"/>
    </xf>
    <xf numFmtId="164" fontId="190" fillId="33" borderId="0" applyNumberFormat="0" applyBorder="0" applyAlignment="0" applyProtection="0">
      <alignment vertical="center"/>
    </xf>
    <xf numFmtId="164" fontId="191" fillId="14" borderId="0" applyNumberFormat="0" applyBorder="0" applyAlignment="0" applyProtection="0">
      <alignment vertical="center"/>
    </xf>
    <xf numFmtId="164" fontId="122" fillId="40" borderId="0" applyNumberFormat="0" applyBorder="0" applyAlignment="0" applyProtection="0">
      <alignment vertical="center"/>
    </xf>
    <xf numFmtId="164" fontId="192" fillId="6" borderId="0" applyNumberFormat="0" applyBorder="0" applyAlignment="0" applyProtection="0">
      <alignment vertical="center"/>
    </xf>
    <xf numFmtId="164" fontId="123" fillId="52" borderId="0" applyNumberFormat="0" applyBorder="0" applyAlignment="0" applyProtection="0">
      <alignment vertical="center"/>
    </xf>
    <xf numFmtId="164" fontId="192" fillId="6" borderId="0" applyNumberFormat="0" applyBorder="0" applyAlignment="0" applyProtection="0">
      <alignment vertical="center"/>
    </xf>
    <xf numFmtId="164" fontId="190" fillId="28" borderId="0" applyNumberFormat="0" applyBorder="0" applyAlignment="0" applyProtection="0">
      <alignment vertical="center"/>
    </xf>
    <xf numFmtId="164" fontId="190" fillId="24" borderId="0" applyNumberFormat="0" applyBorder="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1" fillId="18" borderId="0" applyNumberFormat="0" applyBorder="0" applyAlignment="0" applyProtection="0">
      <alignment vertical="center"/>
    </xf>
    <xf numFmtId="164" fontId="190" fillId="29" borderId="0" applyNumberFormat="0" applyBorder="0" applyAlignment="0" applyProtection="0">
      <alignment vertical="center"/>
    </xf>
    <xf numFmtId="164" fontId="205" fillId="5" borderId="0" applyNumberFormat="0" applyBorder="0" applyAlignment="0" applyProtection="0">
      <alignment vertical="center"/>
    </xf>
    <xf numFmtId="164" fontId="193" fillId="0" borderId="10" applyNumberFormat="0" applyFill="0" applyAlignment="0" applyProtection="0">
      <alignment vertical="center"/>
    </xf>
    <xf numFmtId="164" fontId="190" fillId="16"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164" fontId="190" fillId="25" borderId="0" applyNumberFormat="0" applyBorder="0" applyAlignment="0" applyProtection="0">
      <alignment vertical="center"/>
    </xf>
    <xf numFmtId="164" fontId="190" fillId="33" borderId="0" applyNumberFormat="0" applyBorder="0" applyAlignment="0" applyProtection="0">
      <alignment vertical="center"/>
    </xf>
    <xf numFmtId="164" fontId="194" fillId="4" borderId="0" applyNumberFormat="0" applyBorder="0" applyAlignment="0" applyProtection="0">
      <alignment vertical="center"/>
    </xf>
    <xf numFmtId="164" fontId="176" fillId="0" borderId="28" applyNumberFormat="0" applyFill="0" applyAlignment="0" applyProtection="0">
      <alignment vertical="center"/>
    </xf>
    <xf numFmtId="164" fontId="190" fillId="12" borderId="0" applyNumberFormat="0" applyBorder="0" applyAlignment="0" applyProtection="0">
      <alignment vertical="center"/>
    </xf>
    <xf numFmtId="217" fontId="51" fillId="0" borderId="0" applyFill="0" applyBorder="0" applyAlignment="0"/>
    <xf numFmtId="164" fontId="191" fillId="22" borderId="0" applyNumberFormat="0" applyBorder="0" applyAlignment="0" applyProtection="0">
      <alignment vertical="center"/>
    </xf>
    <xf numFmtId="200" fontId="51" fillId="58" borderId="0"/>
    <xf numFmtId="164" fontId="190" fillId="13" borderId="0" applyNumberFormat="0" applyBorder="0" applyAlignment="0" applyProtection="0">
      <alignment vertical="center"/>
    </xf>
    <xf numFmtId="164" fontId="185" fillId="39" borderId="11" applyNumberFormat="0" applyAlignment="0" applyProtection="0">
      <alignment vertical="center"/>
    </xf>
    <xf numFmtId="164" fontId="191" fillId="14" borderId="0" applyNumberFormat="0" applyBorder="0" applyAlignment="0" applyProtection="0">
      <alignment vertical="center"/>
    </xf>
    <xf numFmtId="164" fontId="191" fillId="34" borderId="0" applyNumberFormat="0" applyBorder="0" applyAlignment="0" applyProtection="0">
      <alignment vertical="center"/>
    </xf>
    <xf numFmtId="218" fontId="51" fillId="0" borderId="0" applyFill="0" applyBorder="0" applyAlignment="0"/>
    <xf numFmtId="164" fontId="174" fillId="52" borderId="0" applyNumberFormat="0" applyBorder="0" applyAlignment="0" applyProtection="0">
      <alignment vertical="center"/>
    </xf>
    <xf numFmtId="164" fontId="190" fillId="33" borderId="0" applyNumberFormat="0" applyBorder="0" applyAlignment="0" applyProtection="0">
      <alignment vertical="center"/>
    </xf>
    <xf numFmtId="164" fontId="123" fillId="49"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9" fillId="0" borderId="2" applyNumberFormat="0" applyFill="0" applyAlignment="0" applyProtection="0">
      <alignment vertical="center"/>
    </xf>
    <xf numFmtId="164" fontId="191" fillId="14"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23" fillId="51" borderId="0" applyNumberFormat="0" applyBorder="0" applyAlignment="0" applyProtection="0">
      <alignment vertical="center"/>
    </xf>
    <xf numFmtId="164" fontId="190" fillId="29" borderId="0" applyNumberFormat="0" applyBorder="0" applyAlignment="0" applyProtection="0">
      <alignment vertical="center"/>
    </xf>
    <xf numFmtId="164" fontId="194" fillId="4" borderId="0" applyNumberFormat="0" applyBorder="0" applyAlignment="0" applyProtection="0">
      <alignment vertical="center"/>
    </xf>
    <xf numFmtId="164" fontId="171" fillId="0" borderId="28" applyNumberFormat="0" applyFill="0" applyAlignment="0" applyProtection="0">
      <alignment vertical="center"/>
    </xf>
    <xf numFmtId="164" fontId="190" fillId="12" borderId="0" applyNumberFormat="0" applyBorder="0" applyAlignment="0" applyProtection="0">
      <alignment vertical="center"/>
    </xf>
    <xf numFmtId="217" fontId="88" fillId="0" borderId="0" applyFill="0" applyBorder="0" applyAlignment="0"/>
    <xf numFmtId="164" fontId="205" fillId="5" borderId="0" applyNumberFormat="0" applyBorder="0" applyAlignment="0" applyProtection="0">
      <alignment vertical="center"/>
    </xf>
    <xf numFmtId="164" fontId="190" fillId="29" borderId="0" applyNumberFormat="0" applyBorder="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65" fillId="0" borderId="0" applyNumberFormat="0" applyFill="0" applyBorder="0" applyAlignment="0" applyProtection="0">
      <alignment vertical="center"/>
    </xf>
    <xf numFmtId="164" fontId="135" fillId="53" borderId="20" applyNumberFormat="0" applyAlignment="0" applyProtection="0">
      <alignment vertical="center"/>
    </xf>
    <xf numFmtId="164" fontId="191" fillId="22" borderId="0" applyNumberFormat="0" applyBorder="0" applyAlignment="0" applyProtection="0">
      <alignment vertical="center"/>
    </xf>
    <xf numFmtId="164" fontId="122" fillId="43" borderId="0" applyNumberFormat="0" applyBorder="0" applyAlignment="0" applyProtection="0">
      <alignment vertical="center"/>
    </xf>
    <xf numFmtId="164" fontId="190" fillId="17" borderId="0" applyNumberFormat="0" applyBorder="0" applyAlignment="0" applyProtection="0">
      <alignment vertical="center"/>
    </xf>
    <xf numFmtId="164" fontId="191" fillId="22" borderId="0" applyNumberFormat="0" applyBorder="0" applyAlignment="0" applyProtection="0">
      <alignment vertical="center"/>
    </xf>
    <xf numFmtId="164" fontId="190" fillId="28" borderId="0" applyNumberFormat="0" applyBorder="0" applyAlignment="0" applyProtection="0">
      <alignment vertical="center"/>
    </xf>
    <xf numFmtId="217" fontId="88" fillId="0" borderId="0" applyFill="0" applyBorder="0" applyAlignment="0"/>
    <xf numFmtId="164" fontId="157" fillId="51" borderId="0" applyNumberFormat="0" applyBorder="0" applyAlignment="0" applyProtection="0">
      <alignment vertical="center"/>
    </xf>
    <xf numFmtId="164" fontId="123" fillId="44" borderId="0" applyNumberFormat="0" applyBorder="0" applyAlignment="0" applyProtection="0">
      <alignment vertical="center"/>
    </xf>
    <xf numFmtId="164" fontId="157" fillId="46" borderId="0" applyNumberFormat="0" applyBorder="0" applyAlignment="0" applyProtection="0">
      <alignment vertical="center"/>
    </xf>
    <xf numFmtId="164" fontId="199" fillId="0" borderId="2" applyNumberFormat="0" applyFill="0" applyAlignment="0" applyProtection="0">
      <alignment vertical="center"/>
    </xf>
    <xf numFmtId="164" fontId="122" fillId="40" borderId="0" applyNumberFormat="0" applyBorder="0" applyAlignment="0" applyProtection="0">
      <alignment vertical="center"/>
    </xf>
    <xf numFmtId="164" fontId="191" fillId="14"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23" fillId="47"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3" fillId="0" borderId="10" applyNumberFormat="0" applyFill="0" applyAlignment="0" applyProtection="0">
      <alignment vertical="center"/>
    </xf>
    <xf numFmtId="164" fontId="191" fillId="22" borderId="0" applyNumberFormat="0" applyBorder="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0" fillId="13" borderId="0" applyNumberFormat="0" applyBorder="0" applyAlignment="0" applyProtection="0">
      <alignment vertical="center"/>
    </xf>
    <xf numFmtId="164" fontId="190" fillId="28" borderId="0" applyNumberFormat="0" applyBorder="0" applyAlignment="0" applyProtection="0">
      <alignment vertical="center"/>
    </xf>
    <xf numFmtId="164" fontId="122" fillId="35" borderId="0" applyNumberFormat="0" applyBorder="0" applyAlignment="0" applyProtection="0">
      <alignment vertical="center"/>
    </xf>
    <xf numFmtId="164" fontId="193" fillId="0" borderId="10" applyNumberFormat="0" applyFill="0" applyAlignment="0" applyProtection="0">
      <alignment vertical="center"/>
    </xf>
    <xf numFmtId="164" fontId="191" fillId="26" borderId="0" applyNumberFormat="0" applyBorder="0" applyAlignment="0" applyProtection="0">
      <alignment vertical="center"/>
    </xf>
    <xf numFmtId="164" fontId="190" fillId="12" borderId="0" applyNumberFormat="0" applyBorder="0" applyAlignment="0" applyProtection="0">
      <alignment vertical="center"/>
    </xf>
    <xf numFmtId="164" fontId="191" fillId="18" borderId="0" applyNumberFormat="0" applyBorder="0" applyAlignment="0" applyProtection="0">
      <alignment vertical="center"/>
    </xf>
    <xf numFmtId="164" fontId="123" fillId="45" borderId="0" applyNumberFormat="0" applyBorder="0" applyAlignment="0" applyProtection="0">
      <alignment vertical="center"/>
    </xf>
    <xf numFmtId="164" fontId="193" fillId="0" borderId="10" applyNumberFormat="0" applyFill="0" applyAlignment="0" applyProtection="0">
      <alignment vertical="center"/>
    </xf>
    <xf numFmtId="164" fontId="157" fillId="46" borderId="0" applyNumberFormat="0" applyBorder="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81" fillId="0" borderId="0" applyNumberFormat="0" applyFill="0" applyBorder="0" applyAlignment="0" applyProtection="0">
      <alignment vertical="center"/>
    </xf>
    <xf numFmtId="164" fontId="193" fillId="0" borderId="10" applyNumberFormat="0" applyFill="0" applyAlignment="0" applyProtection="0">
      <alignment vertical="center"/>
    </xf>
    <xf numFmtId="164" fontId="157" fillId="41" borderId="0" applyNumberFormat="0" applyBorder="0" applyAlignment="0" applyProtection="0">
      <alignment vertical="center"/>
    </xf>
    <xf numFmtId="164" fontId="190" fillId="21" borderId="0" applyNumberFormat="0" applyBorder="0" applyAlignment="0" applyProtection="0">
      <alignment vertical="center"/>
    </xf>
    <xf numFmtId="164" fontId="179" fillId="0" borderId="18" applyNumberFormat="0" applyFill="0" applyAlignment="0" applyProtection="0">
      <alignment vertical="center"/>
    </xf>
    <xf numFmtId="164" fontId="122" fillId="39" borderId="0" applyNumberFormat="0" applyBorder="0" applyAlignment="0" applyProtection="0">
      <alignment vertical="center"/>
    </xf>
    <xf numFmtId="164" fontId="191" fillId="30" borderId="0" applyNumberFormat="0" applyBorder="0" applyAlignment="0" applyProtection="0">
      <alignment vertical="center"/>
    </xf>
    <xf numFmtId="164" fontId="177" fillId="3" borderId="0" applyNumberFormat="0" applyBorder="0" applyAlignment="0" applyProtection="0">
      <alignment vertical="center"/>
    </xf>
    <xf numFmtId="164" fontId="190" fillId="25" borderId="0" applyNumberFormat="0" applyBorder="0" applyAlignment="0" applyProtection="0">
      <alignment vertical="center"/>
    </xf>
    <xf numFmtId="217" fontId="51" fillId="0" borderId="0" applyFill="0" applyBorder="0" applyAlignment="0"/>
    <xf numFmtId="164" fontId="174"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24" fillId="61" borderId="0" applyNumberFormat="0" applyBorder="0" applyAlignment="0" applyProtection="0">
      <alignment vertical="center"/>
    </xf>
    <xf numFmtId="164" fontId="190" fillId="13" borderId="0" applyNumberFormat="0" applyBorder="0" applyAlignment="0" applyProtection="0">
      <alignment vertical="center"/>
    </xf>
    <xf numFmtId="164" fontId="199" fillId="0" borderId="2" applyNumberFormat="0" applyFill="0" applyAlignment="0" applyProtection="0">
      <alignment vertical="center"/>
    </xf>
    <xf numFmtId="164" fontId="191" fillId="14" borderId="0" applyNumberFormat="0" applyBorder="0" applyAlignment="0" applyProtection="0">
      <alignment vertical="center"/>
    </xf>
    <xf numFmtId="164" fontId="192" fillId="6" borderId="0" applyNumberFormat="0" applyBorder="0" applyAlignment="0" applyProtection="0">
      <alignment vertical="center"/>
    </xf>
    <xf numFmtId="164" fontId="190" fillId="33" borderId="0" applyNumberFormat="0" applyBorder="0" applyAlignment="0" applyProtection="0">
      <alignment vertical="center"/>
    </xf>
    <xf numFmtId="164" fontId="190" fillId="25" borderId="0" applyNumberFormat="0" applyBorder="0" applyAlignment="0" applyProtection="0">
      <alignment vertical="center"/>
    </xf>
    <xf numFmtId="164" fontId="136" fillId="54" borderId="12" applyNumberFormat="0" applyAlignment="0" applyProtection="0">
      <alignment vertical="center"/>
    </xf>
    <xf numFmtId="164" fontId="123" fillId="50" borderId="0" applyNumberFormat="0" applyBorder="0" applyAlignment="0" applyProtection="0">
      <alignment vertical="center"/>
    </xf>
    <xf numFmtId="164" fontId="191" fillId="30" borderId="0" applyNumberFormat="0" applyBorder="0" applyAlignment="0" applyProtection="0">
      <alignment vertical="center"/>
    </xf>
    <xf numFmtId="164" fontId="190" fillId="12" borderId="0" applyNumberFormat="0" applyBorder="0" applyAlignment="0" applyProtection="0">
      <alignment vertical="center"/>
    </xf>
    <xf numFmtId="164" fontId="170" fillId="0" borderId="0" applyNumberFormat="0" applyFill="0" applyBorder="0" applyAlignment="0" applyProtection="0">
      <alignment vertical="center"/>
    </xf>
    <xf numFmtId="164" fontId="190" fillId="12" borderId="0" applyNumberFormat="0" applyBorder="0" applyAlignment="0" applyProtection="0">
      <alignment vertical="center"/>
    </xf>
    <xf numFmtId="164" fontId="157" fillId="4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65" fillId="0" borderId="15" applyNumberFormat="0" applyFill="0" applyAlignment="0" applyProtection="0">
      <alignment vertical="center"/>
    </xf>
    <xf numFmtId="164" fontId="190" fillId="33" borderId="0" applyNumberFormat="0" applyBorder="0" applyAlignment="0" applyProtection="0">
      <alignment vertical="center"/>
    </xf>
    <xf numFmtId="164" fontId="129" fillId="0" borderId="0" applyNumberFormat="0" applyFill="0" applyBorder="0" applyAlignment="0" applyProtection="0">
      <alignment vertical="center"/>
    </xf>
    <xf numFmtId="216" fontId="88" fillId="0" borderId="0" applyFill="0" applyBorder="0" applyAlignment="0"/>
    <xf numFmtId="164" fontId="157" fillId="50" borderId="0" applyNumberFormat="0" applyBorder="0" applyAlignment="0" applyProtection="0">
      <alignment vertical="center"/>
    </xf>
    <xf numFmtId="164" fontId="191" fillId="18" borderId="0" applyNumberFormat="0" applyBorder="0" applyAlignment="0" applyProtection="0">
      <alignment vertical="center"/>
    </xf>
    <xf numFmtId="164" fontId="157" fillId="45" borderId="0" applyNumberFormat="0" applyBorder="0" applyAlignment="0" applyProtection="0">
      <alignment vertical="center"/>
    </xf>
    <xf numFmtId="164" fontId="194" fillId="4" borderId="0" applyNumberFormat="0" applyBorder="0" applyAlignment="0" applyProtection="0">
      <alignment vertical="center"/>
    </xf>
    <xf numFmtId="164" fontId="191" fillId="34"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164" fontId="123" fillId="47" borderId="0" applyNumberFormat="0" applyBorder="0" applyAlignment="0" applyProtection="0">
      <alignment vertical="center"/>
    </xf>
    <xf numFmtId="164" fontId="190" fillId="16" borderId="0" applyNumberFormat="0" applyBorder="0" applyAlignment="0" applyProtection="0">
      <alignment vertical="center"/>
    </xf>
    <xf numFmtId="164" fontId="191" fillId="26" borderId="0" applyNumberFormat="0" applyBorder="0" applyAlignment="0" applyProtection="0">
      <alignment vertical="center"/>
    </xf>
    <xf numFmtId="164" fontId="191" fillId="34" borderId="0" applyNumberFormat="0" applyBorder="0" applyAlignment="0" applyProtection="0">
      <alignment vertical="center"/>
    </xf>
    <xf numFmtId="164" fontId="190" fillId="13"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99" fillId="0" borderId="2" applyNumberFormat="0" applyFill="0" applyAlignment="0" applyProtection="0">
      <alignment vertical="center"/>
    </xf>
    <xf numFmtId="164" fontId="191" fillId="30" borderId="0" applyNumberFormat="0" applyBorder="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1" fillId="14" borderId="0" applyNumberFormat="0" applyBorder="0" applyAlignment="0" applyProtection="0">
      <alignment vertical="center"/>
    </xf>
    <xf numFmtId="164" fontId="193" fillId="0" borderId="10" applyNumberFormat="0" applyFill="0" applyAlignment="0" applyProtection="0">
      <alignment vertical="center"/>
    </xf>
    <xf numFmtId="222" fontId="51" fillId="0" borderId="0" applyFill="0" applyBorder="0" applyAlignment="0"/>
    <xf numFmtId="164" fontId="190" fillId="17" borderId="0" applyNumberFormat="0" applyBorder="0" applyAlignment="0" applyProtection="0">
      <alignment vertical="center"/>
    </xf>
    <xf numFmtId="220" fontId="51" fillId="0" borderId="0" applyFont="0" applyFill="0" applyBorder="0" applyAlignment="0" applyProtection="0"/>
    <xf numFmtId="164" fontId="190" fillId="21" borderId="0" applyNumberFormat="0" applyBorder="0" applyAlignment="0" applyProtection="0">
      <alignment vertical="center"/>
    </xf>
    <xf numFmtId="218" fontId="51" fillId="0" borderId="0" applyFill="0" applyBorder="0" applyAlignment="0"/>
    <xf numFmtId="164" fontId="123"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25" borderId="0" applyNumberFormat="0" applyBorder="0" applyAlignment="0" applyProtection="0">
      <alignment vertical="center"/>
    </xf>
    <xf numFmtId="215" fontId="51" fillId="0" borderId="0" applyFill="0" applyBorder="0" applyAlignment="0"/>
    <xf numFmtId="164" fontId="174" fillId="51" borderId="0" applyNumberFormat="0" applyBorder="0" applyAlignment="0" applyProtection="0">
      <alignment vertical="center"/>
    </xf>
    <xf numFmtId="164" fontId="174" fillId="46" borderId="0" applyNumberFormat="0" applyBorder="0" applyAlignment="0" applyProtection="0">
      <alignment vertical="center"/>
    </xf>
    <xf numFmtId="164" fontId="173" fillId="40" borderId="0" applyNumberFormat="0" applyBorder="0" applyAlignment="0" applyProtection="0">
      <alignment vertical="center"/>
    </xf>
    <xf numFmtId="164" fontId="173" fillId="36" borderId="0" applyNumberFormat="0" applyBorder="0" applyAlignment="0" applyProtection="0">
      <alignment vertical="center"/>
    </xf>
    <xf numFmtId="164" fontId="122" fillId="43" borderId="0" applyNumberFormat="0" applyBorder="0" applyAlignment="0" applyProtection="0">
      <alignment vertical="center"/>
    </xf>
    <xf numFmtId="164" fontId="135" fillId="53" borderId="20" applyNumberFormat="0" applyAlignment="0" applyProtection="0">
      <alignment vertical="center"/>
    </xf>
    <xf numFmtId="164" fontId="123" fillId="49" borderId="0" applyNumberFormat="0" applyBorder="0" applyAlignment="0" applyProtection="0">
      <alignment vertical="center"/>
    </xf>
    <xf numFmtId="164" fontId="190" fillId="32" borderId="0" applyNumberFormat="0" applyBorder="0" applyAlignment="0" applyProtection="0">
      <alignment vertical="center"/>
    </xf>
    <xf numFmtId="164" fontId="190" fillId="20" borderId="0" applyNumberFormat="0" applyBorder="0" applyAlignment="0" applyProtection="0">
      <alignment vertical="center"/>
    </xf>
    <xf numFmtId="164" fontId="194" fillId="4" borderId="0" applyNumberFormat="0" applyBorder="0" applyAlignment="0" applyProtection="0">
      <alignment vertical="center"/>
    </xf>
    <xf numFmtId="222" fontId="88" fillId="0" borderId="0" applyFill="0" applyBorder="0" applyAlignment="0"/>
    <xf numFmtId="164" fontId="190" fillId="12" borderId="0" applyNumberFormat="0" applyBorder="0" applyAlignment="0" applyProtection="0">
      <alignment vertical="center"/>
    </xf>
    <xf numFmtId="220" fontId="88" fillId="0" borderId="0" applyFont="0" applyFill="0" applyBorder="0" applyAlignment="0" applyProtection="0"/>
    <xf numFmtId="164" fontId="191" fillId="30" borderId="0" applyNumberFormat="0" applyBorder="0" applyAlignment="0" applyProtection="0">
      <alignment vertical="center"/>
    </xf>
    <xf numFmtId="217" fontId="88" fillId="0" borderId="0" applyFill="0" applyBorder="0" applyAlignment="0"/>
    <xf numFmtId="164" fontId="190" fillId="13" borderId="0" applyNumberFormat="0" applyBorder="0" applyAlignment="0" applyProtection="0">
      <alignment vertical="center"/>
    </xf>
    <xf numFmtId="164" fontId="123" fillId="44" borderId="0" applyNumberFormat="0" applyBorder="0" applyAlignment="0" applyProtection="0">
      <alignment vertical="center"/>
    </xf>
    <xf numFmtId="215" fontId="88" fillId="0" borderId="0" applyFill="0" applyBorder="0" applyAlignment="0"/>
    <xf numFmtId="164" fontId="157" fillId="49" borderId="0" applyNumberFormat="0" applyBorder="0" applyAlignment="0" applyProtection="0">
      <alignment vertical="center"/>
    </xf>
    <xf numFmtId="164" fontId="191" fillId="14" borderId="0" applyNumberFormat="0" applyBorder="0" applyAlignment="0" applyProtection="0">
      <alignment vertical="center"/>
    </xf>
    <xf numFmtId="164" fontId="157" fillId="44" borderId="0" applyNumberFormat="0" applyBorder="0" applyAlignment="0" applyProtection="0">
      <alignment vertical="center"/>
    </xf>
    <xf numFmtId="164" fontId="190" fillId="20" borderId="0" applyNumberFormat="0" applyBorder="0" applyAlignment="0" applyProtection="0">
      <alignment vertical="center"/>
    </xf>
    <xf numFmtId="164" fontId="103" fillId="0" borderId="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32" borderId="0" applyNumberFormat="0" applyBorder="0" applyAlignment="0" applyProtection="0">
      <alignment vertical="center"/>
    </xf>
    <xf numFmtId="164" fontId="137" fillId="36"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32"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28" borderId="0" applyNumberFormat="0" applyBorder="0" applyAlignment="0" applyProtection="0">
      <alignment vertical="center"/>
    </xf>
    <xf numFmtId="164" fontId="191" fillId="26"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3" fillId="0" borderId="10" applyNumberFormat="0" applyFill="0" applyAlignment="0" applyProtection="0">
      <alignment vertical="center"/>
    </xf>
    <xf numFmtId="164" fontId="123" fillId="4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34" fillId="39" borderId="11" applyNumberFormat="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22" fillId="40" borderId="0" applyNumberFormat="0" applyBorder="0" applyAlignment="0" applyProtection="0">
      <alignment vertical="center"/>
    </xf>
    <xf numFmtId="221" fontId="51" fillId="0" borderId="0" applyFill="0" applyBorder="0" applyAlignment="0"/>
    <xf numFmtId="164" fontId="190" fillId="17" borderId="0" applyNumberFormat="0" applyBorder="0" applyAlignment="0" applyProtection="0">
      <alignment vertical="center"/>
    </xf>
    <xf numFmtId="164" fontId="128" fillId="0" borderId="18" applyNumberFormat="0" applyFill="0" applyAlignment="0" applyProtection="0">
      <alignment vertical="center"/>
    </xf>
    <xf numFmtId="164" fontId="191" fillId="26" borderId="0" applyNumberFormat="0" applyBorder="0" applyAlignment="0" applyProtection="0">
      <alignment vertical="center"/>
    </xf>
    <xf numFmtId="164" fontId="124" fillId="61" borderId="0" applyNumberFormat="0" applyBorder="0" applyAlignment="0" applyProtection="0">
      <alignment vertical="center"/>
    </xf>
    <xf numFmtId="164" fontId="190" fillId="3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34" fillId="39" borderId="11" applyNumberFormat="0" applyAlignment="0" applyProtection="0">
      <alignment vertical="center"/>
    </xf>
    <xf numFmtId="164" fontId="129" fillId="0" borderId="0" applyNumberFormat="0" applyFill="0" applyBorder="0" applyAlignment="0" applyProtection="0">
      <alignment vertical="center"/>
    </xf>
    <xf numFmtId="164" fontId="190" fillId="28" borderId="0" applyNumberFormat="0" applyBorder="0" applyAlignment="0" applyProtection="0">
      <alignment vertical="center"/>
    </xf>
    <xf numFmtId="164" fontId="191" fillId="22" borderId="0" applyNumberFormat="0" applyBorder="0" applyAlignment="0" applyProtection="0">
      <alignment vertical="center"/>
    </xf>
    <xf numFmtId="221" fontId="88" fillId="0" borderId="0" applyFill="0" applyBorder="0" applyAlignment="0"/>
    <xf numFmtId="164" fontId="190" fillId="16" borderId="0" applyNumberFormat="0" applyBorder="0" applyAlignment="0" applyProtection="0">
      <alignment vertical="center"/>
    </xf>
    <xf numFmtId="216" fontId="88" fillId="0" borderId="0" applyFont="0" applyFill="0" applyBorder="0" applyAlignment="0" applyProtection="0"/>
    <xf numFmtId="164" fontId="138" fillId="0" borderId="0" applyNumberFormat="0" applyFill="0" applyBorder="0" applyAlignment="0" applyProtection="0">
      <alignment vertical="center"/>
    </xf>
    <xf numFmtId="164" fontId="190" fillId="13" borderId="0" applyNumberFormat="0" applyBorder="0" applyAlignment="0" applyProtection="0">
      <alignment vertical="center"/>
    </xf>
    <xf numFmtId="213" fontId="88" fillId="0" borderId="0" applyFont="0" applyFill="0" applyBorder="0" applyAlignment="0" applyProtection="0"/>
    <xf numFmtId="214" fontId="88"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205" fillId="5" borderId="0" applyNumberFormat="0" applyBorder="0" applyAlignment="0" applyProtection="0">
      <alignment vertical="center"/>
    </xf>
    <xf numFmtId="164" fontId="122" fillId="0" borderId="0">
      <alignment vertical="center"/>
    </xf>
    <xf numFmtId="164" fontId="103" fillId="0" borderId="0">
      <alignment vertical="center"/>
    </xf>
    <xf numFmtId="164" fontId="20" fillId="0" borderId="0"/>
    <xf numFmtId="164" fontId="20" fillId="0" borderId="0"/>
    <xf numFmtId="164" fontId="20" fillId="0" borderId="0"/>
    <xf numFmtId="164" fontId="20" fillId="0" borderId="0"/>
    <xf numFmtId="164" fontId="122" fillId="0" borderId="0">
      <alignment vertical="center"/>
    </xf>
    <xf numFmtId="164" fontId="122" fillId="0" borderId="0">
      <alignment vertical="center"/>
    </xf>
    <xf numFmtId="164" fontId="20" fillId="0" borderId="0"/>
    <xf numFmtId="164" fontId="20" fillId="0" borderId="0"/>
    <xf numFmtId="164" fontId="122" fillId="0" borderId="0">
      <alignment vertical="center"/>
    </xf>
    <xf numFmtId="164" fontId="20" fillId="0" borderId="0"/>
    <xf numFmtId="164" fontId="20" fillId="0" borderId="0"/>
    <xf numFmtId="164" fontId="20" fillId="0" borderId="0"/>
    <xf numFmtId="164" fontId="20" fillId="0" borderId="0"/>
    <xf numFmtId="164" fontId="190" fillId="0" borderId="0">
      <alignment vertical="center"/>
    </xf>
    <xf numFmtId="164" fontId="190" fillId="0" borderId="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03" fillId="0" borderId="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56" fillId="35"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03" fillId="0" borderId="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03" fillId="0" borderId="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03" fillId="0" borderId="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22" fillId="10" borderId="9" applyNumberFormat="0" applyFont="0" applyAlignment="0" applyProtection="0">
      <alignment vertical="center"/>
    </xf>
    <xf numFmtId="164" fontId="122" fillId="35" borderId="0" applyNumberFormat="0" applyBorder="0" applyAlignment="0" applyProtection="0">
      <alignment vertical="center"/>
    </xf>
    <xf numFmtId="164" fontId="190" fillId="13" borderId="0" applyNumberFormat="0" applyBorder="0" applyAlignment="0" applyProtection="0">
      <alignment vertical="center"/>
    </xf>
    <xf numFmtId="164" fontId="122" fillId="37" borderId="0" applyNumberFormat="0" applyBorder="0" applyAlignment="0" applyProtection="0">
      <alignment vertical="center"/>
    </xf>
    <xf numFmtId="164" fontId="191" fillId="22" borderId="0" applyNumberFormat="0" applyBorder="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0" fillId="25"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91" fillId="0" borderId="0">
      <alignment horizontal="center" wrapText="1"/>
      <protection locked="0"/>
    </xf>
    <xf numFmtId="164" fontId="157" fillId="52" borderId="0" applyNumberFormat="0" applyBorder="0" applyAlignment="0" applyProtection="0">
      <alignment vertical="center"/>
    </xf>
    <xf numFmtId="164" fontId="191" fillId="22"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32"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56" fillId="3"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9" borderId="0" applyNumberFormat="0" applyBorder="0" applyAlignment="0" applyProtection="0">
      <alignment vertical="center"/>
    </xf>
    <xf numFmtId="218" fontId="51" fillId="0" borderId="0" applyFill="0" applyBorder="0" applyAlignment="0"/>
    <xf numFmtId="164" fontId="190" fillId="21" borderId="0" applyNumberFormat="0" applyBorder="0" applyAlignment="0" applyProtection="0">
      <alignment vertical="center"/>
    </xf>
    <xf numFmtId="164" fontId="191" fillId="14" borderId="0" applyNumberFormat="0" applyBorder="0" applyAlignment="0" applyProtection="0">
      <alignment vertical="center"/>
    </xf>
    <xf numFmtId="164" fontId="190" fillId="33" borderId="0" applyNumberFormat="0" applyBorder="0" applyAlignment="0" applyProtection="0">
      <alignment vertical="center"/>
    </xf>
    <xf numFmtId="164" fontId="30" fillId="0" borderId="23"/>
    <xf numFmtId="164" fontId="191" fillId="26" borderId="0" applyNumberFormat="0" applyBorder="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84" fillId="0" borderId="0" applyNumberFormat="0" applyFill="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03" fillId="0" borderId="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03" fillId="0" borderId="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64" fillId="0" borderId="26" applyNumberFormat="0" applyFill="0" applyAlignment="0" applyProtection="0">
      <alignment vertical="center"/>
    </xf>
    <xf numFmtId="164" fontId="190" fillId="20" borderId="0" applyNumberFormat="0" applyBorder="0" applyAlignment="0" applyProtection="0">
      <alignment vertical="center"/>
    </xf>
    <xf numFmtId="164" fontId="90" fillId="65" borderId="27" applyNumberFormat="0" applyFont="0" applyAlignment="0" applyProtection="0"/>
    <xf numFmtId="164" fontId="63" fillId="0" borderId="21"/>
    <xf numFmtId="164" fontId="190" fillId="29" borderId="0" applyNumberFormat="0" applyBorder="0" applyAlignment="0" applyProtection="0">
      <alignment vertical="center"/>
    </xf>
    <xf numFmtId="164" fontId="97" fillId="0" borderId="23"/>
    <xf numFmtId="164" fontId="190" fillId="12" borderId="0" applyNumberFormat="0" applyBorder="0" applyAlignment="0" applyProtection="0">
      <alignment vertical="center"/>
    </xf>
    <xf numFmtId="164" fontId="156" fillId="65" borderId="27" applyNumberFormat="0" applyFont="0" applyAlignment="0" applyProtection="0">
      <alignment vertical="center"/>
    </xf>
    <xf numFmtId="164" fontId="190" fillId="13"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66" fillId="39" borderId="11" applyNumberFormat="0" applyAlignment="0" applyProtection="0">
      <alignment vertical="center"/>
    </xf>
    <xf numFmtId="164" fontId="125" fillId="0" borderId="28" applyNumberFormat="0" applyFill="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90" fillId="25"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13" borderId="0" applyNumberFormat="0" applyBorder="0" applyAlignment="0" applyProtection="0">
      <alignment vertical="center"/>
    </xf>
    <xf numFmtId="164" fontId="137" fillId="36" borderId="0" applyNumberFormat="0" applyBorder="0" applyAlignment="0" applyProtection="0">
      <alignment vertical="center"/>
    </xf>
    <xf numFmtId="164" fontId="205" fillId="5" borderId="0" applyNumberFormat="0" applyBorder="0" applyAlignment="0" applyProtection="0">
      <alignment vertical="center"/>
    </xf>
    <xf numFmtId="164" fontId="190" fillId="24" borderId="0" applyNumberFormat="0" applyBorder="0" applyAlignment="0" applyProtection="0">
      <alignment vertical="center"/>
    </xf>
    <xf numFmtId="164" fontId="190" fillId="32"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90" fillId="20" borderId="0" applyNumberFormat="0" applyBorder="0" applyAlignment="0" applyProtection="0">
      <alignment vertical="center"/>
    </xf>
    <xf numFmtId="164" fontId="191" fillId="22"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1" fillId="3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1" fillId="34" borderId="0" applyNumberFormat="0" applyBorder="0" applyAlignment="0" applyProtection="0">
      <alignment vertical="center"/>
    </xf>
    <xf numFmtId="164" fontId="190" fillId="17" borderId="0" applyNumberFormat="0" applyBorder="0" applyAlignment="0" applyProtection="0">
      <alignment vertical="center"/>
    </xf>
    <xf numFmtId="164" fontId="191" fillId="26" borderId="0" applyNumberFormat="0" applyBorder="0" applyAlignment="0" applyProtection="0">
      <alignment vertical="center"/>
    </xf>
    <xf numFmtId="164" fontId="157" fillId="49" borderId="0" applyNumberFormat="0" applyBorder="0" applyAlignment="0" applyProtection="0">
      <alignment vertical="center"/>
    </xf>
    <xf numFmtId="164" fontId="190" fillId="20" borderId="0" applyNumberFormat="0" applyBorder="0" applyAlignment="0" applyProtection="0">
      <alignment vertical="center"/>
    </xf>
    <xf numFmtId="164" fontId="190" fillId="25"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56" fillId="38"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8" borderId="0" applyNumberFormat="0" applyBorder="0" applyAlignment="0" applyProtection="0">
      <alignment vertical="center"/>
    </xf>
    <xf numFmtId="218" fontId="51" fillId="0" borderId="0" applyFill="0" applyBorder="0" applyAlignment="0"/>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164" fontId="157" fillId="47" borderId="0" applyNumberFormat="0" applyBorder="0" applyAlignment="0" applyProtection="0">
      <alignment vertical="center"/>
    </xf>
    <xf numFmtId="164" fontId="191" fillId="18" borderId="0" applyNumberFormat="0" applyBorder="0" applyAlignment="0" applyProtection="0">
      <alignment vertical="center"/>
    </xf>
    <xf numFmtId="164" fontId="128" fillId="0" borderId="18" applyNumberFormat="0" applyFill="0" applyAlignment="0" applyProtection="0">
      <alignment vertical="center"/>
    </xf>
    <xf numFmtId="164" fontId="199" fillId="0" borderId="2" applyNumberFormat="0" applyFill="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1" fillId="26"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65"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92" fillId="6" borderId="0" applyNumberFormat="0" applyBorder="0" applyAlignment="0" applyProtection="0">
      <alignment vertical="center"/>
    </xf>
    <xf numFmtId="164" fontId="63" fillId="0" borderId="21"/>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22" fillId="37" borderId="0" applyNumberFormat="0" applyBorder="0" applyAlignment="0" applyProtection="0">
      <alignment vertical="center"/>
    </xf>
    <xf numFmtId="14" fontId="91" fillId="0" borderId="0">
      <alignment horizontal="center" wrapText="1"/>
      <protection locked="0"/>
    </xf>
    <xf numFmtId="164" fontId="190" fillId="20"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200" fontId="88" fillId="57" borderId="0"/>
    <xf numFmtId="164" fontId="125" fillId="0" borderId="28" applyNumberFormat="0" applyFill="0" applyAlignment="0" applyProtection="0">
      <alignment vertical="center"/>
    </xf>
    <xf numFmtId="164" fontId="162" fillId="3" borderId="0" applyNumberFormat="0" applyBorder="0" applyAlignment="0" applyProtection="0">
      <alignment vertical="center"/>
    </xf>
    <xf numFmtId="164" fontId="190" fillId="29" borderId="0" applyNumberFormat="0" applyBorder="0" applyAlignment="0" applyProtection="0">
      <alignment vertical="center"/>
    </xf>
    <xf numFmtId="213" fontId="88"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22" fillId="39"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56" fillId="39"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12" fontId="88" fillId="0" borderId="0" applyFill="0" applyBorder="0" applyAlignment="0"/>
    <xf numFmtId="164" fontId="136" fillId="54" borderId="12" applyNumberFormat="0" applyAlignment="0" applyProtection="0">
      <alignment vertical="center"/>
    </xf>
    <xf numFmtId="164" fontId="161" fillId="0" borderId="0" applyNumberFormat="0" applyFill="0" applyBorder="0" applyAlignment="0" applyProtection="0">
      <alignment vertical="center"/>
    </xf>
    <xf numFmtId="164" fontId="122" fillId="10" borderId="9" applyNumberFormat="0" applyFont="0" applyAlignment="0" applyProtection="0">
      <alignment vertical="center"/>
    </xf>
    <xf numFmtId="164" fontId="190" fillId="24" borderId="0" applyNumberFormat="0" applyBorder="0" applyAlignment="0" applyProtection="0">
      <alignment vertical="center"/>
    </xf>
    <xf numFmtId="164" fontId="169" fillId="53" borderId="20" applyNumberFormat="0" applyAlignment="0" applyProtection="0">
      <alignment vertical="center"/>
    </xf>
    <xf numFmtId="164" fontId="190" fillId="16" borderId="0" applyNumberFormat="0" applyBorder="0" applyAlignment="0" applyProtection="0">
      <alignment vertical="center"/>
    </xf>
    <xf numFmtId="164" fontId="190" fillId="12" borderId="0" applyNumberFormat="0" applyBorder="0" applyAlignment="0" applyProtection="0">
      <alignment vertical="center"/>
    </xf>
    <xf numFmtId="164" fontId="172" fillId="0" borderId="0" applyNumberFormat="0" applyFill="0" applyBorder="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65" fillId="0" borderId="15" applyNumberFormat="0" applyFill="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03" fillId="0" borderId="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91" fillId="18" borderId="0" applyNumberFormat="0" applyBorder="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4" fillId="4" borderId="0" applyNumberFormat="0" applyBorder="0" applyAlignment="0" applyProtection="0">
      <alignment vertical="center"/>
    </xf>
    <xf numFmtId="164" fontId="128" fillId="0" borderId="18" applyNumberFormat="0" applyFill="0" applyAlignment="0" applyProtection="0">
      <alignment vertical="center"/>
    </xf>
    <xf numFmtId="164" fontId="191" fillId="22" borderId="0" applyNumberFormat="0" applyBorder="0" applyAlignment="0" applyProtection="0">
      <alignment vertical="center"/>
    </xf>
    <xf numFmtId="164" fontId="191" fillId="14"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221" fontId="51" fillId="0" borderId="0" applyFill="0" applyBorder="0" applyAlignment="0"/>
    <xf numFmtId="164" fontId="193" fillId="0" borderId="10" applyNumberFormat="0" applyFill="0" applyAlignment="0" applyProtection="0">
      <alignment vertical="center"/>
    </xf>
    <xf numFmtId="164" fontId="134" fillId="39" borderId="11" applyNumberFormat="0" applyAlignment="0" applyProtection="0">
      <alignment vertical="center"/>
    </xf>
    <xf numFmtId="164" fontId="30" fillId="0" borderId="23"/>
    <xf numFmtId="164" fontId="63" fillId="0" borderId="21"/>
    <xf numFmtId="164" fontId="156" fillId="37"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90" fillId="32" borderId="0" applyNumberFormat="0" applyBorder="0" applyAlignment="0" applyProtection="0">
      <alignment vertical="center"/>
    </xf>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91" fillId="14" borderId="0" applyNumberFormat="0" applyBorder="0" applyAlignment="0" applyProtection="0">
      <alignment vertical="center"/>
    </xf>
    <xf numFmtId="164" fontId="190" fillId="28" borderId="0" applyNumberFormat="0" applyBorder="0" applyAlignment="0" applyProtection="0">
      <alignment vertical="center"/>
    </xf>
    <xf numFmtId="164" fontId="190" fillId="13"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90" fillId="25"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91" fillId="22" borderId="0" applyNumberFormat="0" applyBorder="0" applyAlignment="0" applyProtection="0">
      <alignment vertical="center"/>
    </xf>
    <xf numFmtId="164" fontId="191" fillId="34" borderId="0" applyNumberFormat="0" applyBorder="0" applyAlignment="0" applyProtection="0">
      <alignment vertical="center"/>
    </xf>
    <xf numFmtId="164" fontId="190" fillId="13"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03" fillId="0" borderId="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03" fillId="0" borderId="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03" fillId="0" borderId="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0" fillId="24" borderId="0" applyNumberFormat="0" applyBorder="0" applyAlignment="0" applyProtection="0">
      <alignment vertical="center"/>
    </xf>
    <xf numFmtId="164" fontId="190" fillId="17" borderId="0" applyNumberFormat="0" applyBorder="0" applyAlignment="0" applyProtection="0">
      <alignment vertical="center"/>
    </xf>
    <xf numFmtId="164" fontId="137" fillId="36" borderId="0" applyNumberFormat="0" applyBorder="0" applyAlignment="0" applyProtection="0">
      <alignment vertical="center"/>
    </xf>
    <xf numFmtId="164" fontId="190" fillId="17"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0" fillId="29" borderId="0" applyNumberFormat="0" applyBorder="0" applyAlignment="0" applyProtection="0">
      <alignment vertical="center"/>
    </xf>
    <xf numFmtId="164" fontId="190" fillId="13" borderId="0" applyNumberFormat="0" applyBorder="0" applyAlignment="0" applyProtection="0">
      <alignment vertical="center"/>
    </xf>
    <xf numFmtId="164" fontId="137" fillId="36"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56" fillId="36"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91" fillId="22" borderId="0" applyNumberFormat="0" applyBorder="0" applyAlignment="0" applyProtection="0">
      <alignment vertical="center"/>
    </xf>
    <xf numFmtId="164" fontId="122" fillId="36" borderId="0" applyNumberFormat="0" applyBorder="0" applyAlignment="0" applyProtection="0">
      <alignment vertical="center"/>
    </xf>
    <xf numFmtId="164" fontId="192" fillId="6" borderId="0" applyNumberFormat="0" applyBorder="0" applyAlignment="0" applyProtection="0">
      <alignment vertical="center"/>
    </xf>
    <xf numFmtId="164" fontId="190" fillId="28" borderId="0" applyNumberFormat="0" applyBorder="0" applyAlignment="0" applyProtection="0">
      <alignment vertical="center"/>
    </xf>
    <xf numFmtId="164" fontId="190" fillId="29"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4" fillId="4" borderId="0" applyNumberFormat="0" applyBorder="0" applyAlignment="0" applyProtection="0">
      <alignment vertical="center"/>
    </xf>
    <xf numFmtId="164" fontId="190" fillId="29" borderId="0" applyNumberFormat="0" applyBorder="0" applyAlignment="0" applyProtection="0">
      <alignment vertical="center"/>
    </xf>
    <xf numFmtId="164" fontId="194" fillId="4" borderId="0" applyNumberFormat="0" applyBorder="0" applyAlignment="0" applyProtection="0">
      <alignment vertical="center"/>
    </xf>
    <xf numFmtId="164" fontId="199" fillId="0" borderId="2" applyNumberFormat="0" applyFill="0" applyAlignment="0" applyProtection="0">
      <alignment vertical="center"/>
    </xf>
    <xf numFmtId="164" fontId="192" fillId="6"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13"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33" borderId="0" applyNumberFormat="0" applyBorder="0" applyAlignment="0" applyProtection="0">
      <alignment vertical="center"/>
    </xf>
    <xf numFmtId="164" fontId="190" fillId="24"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57" fillId="52" borderId="0" applyNumberFormat="0" applyBorder="0" applyAlignment="0" applyProtection="0">
      <alignment vertical="center"/>
    </xf>
    <xf numFmtId="164" fontId="123" fillId="41" borderId="0" applyNumberFormat="0" applyBorder="0" applyAlignment="0" applyProtection="0">
      <alignment vertical="center"/>
    </xf>
    <xf numFmtId="164" fontId="157" fillId="42" borderId="0" applyNumberFormat="0" applyBorder="0" applyAlignment="0" applyProtection="0">
      <alignment vertical="center"/>
    </xf>
    <xf numFmtId="164" fontId="122" fillId="41"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22" fillId="36" borderId="0" applyNumberFormat="0" applyBorder="0" applyAlignment="0" applyProtection="0">
      <alignment vertical="center"/>
    </xf>
    <xf numFmtId="164" fontId="190" fillId="12" borderId="0" applyNumberFormat="0" applyBorder="0" applyAlignment="0" applyProtection="0">
      <alignment vertical="center"/>
    </xf>
    <xf numFmtId="164" fontId="190" fillId="20" borderId="0" applyNumberFormat="0" applyBorder="0" applyAlignment="0" applyProtection="0">
      <alignment vertical="center"/>
    </xf>
    <xf numFmtId="164" fontId="190" fillId="32" borderId="0" applyNumberFormat="0" applyBorder="0" applyAlignment="0" applyProtection="0">
      <alignment vertical="center"/>
    </xf>
    <xf numFmtId="164" fontId="194" fillId="4"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37" borderId="0" applyNumberFormat="0" applyBorder="0" applyAlignment="0" applyProtection="0">
      <alignment vertical="center"/>
    </xf>
    <xf numFmtId="164" fontId="190" fillId="16"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190" fillId="21"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4" fillId="4"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90" fillId="16"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205" fillId="5" borderId="0" applyNumberFormat="0" applyBorder="0" applyAlignment="0" applyProtection="0">
      <alignment vertical="center"/>
    </xf>
    <xf numFmtId="164" fontId="122" fillId="43" borderId="0" applyNumberFormat="0" applyBorder="0" applyAlignment="0" applyProtection="0">
      <alignment vertical="center"/>
    </xf>
    <xf numFmtId="164" fontId="157" fillId="44" borderId="0" applyNumberFormat="0" applyBorder="0" applyAlignment="0" applyProtection="0">
      <alignment vertical="center"/>
    </xf>
    <xf numFmtId="164" fontId="157" fillId="41" borderId="0" applyNumberFormat="0" applyBorder="0" applyAlignment="0" applyProtection="0">
      <alignment vertical="center"/>
    </xf>
    <xf numFmtId="164" fontId="157" fillId="42"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47" borderId="0" applyNumberFormat="0" applyBorder="0" applyAlignment="0" applyProtection="0">
      <alignment vertical="center"/>
    </xf>
    <xf numFmtId="164" fontId="190" fillId="16"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205" fillId="5"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90" fillId="16"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57" fillId="49" borderId="0" applyNumberFormat="0" applyBorder="0" applyAlignment="0" applyProtection="0">
      <alignment vertical="center"/>
    </xf>
    <xf numFmtId="164" fontId="205" fillId="5" borderId="0" applyNumberFormat="0" applyBorder="0" applyAlignment="0" applyProtection="0">
      <alignment vertical="center"/>
    </xf>
    <xf numFmtId="164" fontId="157" fillId="50" borderId="0" applyNumberFormat="0" applyBorder="0" applyAlignment="0" applyProtection="0">
      <alignment vertical="center"/>
    </xf>
    <xf numFmtId="164" fontId="157" fillId="51" borderId="0" applyNumberFormat="0" applyBorder="0" applyAlignment="0" applyProtection="0">
      <alignment vertical="center"/>
    </xf>
    <xf numFmtId="164" fontId="157" fillId="45" borderId="0" applyNumberFormat="0" applyBorder="0" applyAlignment="0" applyProtection="0">
      <alignment vertical="center"/>
    </xf>
    <xf numFmtId="164" fontId="157" fillId="46" borderId="0" applyNumberFormat="0" applyBorder="0" applyAlignment="0" applyProtection="0">
      <alignment vertical="center"/>
    </xf>
    <xf numFmtId="164" fontId="157" fillId="52" borderId="0" applyNumberFormat="0" applyBorder="0" applyAlignment="0" applyProtection="0">
      <alignment vertical="center"/>
    </xf>
    <xf numFmtId="164" fontId="190" fillId="16" borderId="0" applyNumberFormat="0" applyBorder="0" applyAlignment="0" applyProtection="0">
      <alignment vertical="center"/>
    </xf>
    <xf numFmtId="164" fontId="91" fillId="0" borderId="0">
      <alignment horizontal="center" wrapText="1"/>
      <protection locked="0"/>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3" fillId="0" borderId="10"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3" fillId="0" borderId="10" applyNumberFormat="0" applyFill="0" applyAlignment="0" applyProtection="0">
      <alignment vertical="center"/>
    </xf>
    <xf numFmtId="164" fontId="191" fillId="30"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23" fillId="44"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8" borderId="0" applyNumberFormat="0" applyBorder="0" applyAlignment="0" applyProtection="0">
      <alignment vertical="center"/>
    </xf>
    <xf numFmtId="164" fontId="199" fillId="0" borderId="2" applyNumberFormat="0" applyFill="0" applyAlignment="0" applyProtection="0">
      <alignment vertical="center"/>
    </xf>
    <xf numFmtId="164" fontId="192" fillId="6" borderId="0" applyNumberFormat="0" applyBorder="0" applyAlignment="0" applyProtection="0">
      <alignment vertical="center"/>
    </xf>
    <xf numFmtId="164" fontId="138" fillId="0" borderId="0" applyNumberFormat="0" applyFill="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93" fillId="0" borderId="10" applyNumberFormat="0" applyFill="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20"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205" fillId="5"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190" fillId="24" borderId="0" applyNumberFormat="0" applyBorder="0" applyAlignment="0" applyProtection="0">
      <alignment vertical="center"/>
    </xf>
    <xf numFmtId="164" fontId="190" fillId="21"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0" fillId="28"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1" fillId="30"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91" fillId="3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3" fillId="47" borderId="0" applyNumberFormat="0" applyBorder="0" applyAlignment="0" applyProtection="0">
      <alignment vertical="center"/>
    </xf>
    <xf numFmtId="164" fontId="190" fillId="13" borderId="0" applyNumberFormat="0" applyBorder="0" applyAlignment="0" applyProtection="0">
      <alignment vertical="center"/>
    </xf>
    <xf numFmtId="164" fontId="122" fillId="10" borderId="9" applyNumberFormat="0" applyFon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164" fontId="190" fillId="33" borderId="0" applyNumberFormat="0" applyBorder="0" applyAlignment="0" applyProtection="0">
      <alignment vertical="center"/>
    </xf>
    <xf numFmtId="164" fontId="191" fillId="26" borderId="0" applyNumberFormat="0" applyBorder="0" applyAlignment="0" applyProtection="0">
      <alignment vertical="center"/>
    </xf>
    <xf numFmtId="164" fontId="122" fillId="41"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9" fillId="0" borderId="2" applyNumberFormat="0" applyFill="0" applyAlignment="0" applyProtection="0">
      <alignment vertical="center"/>
    </xf>
    <xf numFmtId="164" fontId="122" fillId="10" borderId="9" applyNumberFormat="0" applyFont="0" applyAlignment="0" applyProtection="0">
      <alignment vertical="center"/>
    </xf>
    <xf numFmtId="164" fontId="199" fillId="0" borderId="2" applyNumberFormat="0" applyFill="0" applyAlignment="0" applyProtection="0">
      <alignment vertical="center"/>
    </xf>
    <xf numFmtId="164" fontId="190" fillId="28" borderId="0" applyNumberFormat="0" applyBorder="0" applyAlignment="0" applyProtection="0">
      <alignment vertical="center"/>
    </xf>
    <xf numFmtId="164" fontId="122" fillId="35"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2" fillId="6"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32" borderId="0" applyNumberFormat="0" applyBorder="0" applyAlignment="0" applyProtection="0">
      <alignment vertical="center"/>
    </xf>
    <xf numFmtId="164" fontId="192" fillId="6" borderId="0" applyNumberFormat="0" applyBorder="0" applyAlignment="0" applyProtection="0">
      <alignment vertical="center"/>
    </xf>
    <xf numFmtId="164" fontId="193" fillId="0" borderId="10" applyNumberFormat="0" applyFill="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91" fillId="0" borderId="0">
      <alignment horizontal="center" wrapText="1"/>
      <protection locked="0"/>
    </xf>
    <xf numFmtId="164" fontId="190" fillId="13" borderId="0" applyNumberFormat="0" applyBorder="0" applyAlignment="0" applyProtection="0">
      <alignment vertical="center"/>
    </xf>
    <xf numFmtId="164" fontId="123" fillId="52"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90" fillId="13" borderId="0" applyNumberFormat="0" applyBorder="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90" fillId="24" borderId="0" applyNumberFormat="0" applyBorder="0" applyAlignment="0" applyProtection="0">
      <alignment vertical="center"/>
    </xf>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3" borderId="0" applyNumberFormat="0" applyBorder="0" applyAlignment="0" applyProtection="0">
      <alignment vertical="center"/>
    </xf>
    <xf numFmtId="164" fontId="122" fillId="40" borderId="0" applyNumberFormat="0" applyBorder="0" applyAlignment="0" applyProtection="0">
      <alignment vertical="center"/>
    </xf>
    <xf numFmtId="164" fontId="123" fillId="44" borderId="0" applyNumberFormat="0" applyBorder="0" applyAlignment="0" applyProtection="0">
      <alignment vertical="center"/>
    </xf>
    <xf numFmtId="164" fontId="157" fillId="46"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93" fillId="0" borderId="10" applyNumberFormat="0" applyFill="0" applyAlignment="0" applyProtection="0">
      <alignment vertical="center"/>
    </xf>
    <xf numFmtId="164" fontId="124" fillId="61" borderId="0" applyNumberFormat="0" applyBorder="0" applyAlignment="0" applyProtection="0">
      <alignment vertical="center"/>
    </xf>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9" fillId="0" borderId="2" applyNumberFormat="0" applyFill="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34" fillId="39" borderId="11" applyNumberFormat="0" applyAlignment="0" applyProtection="0">
      <alignment vertical="center"/>
    </xf>
    <xf numFmtId="164" fontId="126" fillId="3" borderId="0" applyNumberFormat="0" applyBorder="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34" fillId="39" borderId="11" applyNumberFormat="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90" fillId="17" borderId="0" applyNumberFormat="0" applyBorder="0" applyAlignment="0" applyProtection="0">
      <alignment vertical="center"/>
    </xf>
    <xf numFmtId="164" fontId="123" fillId="46"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90" fillId="29"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17"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0" fillId="21"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21"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21"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1" fillId="22"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29"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6" borderId="0" applyNumberFormat="0" applyBorder="0" applyAlignment="0" applyProtection="0">
      <alignment vertical="center"/>
    </xf>
    <xf numFmtId="164" fontId="191" fillId="30"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0" fillId="29"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91" fillId="30"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90" fillId="29" borderId="0" applyNumberFormat="0" applyBorder="0" applyAlignment="0" applyProtection="0">
      <alignment vertical="center"/>
    </xf>
    <xf numFmtId="164" fontId="123" fillId="47"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0" fillId="33"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6"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6"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91" fillId="30"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30" borderId="0" applyNumberFormat="0" applyBorder="0" applyAlignment="0" applyProtection="0">
      <alignment vertical="center"/>
    </xf>
    <xf numFmtId="164" fontId="191" fillId="26"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1" fillId="22" borderId="0" applyNumberFormat="0" applyBorder="0" applyAlignment="0" applyProtection="0">
      <alignment vertical="center"/>
    </xf>
    <xf numFmtId="164" fontId="191" fillId="30"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9"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0" fillId="29"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34" fillId="39" borderId="11" applyNumberFormat="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34" fillId="39" borderId="11" applyNumberFormat="0" applyAlignment="0" applyProtection="0">
      <alignment vertical="center"/>
    </xf>
    <xf numFmtId="164" fontId="190" fillId="29" borderId="0" applyNumberFormat="0" applyBorder="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9" fillId="0" borderId="2" applyNumberFormat="0" applyFill="0" applyAlignment="0" applyProtection="0">
      <alignment vertical="center"/>
    </xf>
    <xf numFmtId="164" fontId="190" fillId="13" borderId="0" applyNumberFormat="0" applyBorder="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164" fontId="124" fillId="61" borderId="0" applyNumberFormat="0" applyBorder="0" applyAlignment="0" applyProtection="0">
      <alignment vertical="center"/>
    </xf>
    <xf numFmtId="164" fontId="193" fillId="0" borderId="10" applyNumberFormat="0" applyFill="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6" borderId="0" applyNumberFormat="0" applyBorder="0" applyAlignment="0" applyProtection="0">
      <alignment vertical="center"/>
    </xf>
    <xf numFmtId="164" fontId="123" fillId="44" borderId="0" applyNumberFormat="0" applyBorder="0" applyAlignment="0" applyProtection="0">
      <alignment vertical="center"/>
    </xf>
    <xf numFmtId="164" fontId="122" fillId="40" borderId="0" applyNumberFormat="0" applyBorder="0" applyAlignment="0" applyProtection="0">
      <alignment vertical="center"/>
    </xf>
    <xf numFmtId="164" fontId="190" fillId="16"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190" fillId="12" borderId="0" applyNumberFormat="0" applyBorder="0" applyAlignment="0" applyProtection="0">
      <alignment vertical="center"/>
    </xf>
    <xf numFmtId="164" fontId="122" fillId="35" borderId="0" applyNumberFormat="0" applyBorder="0" applyAlignment="0" applyProtection="0">
      <alignment vertical="center"/>
    </xf>
    <xf numFmtId="164" fontId="192" fillId="6" borderId="0" applyNumberFormat="0" applyBorder="0" applyAlignment="0" applyProtection="0">
      <alignment vertical="center"/>
    </xf>
    <xf numFmtId="164" fontId="190" fillId="24"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0" fillId="20" borderId="0" applyNumberFormat="0" applyBorder="0" applyAlignment="0" applyProtection="0">
      <alignment vertical="center"/>
    </xf>
    <xf numFmtId="164" fontId="123" fillId="52" borderId="0" applyNumberFormat="0" applyBorder="0" applyAlignment="0" applyProtection="0">
      <alignment vertical="center"/>
    </xf>
    <xf numFmtId="164" fontId="190" fillId="13" borderId="0" applyNumberFormat="0" applyBorder="0" applyAlignment="0" applyProtection="0">
      <alignment vertical="center"/>
    </xf>
    <xf numFmtId="164" fontId="123" fillId="52" borderId="0" applyNumberFormat="0" applyBorder="0" applyAlignment="0" applyProtection="0">
      <alignment vertical="center"/>
    </xf>
    <xf numFmtId="164" fontId="91" fillId="0" borderId="0">
      <alignment horizontal="center" wrapText="1"/>
      <protection locked="0"/>
    </xf>
    <xf numFmtId="164" fontId="194" fillId="4"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4" fillId="4" borderId="0" applyNumberFormat="0" applyBorder="0" applyAlignment="0" applyProtection="0">
      <alignment vertical="center"/>
    </xf>
    <xf numFmtId="164" fontId="191" fillId="34"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22" fillId="40" borderId="0" applyNumberFormat="0" applyBorder="0" applyAlignment="0" applyProtection="0">
      <alignment vertical="center"/>
    </xf>
    <xf numFmtId="164" fontId="190" fillId="17"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22" borderId="0" applyNumberFormat="0" applyBorder="0" applyAlignment="0" applyProtection="0">
      <alignment vertical="center"/>
    </xf>
    <xf numFmtId="164" fontId="191" fillId="14"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57" fillId="47" borderId="0" applyNumberFormat="0" applyBorder="0" applyAlignment="0" applyProtection="0">
      <alignment vertical="center"/>
    </xf>
    <xf numFmtId="164" fontId="190" fillId="16" borderId="0" applyNumberFormat="0" applyBorder="0" applyAlignment="0" applyProtection="0">
      <alignment vertical="center"/>
    </xf>
    <xf numFmtId="164" fontId="91" fillId="0" borderId="0">
      <alignment horizontal="center" wrapText="1"/>
      <protection locked="0"/>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23" fillId="47" borderId="0" applyNumberFormat="0" applyBorder="0" applyAlignment="0" applyProtection="0">
      <alignment vertical="center"/>
    </xf>
    <xf numFmtId="164" fontId="123" fillId="47" borderId="0" applyNumberFormat="0" applyBorder="0" applyAlignment="0" applyProtection="0">
      <alignment vertical="center"/>
    </xf>
    <xf numFmtId="164" fontId="190" fillId="33" borderId="0" applyNumberFormat="0" applyBorder="0" applyAlignment="0" applyProtection="0">
      <alignment vertical="center"/>
    </xf>
    <xf numFmtId="164" fontId="192" fillId="6"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205" fillId="5" borderId="0" applyNumberFormat="0" applyBorder="0" applyAlignment="0" applyProtection="0">
      <alignment vertical="center"/>
    </xf>
    <xf numFmtId="164" fontId="190" fillId="13"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13" borderId="0" applyNumberFormat="0" applyBorder="0" applyAlignment="0" applyProtection="0">
      <alignment vertical="center"/>
    </xf>
    <xf numFmtId="164" fontId="193" fillId="0" borderId="10" applyNumberFormat="0" applyFill="0" applyAlignment="0" applyProtection="0">
      <alignment vertical="center"/>
    </xf>
    <xf numFmtId="164" fontId="192" fillId="6"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2" fillId="6"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5"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91" fillId="34" borderId="0" applyNumberFormat="0" applyBorder="0" applyAlignment="0" applyProtection="0">
      <alignment vertical="center"/>
    </xf>
    <xf numFmtId="164" fontId="122" fillId="10" borderId="9" applyNumberFormat="0" applyFont="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2" fillId="6" borderId="0" applyNumberFormat="0" applyBorder="0" applyAlignment="0" applyProtection="0">
      <alignment vertical="center"/>
    </xf>
    <xf numFmtId="164" fontId="190" fillId="28"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164" fontId="122" fillId="10" borderId="9" applyNumberFormat="0" applyFont="0" applyAlignment="0" applyProtection="0">
      <alignment vertical="center"/>
    </xf>
    <xf numFmtId="164" fontId="199" fillId="0" borderId="2" applyNumberFormat="0" applyFill="0" applyAlignment="0" applyProtection="0">
      <alignment vertical="center"/>
    </xf>
    <xf numFmtId="164" fontId="190" fillId="28" borderId="0" applyNumberFormat="0" applyBorder="0" applyAlignment="0" applyProtection="0">
      <alignment vertical="center"/>
    </xf>
    <xf numFmtId="164" fontId="190" fillId="24" borderId="0" applyNumberFormat="0" applyBorder="0" applyAlignment="0" applyProtection="0">
      <alignment vertical="center"/>
    </xf>
    <xf numFmtId="164" fontId="122" fillId="41" borderId="0" applyNumberFormat="0" applyBorder="0" applyAlignment="0" applyProtection="0">
      <alignment vertical="center"/>
    </xf>
    <xf numFmtId="164" fontId="191" fillId="26" borderId="0" applyNumberFormat="0" applyBorder="0" applyAlignment="0" applyProtection="0">
      <alignment vertical="center"/>
    </xf>
    <xf numFmtId="164" fontId="190" fillId="33"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22" fillId="10" borderId="9" applyNumberFormat="0" applyFont="0" applyAlignment="0" applyProtection="0">
      <alignment vertical="center"/>
    </xf>
    <xf numFmtId="164" fontId="190" fillId="13" borderId="0" applyNumberFormat="0" applyBorder="0" applyAlignment="0" applyProtection="0">
      <alignment vertical="center"/>
    </xf>
    <xf numFmtId="164" fontId="123" fillId="47"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1" fillId="34"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1" fillId="30"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0" fillId="28"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4" fillId="4"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3" fillId="0" borderId="10" applyNumberFormat="0" applyFill="0" applyAlignment="0" applyProtection="0">
      <alignment vertical="center"/>
    </xf>
    <xf numFmtId="164" fontId="190" fillId="13" borderId="0" applyNumberFormat="0" applyBorder="0" applyAlignment="0" applyProtection="0">
      <alignment vertical="center"/>
    </xf>
    <xf numFmtId="164" fontId="193" fillId="0" borderId="10" applyNumberFormat="0" applyFill="0" applyAlignment="0" applyProtection="0">
      <alignment vertical="center"/>
    </xf>
    <xf numFmtId="164" fontId="138"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9" fillId="0" borderId="2" applyNumberFormat="0" applyFill="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23" fillId="44"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1" fillId="30" borderId="0" applyNumberFormat="0" applyBorder="0" applyAlignment="0" applyProtection="0">
      <alignment vertical="center"/>
    </xf>
    <xf numFmtId="164" fontId="193" fillId="0" borderId="10" applyNumberFormat="0" applyFill="0" applyAlignment="0" applyProtection="0">
      <alignment vertical="center"/>
    </xf>
    <xf numFmtId="164" fontId="191" fillId="26" borderId="0" applyNumberFormat="0" applyBorder="0" applyAlignment="0" applyProtection="0">
      <alignment vertical="center"/>
    </xf>
    <xf numFmtId="164" fontId="190" fillId="12"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91" fillId="0" borderId="0">
      <alignment horizontal="center" wrapText="1"/>
      <protection locked="0"/>
    </xf>
    <xf numFmtId="164" fontId="157" fillId="52" borderId="0" applyNumberFormat="0" applyBorder="0" applyAlignment="0" applyProtection="0">
      <alignment vertical="center"/>
    </xf>
    <xf numFmtId="164" fontId="157" fillId="46" borderId="0" applyNumberFormat="0" applyBorder="0" applyAlignment="0" applyProtection="0">
      <alignment vertical="center"/>
    </xf>
    <xf numFmtId="164" fontId="157" fillId="45" borderId="0" applyNumberFormat="0" applyBorder="0" applyAlignment="0" applyProtection="0">
      <alignment vertical="center"/>
    </xf>
    <xf numFmtId="164" fontId="157" fillId="51" borderId="0" applyNumberFormat="0" applyBorder="0" applyAlignment="0" applyProtection="0">
      <alignment vertical="center"/>
    </xf>
    <xf numFmtId="164" fontId="157" fillId="50" borderId="0" applyNumberFormat="0" applyBorder="0" applyAlignment="0" applyProtection="0">
      <alignment vertical="center"/>
    </xf>
    <xf numFmtId="164" fontId="205" fillId="5" borderId="0" applyNumberFormat="0" applyBorder="0" applyAlignment="0" applyProtection="0">
      <alignment vertical="center"/>
    </xf>
    <xf numFmtId="164" fontId="157" fillId="49"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91" fillId="18"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205" fillId="5" borderId="0" applyNumberFormat="0" applyBorder="0" applyAlignment="0" applyProtection="0">
      <alignment vertical="center"/>
    </xf>
    <xf numFmtId="164" fontId="191" fillId="14"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57" fillId="47" borderId="0" applyNumberFormat="0" applyBorder="0" applyAlignment="0" applyProtection="0">
      <alignment vertical="center"/>
    </xf>
    <xf numFmtId="164" fontId="157" fillId="46" borderId="0" applyNumberFormat="0" applyBorder="0" applyAlignment="0" applyProtection="0">
      <alignment vertical="center"/>
    </xf>
    <xf numFmtId="164" fontId="157" fillId="45" borderId="0" applyNumberFormat="0" applyBorder="0" applyAlignment="0" applyProtection="0">
      <alignment vertical="center"/>
    </xf>
    <xf numFmtId="164" fontId="157" fillId="42" borderId="0" applyNumberFormat="0" applyBorder="0" applyAlignment="0" applyProtection="0">
      <alignment vertical="center"/>
    </xf>
    <xf numFmtId="164" fontId="157" fillId="41" borderId="0" applyNumberFormat="0" applyBorder="0" applyAlignment="0" applyProtection="0">
      <alignment vertical="center"/>
    </xf>
    <xf numFmtId="164" fontId="157" fillId="44" borderId="0" applyNumberFormat="0" applyBorder="0" applyAlignment="0" applyProtection="0">
      <alignment vertical="center"/>
    </xf>
    <xf numFmtId="164" fontId="122" fillId="43" borderId="0" applyNumberFormat="0" applyBorder="0" applyAlignment="0" applyProtection="0">
      <alignment vertical="center"/>
    </xf>
    <xf numFmtId="164" fontId="205" fillId="5"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4" fillId="4"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56" fillId="43"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37" borderId="0" applyNumberFormat="0" applyBorder="0" applyAlignment="0" applyProtection="0">
      <alignment vertical="center"/>
    </xf>
    <xf numFmtId="164" fontId="190" fillId="16" borderId="0" applyNumberFormat="0" applyBorder="0" applyAlignment="0" applyProtection="0">
      <alignment vertical="center"/>
    </xf>
    <xf numFmtId="164" fontId="123" fillId="4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22" fillId="39" borderId="0" applyNumberFormat="0" applyBorder="0" applyAlignment="0" applyProtection="0">
      <alignment vertical="center"/>
    </xf>
    <xf numFmtId="164" fontId="123" fillId="52" borderId="0" applyNumberFormat="0" applyBorder="0" applyAlignment="0" applyProtection="0">
      <alignment vertical="center"/>
    </xf>
    <xf numFmtId="164" fontId="191" fillId="14" borderId="0" applyNumberFormat="0" applyBorder="0" applyAlignment="0" applyProtection="0">
      <alignment vertical="center"/>
    </xf>
    <xf numFmtId="164" fontId="123" fillId="44" borderId="0" applyNumberFormat="0" applyBorder="0" applyAlignment="0" applyProtection="0">
      <alignment vertical="center"/>
    </xf>
    <xf numFmtId="164" fontId="191" fillId="18" borderId="0" applyNumberFormat="0" applyBorder="0" applyAlignment="0" applyProtection="0">
      <alignment vertical="center"/>
    </xf>
    <xf numFmtId="164" fontId="190" fillId="29"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4" fillId="4" borderId="0" applyNumberFormat="0" applyBorder="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33"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4" fillId="4" borderId="0" applyNumberFormat="0" applyBorder="0" applyAlignment="0" applyProtection="0">
      <alignment vertical="center"/>
    </xf>
    <xf numFmtId="164" fontId="190" fillId="28" borderId="0" applyNumberFormat="0" applyBorder="0" applyAlignment="0" applyProtection="0">
      <alignment vertical="center"/>
    </xf>
    <xf numFmtId="164" fontId="190" fillId="33"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30" borderId="0" applyNumberFormat="0" applyBorder="0" applyAlignment="0" applyProtection="0">
      <alignment vertical="center"/>
    </xf>
    <xf numFmtId="164" fontId="63" fillId="0" borderId="21"/>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99" fillId="0" borderId="2" applyNumberFormat="0" applyFill="0" applyAlignment="0" applyProtection="0">
      <alignment vertical="center"/>
    </xf>
    <xf numFmtId="164" fontId="193" fillId="0" borderId="10"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217" fontId="51" fillId="0" borderId="0" applyFill="0" applyBorder="0" applyAlignment="0"/>
    <xf numFmtId="164" fontId="157" fillId="41"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26" borderId="0" applyNumberFormat="0" applyBorder="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205" fillId="5"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164" fontId="123" fillId="50" borderId="0" applyNumberFormat="0" applyBorder="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23" fillId="41" borderId="0" applyNumberFormat="0" applyBorder="0" applyAlignment="0" applyProtection="0">
      <alignment vertical="center"/>
    </xf>
    <xf numFmtId="164" fontId="185" fillId="39" borderId="11" applyNumberFormat="0" applyAlignment="0" applyProtection="0">
      <alignment vertical="center"/>
    </xf>
    <xf numFmtId="164" fontId="191" fillId="30" borderId="0" applyNumberFormat="0" applyBorder="0" applyAlignment="0" applyProtection="0">
      <alignment vertical="center"/>
    </xf>
    <xf numFmtId="164" fontId="123" fillId="46" borderId="0" applyNumberFormat="0" applyBorder="0" applyAlignment="0" applyProtection="0">
      <alignment vertical="center"/>
    </xf>
    <xf numFmtId="164" fontId="190" fillId="33" borderId="0" applyNumberFormat="0" applyBorder="0" applyAlignment="0" applyProtection="0">
      <alignment vertical="center"/>
    </xf>
    <xf numFmtId="164" fontId="191" fillId="26" borderId="0" applyNumberFormat="0" applyBorder="0" applyAlignment="0" applyProtection="0">
      <alignment vertical="center"/>
    </xf>
    <xf numFmtId="164" fontId="191" fillId="18"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90" fillId="29" borderId="0" applyNumberFormat="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0" fillId="33"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90" fillId="25" borderId="0" applyNumberFormat="0" applyBorder="0" applyAlignment="0" applyProtection="0">
      <alignment vertical="center"/>
    </xf>
    <xf numFmtId="164" fontId="123" fillId="42" borderId="0" applyNumberFormat="0" applyBorder="0" applyAlignment="0" applyProtection="0">
      <alignment vertical="center"/>
    </xf>
    <xf numFmtId="164" fontId="123" fillId="49"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28" borderId="0" applyNumberFormat="0" applyBorder="0" applyAlignment="0" applyProtection="0">
      <alignment vertical="center"/>
    </xf>
    <xf numFmtId="164" fontId="190" fillId="17" borderId="0" applyNumberFormat="0" applyBorder="0" applyAlignment="0" applyProtection="0">
      <alignment vertical="center"/>
    </xf>
    <xf numFmtId="164" fontId="124" fillId="61" borderId="0" applyNumberFormat="0" applyBorder="0" applyAlignment="0" applyProtection="0">
      <alignment vertical="center"/>
    </xf>
    <xf numFmtId="164" fontId="191" fillId="26"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1" fillId="30"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90" fillId="21" borderId="0" applyNumberFormat="0" applyBorder="0" applyAlignment="0" applyProtection="0">
      <alignment vertical="center"/>
    </xf>
    <xf numFmtId="164" fontId="191" fillId="18"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191" fillId="22"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90" fillId="65" borderId="27" applyNumberFormat="0" applyFont="0" applyAlignment="0" applyProtection="0"/>
    <xf numFmtId="164" fontId="205" fillId="5" borderId="0" applyNumberFormat="0" applyBorder="0" applyAlignment="0" applyProtection="0">
      <alignment vertical="center"/>
    </xf>
    <xf numFmtId="164" fontId="191" fillId="30" borderId="0" applyNumberFormat="0" applyBorder="0" applyAlignment="0" applyProtection="0">
      <alignment vertical="center"/>
    </xf>
    <xf numFmtId="164" fontId="198" fillId="0" borderId="0" applyNumberFormat="0" applyFill="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23" fillId="42" borderId="0" applyNumberFormat="0" applyBorder="0" applyAlignment="0" applyProtection="0">
      <alignment vertical="center"/>
    </xf>
    <xf numFmtId="164" fontId="157" fillId="46" borderId="0" applyNumberFormat="0" applyBorder="0" applyAlignment="0" applyProtection="0">
      <alignment vertical="center"/>
    </xf>
    <xf numFmtId="164" fontId="122" fillId="42" borderId="0" applyNumberFormat="0" applyBorder="0" applyAlignment="0" applyProtection="0">
      <alignment vertical="center"/>
    </xf>
    <xf numFmtId="164" fontId="190" fillId="16" borderId="0" applyNumberFormat="0" applyBorder="0" applyAlignment="0" applyProtection="0">
      <alignment vertical="center"/>
    </xf>
    <xf numFmtId="164" fontId="198"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22" fillId="10" borderId="9" applyNumberFormat="0" applyFon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164" fontId="190" fillId="20"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213" fontId="88" fillId="0" borderId="0" applyFont="0" applyFill="0" applyBorder="0" applyAlignment="0" applyProtection="0"/>
    <xf numFmtId="164" fontId="190" fillId="29"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5" fillId="8" borderId="5" applyNumberFormat="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32" borderId="0" applyNumberFormat="0" applyBorder="0" applyAlignment="0" applyProtection="0">
      <alignment vertical="center"/>
    </xf>
    <xf numFmtId="164" fontId="63" fillId="0" borderId="21"/>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23" fillId="4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1" fillId="26"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90" fillId="33" borderId="0" applyNumberFormat="0" applyBorder="0" applyAlignment="0" applyProtection="0">
      <alignment vertical="center"/>
    </xf>
    <xf numFmtId="164" fontId="122" fillId="42" borderId="0" applyNumberFormat="0" applyBorder="0" applyAlignment="0" applyProtection="0">
      <alignment vertical="center"/>
    </xf>
    <xf numFmtId="164" fontId="190" fillId="12" borderId="0" applyNumberFormat="0" applyBorder="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22" fillId="40" borderId="0" applyNumberFormat="0" applyBorder="0" applyAlignment="0" applyProtection="0">
      <alignment vertical="center"/>
    </xf>
    <xf numFmtId="164" fontId="190" fillId="1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34" borderId="0" applyNumberFormat="0" applyBorder="0" applyAlignment="0" applyProtection="0">
      <alignment vertical="center"/>
    </xf>
    <xf numFmtId="164" fontId="122" fillId="37" borderId="0" applyNumberFormat="0" applyBorder="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7"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23" fillId="47"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7"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9" borderId="0" applyNumberFormat="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164" fontId="206" fillId="0" borderId="0" applyNumberFormat="0" applyFill="0" applyBorder="0" applyAlignment="0" applyProtection="0">
      <alignment vertical="center"/>
    </xf>
    <xf numFmtId="164" fontId="30" fillId="0" borderId="23"/>
    <xf numFmtId="164" fontId="192" fillId="6" borderId="0" applyNumberFormat="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1" fillId="18"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1" fillId="14" borderId="0" applyNumberFormat="0" applyBorder="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22" fillId="41"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3"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0" fillId="12"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1" fillId="1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90" fillId="20" borderId="0" applyNumberFormat="0" applyBorder="0" applyAlignment="0" applyProtection="0">
      <alignment vertical="center"/>
    </xf>
    <xf numFmtId="164" fontId="123" fillId="47" borderId="0" applyNumberFormat="0" applyBorder="0" applyAlignment="0" applyProtection="0">
      <alignment vertical="center"/>
    </xf>
    <xf numFmtId="164" fontId="191" fillId="15"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7" borderId="0" applyNumberFormat="0" applyBorder="0" applyAlignment="0" applyProtection="0">
      <alignment vertical="center"/>
    </xf>
    <xf numFmtId="164" fontId="122" fillId="36" borderId="0" applyNumberFormat="0" applyBorder="0" applyAlignment="0" applyProtection="0">
      <alignment vertical="center"/>
    </xf>
    <xf numFmtId="164" fontId="135" fillId="53" borderId="20" applyNumberFormat="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1" fillId="15" borderId="0" applyNumberFormat="0" applyBorder="0" applyAlignment="0" applyProtection="0">
      <alignment vertical="center"/>
    </xf>
    <xf numFmtId="164" fontId="157" fillId="52"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22" fillId="43" borderId="0" applyNumberFormat="0" applyBorder="0" applyAlignment="0" applyProtection="0">
      <alignment vertical="center"/>
    </xf>
    <xf numFmtId="164" fontId="191" fillId="14"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57" fillId="4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91" fillId="19" borderId="0" applyNumberFormat="0" applyBorder="0" applyAlignment="0" applyProtection="0">
      <alignment vertical="center"/>
    </xf>
    <xf numFmtId="164" fontId="191" fillId="30" borderId="0" applyNumberFormat="0" applyBorder="0" applyAlignment="0" applyProtection="0">
      <alignment vertical="center"/>
    </xf>
    <xf numFmtId="164" fontId="123" fillId="42" borderId="0" applyNumberFormat="0" applyBorder="0" applyAlignment="0" applyProtection="0">
      <alignment vertical="center"/>
    </xf>
    <xf numFmtId="164" fontId="190" fillId="29"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1" fillId="23" borderId="0" applyNumberFormat="0" applyBorder="0" applyAlignment="0" applyProtection="0">
      <alignment vertical="center"/>
    </xf>
    <xf numFmtId="164" fontId="190" fillId="29" borderId="0" applyNumberFormat="0" applyBorder="0" applyAlignment="0" applyProtection="0">
      <alignment vertical="center"/>
    </xf>
    <xf numFmtId="164" fontId="122" fillId="37"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33" borderId="0" applyNumberFormat="0" applyBorder="0" applyAlignment="0" applyProtection="0">
      <alignment vertical="center"/>
    </xf>
    <xf numFmtId="164" fontId="190" fillId="1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0" fillId="33" borderId="0" applyNumberFormat="0" applyBorder="0" applyAlignment="0" applyProtection="0">
      <alignment vertical="center"/>
    </xf>
    <xf numFmtId="164" fontId="122" fillId="43"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23" fillId="41" borderId="0" applyNumberFormat="0" applyBorder="0" applyAlignment="0" applyProtection="0">
      <alignment vertical="center"/>
    </xf>
    <xf numFmtId="164" fontId="191" fillId="23" borderId="0" applyNumberFormat="0" applyBorder="0" applyAlignment="0" applyProtection="0">
      <alignment vertical="center"/>
    </xf>
    <xf numFmtId="164" fontId="122" fillId="35" borderId="0" applyNumberFormat="0" applyBorder="0" applyAlignment="0" applyProtection="0">
      <alignment vertical="center"/>
    </xf>
    <xf numFmtId="164" fontId="103" fillId="65" borderId="27" applyNumberFormat="0" applyFont="0" applyAlignment="0" applyProtection="0">
      <alignment vertical="center"/>
    </xf>
    <xf numFmtId="164" fontId="193" fillId="0" borderId="10"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18"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57" fillId="44"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34" fillId="39" borderId="11" applyNumberFormat="0" applyAlignment="0" applyProtection="0">
      <alignment vertical="center"/>
    </xf>
    <xf numFmtId="164" fontId="191" fillId="30" borderId="0" applyNumberFormat="0" applyBorder="0" applyAlignment="0" applyProtection="0">
      <alignment vertical="center"/>
    </xf>
    <xf numFmtId="164" fontId="191" fillId="27" borderId="0" applyNumberFormat="0" applyBorder="0" applyAlignment="0" applyProtection="0">
      <alignment vertical="center"/>
    </xf>
    <xf numFmtId="164" fontId="123" fillId="45" borderId="0" applyNumberFormat="0" applyBorder="0" applyAlignment="0" applyProtection="0">
      <alignment vertical="center"/>
    </xf>
    <xf numFmtId="164" fontId="191" fillId="18" borderId="0" applyNumberFormat="0" applyBorder="0" applyAlignment="0" applyProtection="0">
      <alignment vertical="center"/>
    </xf>
    <xf numFmtId="164" fontId="191" fillId="18" borderId="0" applyNumberFormat="0" applyBorder="0" applyAlignment="0" applyProtection="0">
      <alignment vertical="center"/>
    </xf>
    <xf numFmtId="164" fontId="190" fillId="33" borderId="0" applyNumberFormat="0" applyBorder="0" applyAlignment="0" applyProtection="0">
      <alignment vertical="center"/>
    </xf>
    <xf numFmtId="164" fontId="190" fillId="12"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0" fillId="28"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24"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22" fillId="10" borderId="9" applyNumberFormat="0" applyFont="0" applyAlignment="0" applyProtection="0">
      <alignment vertical="center"/>
    </xf>
    <xf numFmtId="164" fontId="191" fillId="14" borderId="0" applyNumberFormat="0" applyBorder="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22" fillId="10" borderId="9" applyNumberFormat="0" applyFont="0" applyAlignment="0" applyProtection="0">
      <alignment vertical="center"/>
    </xf>
    <xf numFmtId="164" fontId="191" fillId="14" borderId="0" applyNumberFormat="0" applyBorder="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1" fillId="31"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0" fillId="13" borderId="0" applyNumberFormat="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57" fillId="47" borderId="0" applyNumberFormat="0" applyBorder="0" applyAlignment="0" applyProtection="0">
      <alignment vertical="center"/>
    </xf>
    <xf numFmtId="164" fontId="191" fillId="14"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91" fillId="22" borderId="0" applyNumberFormat="0" applyBorder="0" applyAlignment="0" applyProtection="0">
      <alignment vertical="center"/>
    </xf>
    <xf numFmtId="164" fontId="172" fillId="0" borderId="0" applyNumberFormat="0" applyFill="0" applyBorder="0" applyAlignment="0" applyProtection="0">
      <alignment vertical="center"/>
    </xf>
    <xf numFmtId="164" fontId="190" fillId="29" borderId="0" applyNumberFormat="0" applyBorder="0" applyAlignment="0" applyProtection="0">
      <alignment vertical="center"/>
    </xf>
    <xf numFmtId="164" fontId="191" fillId="26" borderId="0" applyNumberFormat="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37" borderId="0" applyNumberFormat="0" applyBorder="0" applyAlignment="0" applyProtection="0">
      <alignment vertical="center"/>
    </xf>
    <xf numFmtId="164" fontId="190" fillId="16" borderId="0" applyNumberFormat="0" applyBorder="0" applyAlignment="0" applyProtection="0">
      <alignment vertical="center"/>
    </xf>
    <xf numFmtId="164" fontId="202" fillId="7" borderId="5" applyNumberFormat="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157" fillId="45" borderId="0" applyNumberFormat="0" applyBorder="0" applyAlignment="0" applyProtection="0">
      <alignment vertical="center"/>
    </xf>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3" fillId="8" borderId="6" applyNumberForma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1" fillId="30" borderId="0" applyNumberFormat="0" applyBorder="0" applyAlignment="0" applyProtection="0">
      <alignment vertical="center"/>
    </xf>
    <xf numFmtId="164" fontId="138" fillId="0" borderId="0" applyNumberFormat="0" applyFill="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13" borderId="0" applyNumberFormat="0" applyBorder="0" applyAlignment="0" applyProtection="0">
      <alignment vertical="center"/>
    </xf>
    <xf numFmtId="164" fontId="199" fillId="0" borderId="2" applyNumberFormat="0" applyFill="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164" fontId="193" fillId="0" borderId="10" applyNumberFormat="0" applyFill="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22" fillId="10" borderId="9" applyNumberFormat="0" applyFont="0" applyAlignment="0" applyProtection="0">
      <alignment vertical="center"/>
    </xf>
    <xf numFmtId="164" fontId="166" fillId="39" borderId="11" applyNumberForma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25" fillId="0" borderId="28" applyNumberFormat="0" applyFill="0" applyAlignment="0" applyProtection="0">
      <alignment vertical="center"/>
    </xf>
    <xf numFmtId="164" fontId="157" fillId="46" borderId="0" applyNumberFormat="0" applyBorder="0" applyAlignment="0" applyProtection="0">
      <alignment vertical="center"/>
    </xf>
    <xf numFmtId="164" fontId="190" fillId="32"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30" borderId="0" applyNumberFormat="0" applyBorder="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196" fillId="0" borderId="7" applyNumberFormat="0" applyFill="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40" borderId="0" applyNumberFormat="0" applyBorder="0" applyAlignment="0" applyProtection="0">
      <alignment vertical="center"/>
    </xf>
    <xf numFmtId="164" fontId="191" fillId="18" borderId="0" applyNumberFormat="0" applyBorder="0" applyAlignment="0" applyProtection="0">
      <alignment vertical="center"/>
    </xf>
    <xf numFmtId="164" fontId="123" fillId="4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3" borderId="0" applyNumberFormat="0" applyBorder="0" applyAlignment="0" applyProtection="0">
      <alignment vertical="center"/>
    </xf>
    <xf numFmtId="164" fontId="191" fillId="14" borderId="0" applyNumberFormat="0" applyBorder="0" applyAlignment="0" applyProtection="0">
      <alignment vertical="center"/>
    </xf>
    <xf numFmtId="164" fontId="123" fillId="41" borderId="0" applyNumberFormat="0" applyBorder="0" applyAlignment="0" applyProtection="0">
      <alignment vertical="center"/>
    </xf>
    <xf numFmtId="164" fontId="190" fillId="33" borderId="0" applyNumberFormat="0" applyBorder="0" applyAlignment="0" applyProtection="0">
      <alignment vertical="center"/>
    </xf>
    <xf numFmtId="164" fontId="191" fillId="18"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90" fillId="13"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1" fillId="3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22" fillId="10" borderId="9" applyNumberFormat="0" applyFont="0" applyAlignment="0" applyProtection="0">
      <alignment vertical="center"/>
    </xf>
    <xf numFmtId="164" fontId="190" fillId="17" borderId="0" applyNumberFormat="0" applyBorder="0" applyAlignment="0" applyProtection="0">
      <alignment vertical="center"/>
    </xf>
    <xf numFmtId="164" fontId="190" fillId="24" borderId="0" applyNumberFormat="0" applyBorder="0" applyAlignment="0" applyProtection="0">
      <alignment vertical="center"/>
    </xf>
    <xf numFmtId="164" fontId="194" fillId="4"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3" fillId="0" borderId="10" applyNumberFormat="0" applyFill="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5"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3" fillId="47" borderId="0" applyNumberFormat="0" applyBorder="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0" fillId="32"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91" fillId="18"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50" borderId="0" applyNumberFormat="0" applyBorder="0" applyAlignment="0" applyProtection="0">
      <alignment vertical="center"/>
    </xf>
    <xf numFmtId="164" fontId="191" fillId="14" borderId="0" applyNumberFormat="0" applyBorder="0" applyAlignment="0" applyProtection="0">
      <alignment vertical="center"/>
    </xf>
    <xf numFmtId="164" fontId="63" fillId="0" borderId="21"/>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57" fillId="42" borderId="0" applyNumberFormat="0" applyBorder="0" applyAlignment="0" applyProtection="0">
      <alignment vertical="center"/>
    </xf>
    <xf numFmtId="164" fontId="193" fillId="0" borderId="10"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9" fillId="0" borderId="2" applyNumberFormat="0" applyFill="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4" borderId="0" applyNumberFormat="0" applyBorder="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1" fillId="34"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5" borderId="0" applyNumberFormat="0" applyBorder="0" applyAlignment="0" applyProtection="0">
      <alignment vertical="center"/>
    </xf>
    <xf numFmtId="164" fontId="191" fillId="18"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90" fillId="33"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93" fillId="0" borderId="10" applyNumberFormat="0" applyFill="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90" fillId="28" borderId="0" applyNumberFormat="0" applyBorder="0" applyAlignment="0" applyProtection="0">
      <alignment vertical="center"/>
    </xf>
    <xf numFmtId="164" fontId="122" fillId="41" borderId="0" applyNumberFormat="0" applyBorder="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1" fillId="14" borderId="0" applyNumberFormat="0" applyBorder="0" applyAlignment="0" applyProtection="0">
      <alignment vertical="center"/>
    </xf>
    <xf numFmtId="164" fontId="157" fillId="51"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6" fillId="3"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2" fillId="10" borderId="9" applyNumberFormat="0" applyFont="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9" fillId="0" borderId="2" applyNumberFormat="0" applyFill="0" applyAlignment="0" applyProtection="0">
      <alignment vertical="center"/>
    </xf>
    <xf numFmtId="164" fontId="191" fillId="26" borderId="0" applyNumberFormat="0" applyBorder="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90" fillId="29" borderId="0" applyNumberFormat="0" applyBorder="0" applyAlignment="0" applyProtection="0">
      <alignment vertical="center"/>
    </xf>
    <xf numFmtId="164" fontId="134" fillId="39" borderId="11" applyNumberFormat="0" applyAlignment="0" applyProtection="0">
      <alignment vertical="center"/>
    </xf>
    <xf numFmtId="164" fontId="30" fillId="0" borderId="23"/>
    <xf numFmtId="164" fontId="63" fillId="0" borderId="21"/>
    <xf numFmtId="164" fontId="193" fillId="0" borderId="10" applyNumberFormat="0" applyFill="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90" fillId="12"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32"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91" fillId="30"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3" fillId="0" borderId="10" applyNumberFormat="0" applyFill="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3" fillId="0" borderId="10" applyNumberFormat="0" applyFill="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164" fontId="157" fillId="41"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26" borderId="0" applyNumberFormat="0" applyBorder="0" applyAlignment="0" applyProtection="0">
      <alignment vertical="center"/>
    </xf>
    <xf numFmtId="164" fontId="199" fillId="0" borderId="2" applyNumberFormat="0" applyFill="0" applyAlignment="0" applyProtection="0">
      <alignment vertical="center"/>
    </xf>
    <xf numFmtId="164" fontId="190" fillId="24"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164" fontId="123" fillId="50" borderId="0" applyNumberFormat="0" applyBorder="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23" fillId="41" borderId="0" applyNumberFormat="0" applyBorder="0" applyAlignment="0" applyProtection="0">
      <alignment vertical="center"/>
    </xf>
    <xf numFmtId="164" fontId="185" fillId="39" borderId="11" applyNumberFormat="0" applyAlignment="0" applyProtection="0">
      <alignment vertical="center"/>
    </xf>
    <xf numFmtId="164" fontId="191" fillId="30" borderId="0" applyNumberFormat="0" applyBorder="0" applyAlignment="0" applyProtection="0">
      <alignment vertical="center"/>
    </xf>
    <xf numFmtId="164" fontId="123" fillId="46" borderId="0" applyNumberFormat="0" applyBorder="0" applyAlignment="0" applyProtection="0">
      <alignment vertical="center"/>
    </xf>
    <xf numFmtId="164" fontId="190" fillId="33" borderId="0" applyNumberFormat="0" applyBorder="0" applyAlignment="0" applyProtection="0">
      <alignment vertical="center"/>
    </xf>
    <xf numFmtId="164" fontId="191" fillId="26"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90" fillId="29" borderId="0" applyNumberFormat="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0" fillId="33"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90" fillId="25" borderId="0" applyNumberFormat="0" applyBorder="0" applyAlignment="0" applyProtection="0">
      <alignment vertical="center"/>
    </xf>
    <xf numFmtId="164" fontId="123" fillId="42" borderId="0" applyNumberFormat="0" applyBorder="0" applyAlignment="0" applyProtection="0">
      <alignment vertical="center"/>
    </xf>
    <xf numFmtId="164" fontId="123" fillId="49"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28" borderId="0" applyNumberFormat="0" applyBorder="0" applyAlignment="0" applyProtection="0">
      <alignment vertical="center"/>
    </xf>
    <xf numFmtId="164" fontId="190" fillId="17" borderId="0" applyNumberFormat="0" applyBorder="0" applyAlignment="0" applyProtection="0">
      <alignment vertical="center"/>
    </xf>
    <xf numFmtId="164" fontId="124" fillId="61" borderId="0" applyNumberFormat="0" applyBorder="0" applyAlignment="0" applyProtection="0">
      <alignment vertical="center"/>
    </xf>
    <xf numFmtId="164" fontId="191" fillId="26"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1" fillId="30"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191" fillId="22"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90" fillId="65" borderId="27" applyNumberFormat="0" applyFont="0" applyAlignment="0" applyProtection="0"/>
    <xf numFmtId="164" fontId="205" fillId="5" borderId="0" applyNumberFormat="0" applyBorder="0" applyAlignment="0" applyProtection="0">
      <alignment vertical="center"/>
    </xf>
    <xf numFmtId="164" fontId="191" fillId="30" borderId="0" applyNumberFormat="0" applyBorder="0" applyAlignment="0" applyProtection="0">
      <alignment vertical="center"/>
    </xf>
    <xf numFmtId="164" fontId="198" fillId="0" borderId="0" applyNumberFormat="0" applyFill="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23" fillId="42" borderId="0" applyNumberFormat="0" applyBorder="0" applyAlignment="0" applyProtection="0">
      <alignment vertical="center"/>
    </xf>
    <xf numFmtId="164" fontId="157" fillId="46" borderId="0" applyNumberFormat="0" applyBorder="0" applyAlignment="0" applyProtection="0">
      <alignment vertical="center"/>
    </xf>
    <xf numFmtId="164" fontId="122" fillId="42" borderId="0" applyNumberFormat="0" applyBorder="0" applyAlignment="0" applyProtection="0">
      <alignment vertical="center"/>
    </xf>
    <xf numFmtId="164" fontId="190" fillId="16" borderId="0" applyNumberFormat="0" applyBorder="0" applyAlignment="0" applyProtection="0">
      <alignment vertical="center"/>
    </xf>
    <xf numFmtId="164" fontId="198"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22" fillId="10" borderId="9" applyNumberFormat="0" applyFon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164" fontId="190" fillId="20"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213" fontId="88" fillId="0" borderId="0" applyFont="0" applyFill="0" applyBorder="0" applyAlignment="0" applyProtection="0"/>
    <xf numFmtId="164" fontId="190" fillId="29"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5" fillId="8" borderId="5" applyNumberFormat="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32" borderId="0" applyNumberFormat="0" applyBorder="0" applyAlignment="0" applyProtection="0">
      <alignment vertical="center"/>
    </xf>
    <xf numFmtId="164" fontId="63" fillId="0" borderId="21"/>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23" fillId="4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1" fillId="26"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90" fillId="33" borderId="0" applyNumberFormat="0" applyBorder="0" applyAlignment="0" applyProtection="0">
      <alignment vertical="center"/>
    </xf>
    <xf numFmtId="164" fontId="122" fillId="42" borderId="0" applyNumberFormat="0" applyBorder="0" applyAlignment="0" applyProtection="0">
      <alignment vertical="center"/>
    </xf>
    <xf numFmtId="164" fontId="190" fillId="12" borderId="0" applyNumberFormat="0" applyBorder="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34" borderId="0" applyNumberFormat="0" applyBorder="0" applyAlignment="0" applyProtection="0">
      <alignment vertical="center"/>
    </xf>
    <xf numFmtId="164" fontId="122" fillId="37" borderId="0" applyNumberFormat="0" applyBorder="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7"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23" fillId="47"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7"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9" borderId="0" applyNumberFormat="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164" fontId="206" fillId="0" borderId="0" applyNumberFormat="0" applyFill="0" applyBorder="0" applyAlignment="0" applyProtection="0">
      <alignment vertical="center"/>
    </xf>
    <xf numFmtId="164" fontId="30" fillId="0" borderId="23"/>
    <xf numFmtId="164" fontId="192" fillId="6" borderId="0" applyNumberFormat="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1" fillId="14" borderId="0" applyNumberFormat="0" applyBorder="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22" fillId="41"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3"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0" fillId="12"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1" fillId="1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90" fillId="20" borderId="0" applyNumberFormat="0" applyBorder="0" applyAlignment="0" applyProtection="0">
      <alignment vertical="center"/>
    </xf>
    <xf numFmtId="164" fontId="123" fillId="47" borderId="0" applyNumberFormat="0" applyBorder="0" applyAlignment="0" applyProtection="0">
      <alignment vertical="center"/>
    </xf>
    <xf numFmtId="164" fontId="191" fillId="15"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7" borderId="0" applyNumberFormat="0" applyBorder="0" applyAlignment="0" applyProtection="0">
      <alignment vertical="center"/>
    </xf>
    <xf numFmtId="164" fontId="122" fillId="36" borderId="0" applyNumberFormat="0" applyBorder="0" applyAlignment="0" applyProtection="0">
      <alignment vertical="center"/>
    </xf>
    <xf numFmtId="164" fontId="135" fillId="53" borderId="20" applyNumberFormat="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1" fillId="15" borderId="0" applyNumberFormat="0" applyBorder="0" applyAlignment="0" applyProtection="0">
      <alignment vertical="center"/>
    </xf>
    <xf numFmtId="164" fontId="157" fillId="52"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22" fillId="43" borderId="0" applyNumberFormat="0" applyBorder="0" applyAlignment="0" applyProtection="0">
      <alignment vertical="center"/>
    </xf>
    <xf numFmtId="164" fontId="191" fillId="14"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57" fillId="4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91" fillId="19" borderId="0" applyNumberFormat="0" applyBorder="0" applyAlignment="0" applyProtection="0">
      <alignment vertical="center"/>
    </xf>
    <xf numFmtId="164" fontId="191" fillId="30" borderId="0" applyNumberFormat="0" applyBorder="0" applyAlignment="0" applyProtection="0">
      <alignment vertical="center"/>
    </xf>
    <xf numFmtId="164" fontId="123" fillId="42" borderId="0" applyNumberFormat="0" applyBorder="0" applyAlignment="0" applyProtection="0">
      <alignment vertical="center"/>
    </xf>
    <xf numFmtId="164" fontId="190" fillId="29" borderId="0" applyNumberFormat="0" applyBorder="0" applyAlignment="0" applyProtection="0">
      <alignment vertical="center"/>
    </xf>
    <xf numFmtId="164" fontId="191" fillId="22"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1" fillId="23" borderId="0" applyNumberFormat="0" applyBorder="0" applyAlignment="0" applyProtection="0">
      <alignment vertical="center"/>
    </xf>
    <xf numFmtId="164" fontId="190" fillId="29" borderId="0" applyNumberFormat="0" applyBorder="0" applyAlignment="0" applyProtection="0">
      <alignment vertical="center"/>
    </xf>
    <xf numFmtId="164" fontId="122" fillId="37"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33" borderId="0" applyNumberFormat="0" applyBorder="0" applyAlignment="0" applyProtection="0">
      <alignment vertical="center"/>
    </xf>
    <xf numFmtId="164" fontId="190" fillId="1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0" fillId="33" borderId="0" applyNumberFormat="0" applyBorder="0" applyAlignment="0" applyProtection="0">
      <alignment vertical="center"/>
    </xf>
    <xf numFmtId="164" fontId="122" fillId="43"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23" fillId="41" borderId="0" applyNumberFormat="0" applyBorder="0" applyAlignment="0" applyProtection="0">
      <alignment vertical="center"/>
    </xf>
    <xf numFmtId="164" fontId="191" fillId="23" borderId="0" applyNumberFormat="0" applyBorder="0" applyAlignment="0" applyProtection="0">
      <alignment vertical="center"/>
    </xf>
    <xf numFmtId="164" fontId="122" fillId="35" borderId="0" applyNumberFormat="0" applyBorder="0" applyAlignment="0" applyProtection="0">
      <alignment vertical="center"/>
    </xf>
    <xf numFmtId="164" fontId="103" fillId="65" borderId="27" applyNumberFormat="0" applyFont="0" applyAlignment="0" applyProtection="0">
      <alignment vertical="center"/>
    </xf>
    <xf numFmtId="164" fontId="193" fillId="0" borderId="10"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18"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57" fillId="44"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34" fillId="39" borderId="11" applyNumberFormat="0" applyAlignment="0" applyProtection="0">
      <alignment vertical="center"/>
    </xf>
    <xf numFmtId="164" fontId="191" fillId="30" borderId="0" applyNumberFormat="0" applyBorder="0" applyAlignment="0" applyProtection="0">
      <alignment vertical="center"/>
    </xf>
    <xf numFmtId="164" fontId="191" fillId="27" borderId="0" applyNumberFormat="0" applyBorder="0" applyAlignment="0" applyProtection="0">
      <alignment vertical="center"/>
    </xf>
    <xf numFmtId="164" fontId="123" fillId="45" borderId="0" applyNumberFormat="0" applyBorder="0" applyAlignment="0" applyProtection="0">
      <alignment vertical="center"/>
    </xf>
    <xf numFmtId="164" fontId="190" fillId="33" borderId="0" applyNumberFormat="0" applyBorder="0" applyAlignment="0" applyProtection="0">
      <alignment vertical="center"/>
    </xf>
    <xf numFmtId="164" fontId="190" fillId="12"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24" borderId="0" applyNumberFormat="0" applyBorder="0" applyAlignment="0" applyProtection="0">
      <alignment vertical="center"/>
    </xf>
    <xf numFmtId="164" fontId="191" fillId="30" borderId="0" applyNumberFormat="0" applyBorder="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22" fillId="10" borderId="9" applyNumberFormat="0" applyFont="0" applyAlignment="0" applyProtection="0">
      <alignment vertical="center"/>
    </xf>
    <xf numFmtId="164" fontId="191" fillId="14" borderId="0" applyNumberFormat="0" applyBorder="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22" fillId="10" borderId="9" applyNumberFormat="0" applyFont="0" applyAlignment="0" applyProtection="0">
      <alignment vertical="center"/>
    </xf>
    <xf numFmtId="164" fontId="191" fillId="14" borderId="0" applyNumberFormat="0" applyBorder="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1" fillId="31"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0" fillId="13" borderId="0" applyNumberFormat="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57" fillId="47" borderId="0" applyNumberFormat="0" applyBorder="0" applyAlignment="0" applyProtection="0">
      <alignment vertical="center"/>
    </xf>
    <xf numFmtId="164" fontId="191" fillId="14"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91" fillId="22" borderId="0" applyNumberFormat="0" applyBorder="0" applyAlignment="0" applyProtection="0">
      <alignment vertical="center"/>
    </xf>
    <xf numFmtId="164" fontId="172" fillId="0" borderId="0" applyNumberFormat="0" applyFill="0" applyBorder="0" applyAlignment="0" applyProtection="0">
      <alignment vertical="center"/>
    </xf>
    <xf numFmtId="164" fontId="190" fillId="29" borderId="0" applyNumberFormat="0" applyBorder="0" applyAlignment="0" applyProtection="0">
      <alignment vertical="center"/>
    </xf>
    <xf numFmtId="164" fontId="191" fillId="26" borderId="0" applyNumberFormat="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37" borderId="0" applyNumberFormat="0" applyBorder="0" applyAlignment="0" applyProtection="0">
      <alignment vertical="center"/>
    </xf>
    <xf numFmtId="164" fontId="190" fillId="16" borderId="0" applyNumberFormat="0" applyBorder="0" applyAlignment="0" applyProtection="0">
      <alignment vertical="center"/>
    </xf>
    <xf numFmtId="164" fontId="202" fillId="7" borderId="5" applyNumberFormat="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157" fillId="45" borderId="0" applyNumberFormat="0" applyBorder="0" applyAlignment="0" applyProtection="0">
      <alignment vertical="center"/>
    </xf>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3" fillId="8" borderId="6" applyNumberForma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38" fillId="0" borderId="0" applyNumberFormat="0" applyFill="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13" borderId="0" applyNumberFormat="0" applyBorder="0" applyAlignment="0" applyProtection="0">
      <alignment vertical="center"/>
    </xf>
    <xf numFmtId="164" fontId="199" fillId="0" borderId="2" applyNumberFormat="0" applyFill="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164" fontId="193" fillId="0" borderId="10" applyNumberFormat="0" applyFill="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22" fillId="10" borderId="9" applyNumberFormat="0" applyFont="0" applyAlignment="0" applyProtection="0">
      <alignment vertical="center"/>
    </xf>
    <xf numFmtId="164" fontId="166" fillId="39" borderId="11" applyNumberForma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25" fillId="0" borderId="28" applyNumberFormat="0" applyFill="0" applyAlignment="0" applyProtection="0">
      <alignment vertical="center"/>
    </xf>
    <xf numFmtId="164" fontId="157" fillId="46" borderId="0" applyNumberFormat="0" applyBorder="0" applyAlignment="0" applyProtection="0">
      <alignment vertical="center"/>
    </xf>
    <xf numFmtId="164" fontId="190" fillId="32"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30" borderId="0" applyNumberFormat="0" applyBorder="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196" fillId="0" borderId="7" applyNumberFormat="0" applyFill="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40" borderId="0" applyNumberFormat="0" applyBorder="0" applyAlignment="0" applyProtection="0">
      <alignment vertical="center"/>
    </xf>
    <xf numFmtId="164" fontId="191" fillId="18" borderId="0" applyNumberFormat="0" applyBorder="0" applyAlignment="0" applyProtection="0">
      <alignment vertical="center"/>
    </xf>
    <xf numFmtId="164" fontId="123" fillId="4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3" borderId="0" applyNumberFormat="0" applyBorder="0" applyAlignment="0" applyProtection="0">
      <alignment vertical="center"/>
    </xf>
    <xf numFmtId="164" fontId="191" fillId="14" borderId="0" applyNumberFormat="0" applyBorder="0" applyAlignment="0" applyProtection="0">
      <alignment vertical="center"/>
    </xf>
    <xf numFmtId="164" fontId="123" fillId="41"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90" fillId="13"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1" fillId="3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22" fillId="10" borderId="9" applyNumberFormat="0" applyFont="0" applyAlignment="0" applyProtection="0">
      <alignment vertical="center"/>
    </xf>
    <xf numFmtId="164" fontId="190" fillId="17" borderId="0" applyNumberFormat="0" applyBorder="0" applyAlignment="0" applyProtection="0">
      <alignment vertical="center"/>
    </xf>
    <xf numFmtId="164" fontId="190" fillId="24" borderId="0" applyNumberFormat="0" applyBorder="0" applyAlignment="0" applyProtection="0">
      <alignment vertical="center"/>
    </xf>
    <xf numFmtId="164" fontId="194" fillId="4"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3" fillId="0" borderId="10" applyNumberFormat="0" applyFill="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5"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3" fillId="47" borderId="0" applyNumberFormat="0" applyBorder="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0" fillId="32"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91" fillId="18"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50" borderId="0" applyNumberFormat="0" applyBorder="0" applyAlignment="0" applyProtection="0">
      <alignment vertical="center"/>
    </xf>
    <xf numFmtId="164" fontId="191" fillId="14" borderId="0" applyNumberFormat="0" applyBorder="0" applyAlignment="0" applyProtection="0">
      <alignment vertical="center"/>
    </xf>
    <xf numFmtId="164" fontId="63" fillId="0" borderId="21"/>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57" fillId="42" borderId="0" applyNumberFormat="0" applyBorder="0" applyAlignment="0" applyProtection="0">
      <alignment vertical="center"/>
    </xf>
    <xf numFmtId="164" fontId="193" fillId="0" borderId="10"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9" fillId="0" borderId="2" applyNumberFormat="0" applyFill="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4" borderId="0" applyNumberFormat="0" applyBorder="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1" fillId="34"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5" borderId="0" applyNumberFormat="0" applyBorder="0" applyAlignment="0" applyProtection="0">
      <alignment vertical="center"/>
    </xf>
    <xf numFmtId="164" fontId="191" fillId="18"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90" fillId="33"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93" fillId="0" borderId="10" applyNumberFormat="0" applyFill="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90" fillId="28" borderId="0" applyNumberFormat="0" applyBorder="0" applyAlignment="0" applyProtection="0">
      <alignment vertical="center"/>
    </xf>
    <xf numFmtId="164" fontId="122" fillId="41" borderId="0" applyNumberFormat="0" applyBorder="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1" fillId="14" borderId="0" applyNumberFormat="0" applyBorder="0" applyAlignment="0" applyProtection="0">
      <alignment vertical="center"/>
    </xf>
    <xf numFmtId="164" fontId="157" fillId="51"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6" fillId="3"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2" fillId="10" borderId="9" applyNumberFormat="0" applyFont="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9" fillId="0" borderId="2" applyNumberFormat="0" applyFill="0" applyAlignment="0" applyProtection="0">
      <alignment vertical="center"/>
    </xf>
    <xf numFmtId="164" fontId="191" fillId="26" borderId="0" applyNumberFormat="0" applyBorder="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90" fillId="29" borderId="0" applyNumberFormat="0" applyBorder="0" applyAlignment="0" applyProtection="0">
      <alignment vertical="center"/>
    </xf>
    <xf numFmtId="164" fontId="134" fillId="39" borderId="11" applyNumberFormat="0" applyAlignment="0" applyProtection="0">
      <alignment vertical="center"/>
    </xf>
    <xf numFmtId="164" fontId="30" fillId="0" borderId="23"/>
    <xf numFmtId="164" fontId="63" fillId="0" borderId="21"/>
    <xf numFmtId="164" fontId="193" fillId="0" borderId="10" applyNumberFormat="0" applyFill="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90" fillId="12"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32"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91" fillId="30"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3" fillId="0" borderId="10" applyNumberFormat="0" applyFill="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3" fillId="0" borderId="10" applyNumberFormat="0" applyFill="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164" fontId="157" fillId="41"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26" borderId="0" applyNumberFormat="0" applyBorder="0" applyAlignment="0" applyProtection="0">
      <alignment vertical="center"/>
    </xf>
    <xf numFmtId="164" fontId="199" fillId="0" borderId="2" applyNumberFormat="0" applyFill="0" applyAlignment="0" applyProtection="0">
      <alignment vertical="center"/>
    </xf>
    <xf numFmtId="164" fontId="190" fillId="24"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164" fontId="123" fillId="50" borderId="0" applyNumberFormat="0" applyBorder="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23" fillId="41" borderId="0" applyNumberFormat="0" applyBorder="0" applyAlignment="0" applyProtection="0">
      <alignment vertical="center"/>
    </xf>
    <xf numFmtId="164" fontId="185" fillId="39" borderId="11" applyNumberFormat="0" applyAlignment="0" applyProtection="0">
      <alignment vertical="center"/>
    </xf>
    <xf numFmtId="164" fontId="191" fillId="30" borderId="0" applyNumberFormat="0" applyBorder="0" applyAlignment="0" applyProtection="0">
      <alignment vertical="center"/>
    </xf>
    <xf numFmtId="164" fontId="123" fillId="46" borderId="0" applyNumberFormat="0" applyBorder="0" applyAlignment="0" applyProtection="0">
      <alignment vertical="center"/>
    </xf>
    <xf numFmtId="164" fontId="190" fillId="33" borderId="0" applyNumberFormat="0" applyBorder="0" applyAlignment="0" applyProtection="0">
      <alignment vertical="center"/>
    </xf>
    <xf numFmtId="164" fontId="191" fillId="26"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91" fillId="14"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90" fillId="29" borderId="0" applyNumberFormat="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0" fillId="33"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90" fillId="25" borderId="0" applyNumberFormat="0" applyBorder="0" applyAlignment="0" applyProtection="0">
      <alignment vertical="center"/>
    </xf>
    <xf numFmtId="164" fontId="123" fillId="42" borderId="0" applyNumberFormat="0" applyBorder="0" applyAlignment="0" applyProtection="0">
      <alignment vertical="center"/>
    </xf>
    <xf numFmtId="164" fontId="123" fillId="49"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28" borderId="0" applyNumberFormat="0" applyBorder="0" applyAlignment="0" applyProtection="0">
      <alignment vertical="center"/>
    </xf>
    <xf numFmtId="164" fontId="190" fillId="17" borderId="0" applyNumberFormat="0" applyBorder="0" applyAlignment="0" applyProtection="0">
      <alignment vertical="center"/>
    </xf>
    <xf numFmtId="164" fontId="124" fillId="61"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1" fillId="30"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191" fillId="22"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90" fillId="65" borderId="27" applyNumberFormat="0" applyFont="0" applyAlignment="0" applyProtection="0"/>
    <xf numFmtId="164" fontId="205" fillId="5" borderId="0" applyNumberFormat="0" applyBorder="0" applyAlignment="0" applyProtection="0">
      <alignment vertical="center"/>
    </xf>
    <xf numFmtId="164" fontId="191" fillId="30" borderId="0" applyNumberFormat="0" applyBorder="0" applyAlignment="0" applyProtection="0">
      <alignment vertical="center"/>
    </xf>
    <xf numFmtId="164" fontId="198" fillId="0" borderId="0" applyNumberFormat="0" applyFill="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23" fillId="42" borderId="0" applyNumberFormat="0" applyBorder="0" applyAlignment="0" applyProtection="0">
      <alignment vertical="center"/>
    </xf>
    <xf numFmtId="164" fontId="157" fillId="46" borderId="0" applyNumberFormat="0" applyBorder="0" applyAlignment="0" applyProtection="0">
      <alignment vertical="center"/>
    </xf>
    <xf numFmtId="164" fontId="122" fillId="42" borderId="0" applyNumberFormat="0" applyBorder="0" applyAlignment="0" applyProtection="0">
      <alignment vertical="center"/>
    </xf>
    <xf numFmtId="164" fontId="190" fillId="16" borderId="0" applyNumberFormat="0" applyBorder="0" applyAlignment="0" applyProtection="0">
      <alignment vertical="center"/>
    </xf>
    <xf numFmtId="164" fontId="198"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22" fillId="10" borderId="9" applyNumberFormat="0" applyFon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164" fontId="190" fillId="20"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213" fontId="88" fillId="0" borderId="0" applyFont="0" applyFill="0" applyBorder="0" applyAlignment="0" applyProtection="0"/>
    <xf numFmtId="164" fontId="190" fillId="29"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5" fillId="8" borderId="5" applyNumberFormat="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32" borderId="0" applyNumberFormat="0" applyBorder="0" applyAlignment="0" applyProtection="0">
      <alignment vertical="center"/>
    </xf>
    <xf numFmtId="164" fontId="63" fillId="0" borderId="21"/>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23" fillId="4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1" fillId="26"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90" fillId="33" borderId="0" applyNumberFormat="0" applyBorder="0" applyAlignment="0" applyProtection="0">
      <alignment vertical="center"/>
    </xf>
    <xf numFmtId="164" fontId="122" fillId="42" borderId="0" applyNumberFormat="0" applyBorder="0" applyAlignment="0" applyProtection="0">
      <alignment vertical="center"/>
    </xf>
    <xf numFmtId="164" fontId="190" fillId="12" borderId="0" applyNumberFormat="0" applyBorder="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34" borderId="0" applyNumberFormat="0" applyBorder="0" applyAlignment="0" applyProtection="0">
      <alignment vertical="center"/>
    </xf>
    <xf numFmtId="164" fontId="122" fillId="37" borderId="0" applyNumberFormat="0" applyBorder="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7"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23" fillId="47"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7"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206"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164" fontId="206" fillId="0" borderId="0" applyNumberFormat="0" applyFill="0" applyBorder="0" applyAlignment="0" applyProtection="0">
      <alignment vertical="center"/>
    </xf>
    <xf numFmtId="164" fontId="30" fillId="0" borderId="23"/>
    <xf numFmtId="164" fontId="192" fillId="6" borderId="0" applyNumberFormat="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1" fillId="14" borderId="0" applyNumberFormat="0" applyBorder="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22" fillId="41"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3"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0" fillId="12"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1" fillId="1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90" fillId="20" borderId="0" applyNumberFormat="0" applyBorder="0" applyAlignment="0" applyProtection="0">
      <alignment vertical="center"/>
    </xf>
    <xf numFmtId="164" fontId="123" fillId="47" borderId="0" applyNumberFormat="0" applyBorder="0" applyAlignment="0" applyProtection="0">
      <alignment vertical="center"/>
    </xf>
    <xf numFmtId="164" fontId="191" fillId="15"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7" borderId="0" applyNumberFormat="0" applyBorder="0" applyAlignment="0" applyProtection="0">
      <alignment vertical="center"/>
    </xf>
    <xf numFmtId="164" fontId="122" fillId="36" borderId="0" applyNumberFormat="0" applyBorder="0" applyAlignment="0" applyProtection="0">
      <alignment vertical="center"/>
    </xf>
    <xf numFmtId="164" fontId="135" fillId="53" borderId="20" applyNumberFormat="0" applyAlignment="0" applyProtection="0">
      <alignment vertical="center"/>
    </xf>
    <xf numFmtId="164" fontId="190" fillId="28" borderId="0" applyNumberFormat="0" applyBorder="0" applyAlignment="0" applyProtection="0">
      <alignment vertical="center"/>
    </xf>
    <xf numFmtId="164" fontId="191" fillId="15" borderId="0" applyNumberFormat="0" applyBorder="0" applyAlignment="0" applyProtection="0">
      <alignment vertical="center"/>
    </xf>
    <xf numFmtId="164" fontId="157" fillId="52"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22" fillId="43" borderId="0" applyNumberFormat="0" applyBorder="0" applyAlignment="0" applyProtection="0">
      <alignment vertical="center"/>
    </xf>
    <xf numFmtId="164" fontId="191" fillId="14"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57" fillId="4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91" fillId="19" borderId="0" applyNumberFormat="0" applyBorder="0" applyAlignment="0" applyProtection="0">
      <alignment vertical="center"/>
    </xf>
    <xf numFmtId="164" fontId="191" fillId="30" borderId="0" applyNumberFormat="0" applyBorder="0" applyAlignment="0" applyProtection="0">
      <alignment vertical="center"/>
    </xf>
    <xf numFmtId="164" fontId="123" fillId="42"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1" fillId="14" borderId="0" applyNumberFormat="0" applyBorder="0" applyAlignment="0" applyProtection="0">
      <alignment vertical="center"/>
    </xf>
    <xf numFmtId="164" fontId="191" fillId="14"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1" fillId="23" borderId="0" applyNumberFormat="0" applyBorder="0" applyAlignment="0" applyProtection="0">
      <alignment vertical="center"/>
    </xf>
    <xf numFmtId="164" fontId="190" fillId="29" borderId="0" applyNumberFormat="0" applyBorder="0" applyAlignment="0" applyProtection="0">
      <alignment vertical="center"/>
    </xf>
    <xf numFmtId="164" fontId="122" fillId="37" borderId="0" applyNumberFormat="0" applyBorder="0" applyAlignment="0" applyProtection="0">
      <alignment vertical="center"/>
    </xf>
    <xf numFmtId="164" fontId="191" fillId="14"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33" borderId="0" applyNumberFormat="0" applyBorder="0" applyAlignment="0" applyProtection="0">
      <alignment vertical="center"/>
    </xf>
    <xf numFmtId="164" fontId="190" fillId="1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0" fillId="33" borderId="0" applyNumberFormat="0" applyBorder="0" applyAlignment="0" applyProtection="0">
      <alignment vertical="center"/>
    </xf>
    <xf numFmtId="164" fontId="122" fillId="43"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23" fillId="41" borderId="0" applyNumberFormat="0" applyBorder="0" applyAlignment="0" applyProtection="0">
      <alignment vertical="center"/>
    </xf>
    <xf numFmtId="164" fontId="191" fillId="23" borderId="0" applyNumberFormat="0" applyBorder="0" applyAlignment="0" applyProtection="0">
      <alignment vertical="center"/>
    </xf>
    <xf numFmtId="164" fontId="122" fillId="35" borderId="0" applyNumberFormat="0" applyBorder="0" applyAlignment="0" applyProtection="0">
      <alignment vertical="center"/>
    </xf>
    <xf numFmtId="164" fontId="103" fillId="65" borderId="27" applyNumberFormat="0" applyFont="0" applyAlignment="0" applyProtection="0">
      <alignment vertical="center"/>
    </xf>
    <xf numFmtId="164" fontId="193" fillId="0" borderId="10"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57" fillId="44"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34" fillId="39" borderId="11" applyNumberFormat="0" applyAlignment="0" applyProtection="0">
      <alignment vertical="center"/>
    </xf>
    <xf numFmtId="164" fontId="191" fillId="30" borderId="0" applyNumberFormat="0" applyBorder="0" applyAlignment="0" applyProtection="0">
      <alignment vertical="center"/>
    </xf>
    <xf numFmtId="164" fontId="191" fillId="27" borderId="0" applyNumberFormat="0" applyBorder="0" applyAlignment="0" applyProtection="0">
      <alignment vertical="center"/>
    </xf>
    <xf numFmtId="164" fontId="123" fillId="45" borderId="0" applyNumberFormat="0" applyBorder="0" applyAlignment="0" applyProtection="0">
      <alignment vertical="center"/>
    </xf>
    <xf numFmtId="164" fontId="190" fillId="33" borderId="0" applyNumberFormat="0" applyBorder="0" applyAlignment="0" applyProtection="0">
      <alignment vertical="center"/>
    </xf>
    <xf numFmtId="164" fontId="190" fillId="12"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1" fillId="30" borderId="0" applyNumberFormat="0" applyBorder="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22" fillId="10" borderId="9" applyNumberFormat="0" applyFont="0" applyAlignment="0" applyProtection="0">
      <alignment vertical="center"/>
    </xf>
    <xf numFmtId="164" fontId="191" fillId="14" borderId="0" applyNumberFormat="0" applyBorder="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90" fillId="33" borderId="0" applyNumberFormat="0" applyBorder="0" applyAlignment="0" applyProtection="0">
      <alignment vertical="center"/>
    </xf>
    <xf numFmtId="164" fontId="122" fillId="10" borderId="9" applyNumberFormat="0" applyFont="0" applyAlignment="0" applyProtection="0">
      <alignment vertical="center"/>
    </xf>
    <xf numFmtId="164" fontId="191" fillId="14" borderId="0" applyNumberFormat="0" applyBorder="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3" fillId="0" borderId="10"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1" fillId="31"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57" fillId="47" borderId="0" applyNumberFormat="0" applyBorder="0" applyAlignment="0" applyProtection="0">
      <alignment vertical="center"/>
    </xf>
    <xf numFmtId="164" fontId="191" fillId="14"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91" fillId="22" borderId="0" applyNumberFormat="0" applyBorder="0" applyAlignment="0" applyProtection="0">
      <alignment vertical="center"/>
    </xf>
    <xf numFmtId="164" fontId="172" fillId="0" borderId="0" applyNumberFormat="0" applyFill="0" applyBorder="0" applyAlignment="0" applyProtection="0">
      <alignment vertical="center"/>
    </xf>
    <xf numFmtId="164" fontId="190" fillId="29" borderId="0" applyNumberFormat="0" applyBorder="0" applyAlignment="0" applyProtection="0">
      <alignment vertical="center"/>
    </xf>
    <xf numFmtId="164" fontId="191" fillId="26" borderId="0" applyNumberFormat="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2" fillId="7" borderId="5" applyNumberFormat="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157" fillId="45" borderId="0" applyNumberFormat="0" applyBorder="0" applyAlignment="0" applyProtection="0">
      <alignment vertical="center"/>
    </xf>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3" fillId="8" borderId="6" applyNumberForma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38" fillId="0" borderId="0" applyNumberFormat="0" applyFill="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13" borderId="0" applyNumberFormat="0" applyBorder="0" applyAlignment="0" applyProtection="0">
      <alignment vertical="center"/>
    </xf>
    <xf numFmtId="164" fontId="199" fillId="0" borderId="2" applyNumberFormat="0" applyFill="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164" fontId="193" fillId="0" borderId="10" applyNumberFormat="0" applyFill="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22" fillId="10" borderId="9" applyNumberFormat="0" applyFont="0" applyAlignment="0" applyProtection="0">
      <alignment vertical="center"/>
    </xf>
    <xf numFmtId="164" fontId="166" fillId="39" borderId="11" applyNumberForma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25" fillId="0" borderId="28" applyNumberFormat="0" applyFill="0" applyAlignment="0" applyProtection="0">
      <alignment vertical="center"/>
    </xf>
    <xf numFmtId="164" fontId="157" fillId="46" borderId="0" applyNumberFormat="0" applyBorder="0" applyAlignment="0" applyProtection="0">
      <alignment vertical="center"/>
    </xf>
    <xf numFmtId="164" fontId="190" fillId="32"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30" borderId="0" applyNumberFormat="0" applyBorder="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196" fillId="0" borderId="7" applyNumberFormat="0" applyFill="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40" borderId="0" applyNumberFormat="0" applyBorder="0" applyAlignment="0" applyProtection="0">
      <alignment vertical="center"/>
    </xf>
    <xf numFmtId="164" fontId="123" fillId="4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3" borderId="0" applyNumberFormat="0" applyBorder="0" applyAlignment="0" applyProtection="0">
      <alignment vertical="center"/>
    </xf>
    <xf numFmtId="164" fontId="191" fillId="14" borderId="0" applyNumberFormat="0" applyBorder="0" applyAlignment="0" applyProtection="0">
      <alignment vertical="center"/>
    </xf>
    <xf numFmtId="164" fontId="123" fillId="41"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1" fillId="3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22" fillId="10" borderId="9" applyNumberFormat="0" applyFont="0" applyAlignment="0" applyProtection="0">
      <alignment vertical="center"/>
    </xf>
    <xf numFmtId="164" fontId="190" fillId="17" borderId="0" applyNumberFormat="0" applyBorder="0" applyAlignment="0" applyProtection="0">
      <alignment vertical="center"/>
    </xf>
    <xf numFmtId="164" fontId="190" fillId="24" borderId="0" applyNumberFormat="0" applyBorder="0" applyAlignment="0" applyProtection="0">
      <alignment vertical="center"/>
    </xf>
    <xf numFmtId="164" fontId="194" fillId="4"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3" fillId="0" borderId="10" applyNumberFormat="0" applyFill="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0" fillId="32"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91" fillId="18"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50" borderId="0" applyNumberFormat="0" applyBorder="0" applyAlignment="0" applyProtection="0">
      <alignment vertical="center"/>
    </xf>
    <xf numFmtId="164" fontId="191" fillId="14" borderId="0" applyNumberFormat="0" applyBorder="0" applyAlignment="0" applyProtection="0">
      <alignment vertical="center"/>
    </xf>
    <xf numFmtId="164" fontId="63" fillId="0" borderId="21"/>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191" fillId="22"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57" fillId="42" borderId="0" applyNumberFormat="0" applyBorder="0" applyAlignment="0" applyProtection="0">
      <alignment vertical="center"/>
    </xf>
    <xf numFmtId="164" fontId="193" fillId="0" borderId="10"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9" fillId="0" borderId="2" applyNumberFormat="0" applyFill="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4" borderId="0" applyNumberFormat="0" applyBorder="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1" fillId="34"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5" borderId="0" applyNumberFormat="0" applyBorder="0" applyAlignment="0" applyProtection="0">
      <alignment vertical="center"/>
    </xf>
    <xf numFmtId="164" fontId="191" fillId="18"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93" fillId="0" borderId="10" applyNumberFormat="0" applyFill="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22" fillId="41" borderId="0" applyNumberFormat="0" applyBorder="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1" fillId="14" borderId="0" applyNumberFormat="0" applyBorder="0" applyAlignment="0" applyProtection="0">
      <alignment vertical="center"/>
    </xf>
    <xf numFmtId="164" fontId="157" fillId="51"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6" fillId="3"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2" fillId="10" borderId="9" applyNumberFormat="0" applyFont="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9" fillId="0" borderId="2" applyNumberFormat="0" applyFill="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90" fillId="29" borderId="0" applyNumberFormat="0" applyBorder="0" applyAlignment="0" applyProtection="0">
      <alignment vertical="center"/>
    </xf>
    <xf numFmtId="164" fontId="134" fillId="39" borderId="11" applyNumberFormat="0" applyAlignment="0" applyProtection="0">
      <alignment vertical="center"/>
    </xf>
    <xf numFmtId="164" fontId="30" fillId="0" borderId="23"/>
    <xf numFmtId="164" fontId="63" fillId="0" borderId="21"/>
    <xf numFmtId="164" fontId="193" fillId="0" borderId="10" applyNumberFormat="0" applyFill="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90" fillId="12"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32"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91" fillId="30"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3" fillId="0" borderId="10" applyNumberFormat="0" applyFill="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3" fillId="0" borderId="10" applyNumberFormat="0" applyFill="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164" fontId="157" fillId="41"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26" borderId="0" applyNumberFormat="0" applyBorder="0" applyAlignment="0" applyProtection="0">
      <alignment vertical="center"/>
    </xf>
    <xf numFmtId="164" fontId="190" fillId="24"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164" fontId="123" fillId="50" borderId="0" applyNumberFormat="0" applyBorder="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23" fillId="41" borderId="0" applyNumberFormat="0" applyBorder="0" applyAlignment="0" applyProtection="0">
      <alignment vertical="center"/>
    </xf>
    <xf numFmtId="164" fontId="185" fillId="39" borderId="11" applyNumberFormat="0" applyAlignment="0" applyProtection="0">
      <alignment vertical="center"/>
    </xf>
    <xf numFmtId="164" fontId="191" fillId="30" borderId="0" applyNumberFormat="0" applyBorder="0" applyAlignment="0" applyProtection="0">
      <alignment vertical="center"/>
    </xf>
    <xf numFmtId="164" fontId="123" fillId="46" borderId="0" applyNumberFormat="0" applyBorder="0" applyAlignment="0" applyProtection="0">
      <alignment vertical="center"/>
    </xf>
    <xf numFmtId="164" fontId="190" fillId="33" borderId="0" applyNumberFormat="0" applyBorder="0" applyAlignment="0" applyProtection="0">
      <alignment vertical="center"/>
    </xf>
    <xf numFmtId="164" fontId="191" fillId="26"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90" fillId="29" borderId="0" applyNumberFormat="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90" fillId="25" borderId="0" applyNumberFormat="0" applyBorder="0" applyAlignment="0" applyProtection="0">
      <alignment vertical="center"/>
    </xf>
    <xf numFmtId="164" fontId="123" fillId="42" borderId="0" applyNumberFormat="0" applyBorder="0" applyAlignment="0" applyProtection="0">
      <alignment vertical="center"/>
    </xf>
    <xf numFmtId="164" fontId="123" fillId="49"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28" borderId="0" applyNumberFormat="0" applyBorder="0" applyAlignment="0" applyProtection="0">
      <alignment vertical="center"/>
    </xf>
    <xf numFmtId="164" fontId="190" fillId="17" borderId="0" applyNumberFormat="0" applyBorder="0" applyAlignment="0" applyProtection="0">
      <alignment vertical="center"/>
    </xf>
    <xf numFmtId="164" fontId="124" fillId="61"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1" fillId="30"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191" fillId="22"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0" fillId="32"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90" fillId="65" borderId="27" applyNumberFormat="0" applyFont="0" applyAlignment="0" applyProtection="0"/>
    <xf numFmtId="164" fontId="205" fillId="5" borderId="0" applyNumberFormat="0" applyBorder="0" applyAlignment="0" applyProtection="0">
      <alignment vertical="center"/>
    </xf>
    <xf numFmtId="164" fontId="191" fillId="30" borderId="0" applyNumberFormat="0" applyBorder="0" applyAlignment="0" applyProtection="0">
      <alignment vertical="center"/>
    </xf>
    <xf numFmtId="164" fontId="198" fillId="0" borderId="0" applyNumberFormat="0" applyFill="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23" fillId="42" borderId="0" applyNumberFormat="0" applyBorder="0" applyAlignment="0" applyProtection="0">
      <alignment vertical="center"/>
    </xf>
    <xf numFmtId="164" fontId="157" fillId="46" borderId="0" applyNumberFormat="0" applyBorder="0" applyAlignment="0" applyProtection="0">
      <alignment vertical="center"/>
    </xf>
    <xf numFmtId="164" fontId="122" fillId="42" borderId="0" applyNumberFormat="0" applyBorder="0" applyAlignment="0" applyProtection="0">
      <alignment vertical="center"/>
    </xf>
    <xf numFmtId="164" fontId="190" fillId="16" borderId="0" applyNumberFormat="0" applyBorder="0" applyAlignment="0" applyProtection="0">
      <alignment vertical="center"/>
    </xf>
    <xf numFmtId="164" fontId="198"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22" fillId="10" borderId="9" applyNumberFormat="0" applyFon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164" fontId="190" fillId="20"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213" fontId="88"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5" fillId="8" borderId="5" applyNumberFormat="0" applyAlignment="0" applyProtection="0">
      <alignment vertical="center"/>
    </xf>
    <xf numFmtId="164" fontId="191" fillId="26"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63" fillId="0" borderId="21"/>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1" fillId="26"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205" fillId="5" borderId="0" applyNumberFormat="0" applyBorder="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90" fillId="33" borderId="0" applyNumberFormat="0" applyBorder="0" applyAlignment="0" applyProtection="0">
      <alignment vertical="center"/>
    </xf>
    <xf numFmtId="164" fontId="122" fillId="42" borderId="0" applyNumberFormat="0" applyBorder="0" applyAlignment="0" applyProtection="0">
      <alignment vertical="center"/>
    </xf>
    <xf numFmtId="164" fontId="190" fillId="12" borderId="0" applyNumberFormat="0" applyBorder="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22" borderId="0" applyNumberFormat="0" applyBorder="0" applyAlignment="0" applyProtection="0">
      <alignment vertical="center"/>
    </xf>
    <xf numFmtId="164" fontId="192" fillId="6" borderId="0" applyNumberFormat="0" applyBorder="0" applyAlignment="0" applyProtection="0">
      <alignment vertical="center"/>
    </xf>
    <xf numFmtId="164" fontId="190" fillId="1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34" borderId="0" applyNumberFormat="0" applyBorder="0" applyAlignment="0" applyProtection="0">
      <alignment vertical="center"/>
    </xf>
    <xf numFmtId="164" fontId="122" fillId="37" borderId="0" applyNumberFormat="0" applyBorder="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7"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23" fillId="47"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7"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206"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164" fontId="206" fillId="0" borderId="0" applyNumberFormat="0" applyFill="0" applyBorder="0" applyAlignment="0" applyProtection="0">
      <alignment vertical="center"/>
    </xf>
    <xf numFmtId="164" fontId="30" fillId="0" borderId="23"/>
    <xf numFmtId="164" fontId="192" fillId="6" borderId="0" applyNumberFormat="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22" fillId="41"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3"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1" fillId="1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90" fillId="20" borderId="0" applyNumberFormat="0" applyBorder="0" applyAlignment="0" applyProtection="0">
      <alignment vertical="center"/>
    </xf>
    <xf numFmtId="164" fontId="191" fillId="15"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7" borderId="0" applyNumberFormat="0" applyBorder="0" applyAlignment="0" applyProtection="0">
      <alignment vertical="center"/>
    </xf>
    <xf numFmtId="164" fontId="122" fillId="36" borderId="0" applyNumberFormat="0" applyBorder="0" applyAlignment="0" applyProtection="0">
      <alignment vertical="center"/>
    </xf>
    <xf numFmtId="164" fontId="135" fillId="53" borderId="20" applyNumberFormat="0" applyAlignment="0" applyProtection="0">
      <alignment vertical="center"/>
    </xf>
    <xf numFmtId="164" fontId="190" fillId="28" borderId="0" applyNumberFormat="0" applyBorder="0" applyAlignment="0" applyProtection="0">
      <alignment vertical="center"/>
    </xf>
    <xf numFmtId="164" fontId="191" fillId="15" borderId="0" applyNumberFormat="0" applyBorder="0" applyAlignment="0" applyProtection="0">
      <alignment vertical="center"/>
    </xf>
    <xf numFmtId="164" fontId="157" fillId="52"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22" fillId="43"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57" fillId="4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1" fillId="34" borderId="0" applyNumberFormat="0" applyBorder="0" applyAlignment="0" applyProtection="0">
      <alignment vertical="center"/>
    </xf>
    <xf numFmtId="164" fontId="191" fillId="19" borderId="0" applyNumberFormat="0" applyBorder="0" applyAlignment="0" applyProtection="0">
      <alignment vertical="center"/>
    </xf>
    <xf numFmtId="164" fontId="191" fillId="30" borderId="0" applyNumberFormat="0" applyBorder="0" applyAlignment="0" applyProtection="0">
      <alignment vertical="center"/>
    </xf>
    <xf numFmtId="164" fontId="123" fillId="42"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2" fillId="6"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0" fillId="32"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1" fillId="23" borderId="0" applyNumberFormat="0" applyBorder="0" applyAlignment="0" applyProtection="0">
      <alignment vertical="center"/>
    </xf>
    <xf numFmtId="164" fontId="190" fillId="29" borderId="0" applyNumberFormat="0" applyBorder="0" applyAlignment="0" applyProtection="0">
      <alignment vertical="center"/>
    </xf>
    <xf numFmtId="164" fontId="122" fillId="37"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16" borderId="0" applyNumberFormat="0" applyBorder="0" applyAlignment="0" applyProtection="0">
      <alignment vertical="center"/>
    </xf>
    <xf numFmtId="164" fontId="191" fillId="23"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0" fillId="33" borderId="0" applyNumberFormat="0" applyBorder="0" applyAlignment="0" applyProtection="0">
      <alignment vertical="center"/>
    </xf>
    <xf numFmtId="164" fontId="122" fillId="43"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23" fillId="41" borderId="0" applyNumberFormat="0" applyBorder="0" applyAlignment="0" applyProtection="0">
      <alignment vertical="center"/>
    </xf>
    <xf numFmtId="164" fontId="191" fillId="23" borderId="0" applyNumberFormat="0" applyBorder="0" applyAlignment="0" applyProtection="0">
      <alignment vertical="center"/>
    </xf>
    <xf numFmtId="164" fontId="122" fillId="35" borderId="0" applyNumberFormat="0" applyBorder="0" applyAlignment="0" applyProtection="0">
      <alignment vertical="center"/>
    </xf>
    <xf numFmtId="164" fontId="103" fillId="65" borderId="27" applyNumberFormat="0" applyFont="0" applyAlignment="0" applyProtection="0">
      <alignment vertical="center"/>
    </xf>
    <xf numFmtId="164" fontId="193" fillId="0" borderId="10"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1" fillId="18"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57" fillId="44"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34" fillId="39" borderId="11" applyNumberFormat="0" applyAlignment="0" applyProtection="0">
      <alignment vertical="center"/>
    </xf>
    <xf numFmtId="164" fontId="191" fillId="30" borderId="0" applyNumberFormat="0" applyBorder="0" applyAlignment="0" applyProtection="0">
      <alignment vertical="center"/>
    </xf>
    <xf numFmtId="164" fontId="191" fillId="27" borderId="0" applyNumberFormat="0" applyBorder="0" applyAlignment="0" applyProtection="0">
      <alignment vertical="center"/>
    </xf>
    <xf numFmtId="164" fontId="123" fillId="45" borderId="0" applyNumberFormat="0" applyBorder="0" applyAlignment="0" applyProtection="0">
      <alignment vertical="center"/>
    </xf>
    <xf numFmtId="164" fontId="190" fillId="33" borderId="0" applyNumberFormat="0" applyBorder="0" applyAlignment="0" applyProtection="0">
      <alignment vertical="center"/>
    </xf>
    <xf numFmtId="164" fontId="190" fillId="12"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22" fillId="10" borderId="9" applyNumberFormat="0" applyFont="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22" fillId="10" borderId="9" applyNumberFormat="0" applyFont="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1" fillId="31"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91" fillId="14"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91" fillId="22" borderId="0" applyNumberFormat="0" applyBorder="0" applyAlignment="0" applyProtection="0">
      <alignment vertical="center"/>
    </xf>
    <xf numFmtId="164" fontId="172"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2" fillId="7" borderId="5" applyNumberFormat="0" applyAlignment="0" applyProtection="0">
      <alignment vertical="center"/>
    </xf>
    <xf numFmtId="164" fontId="190" fillId="12" borderId="0" applyNumberFormat="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157" fillId="45" borderId="0" applyNumberFormat="0" applyBorder="0" applyAlignment="0" applyProtection="0">
      <alignment vertical="center"/>
    </xf>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3" fillId="8" borderId="6" applyNumberForma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13" borderId="0" applyNumberFormat="0" applyBorder="0" applyAlignment="0" applyProtection="0">
      <alignment vertical="center"/>
    </xf>
    <xf numFmtId="164" fontId="199" fillId="0" borderId="2" applyNumberFormat="0" applyFill="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164" fontId="193" fillId="0" borderId="10" applyNumberFormat="0" applyFill="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22" fillId="10" borderId="9" applyNumberFormat="0" applyFont="0" applyAlignment="0" applyProtection="0">
      <alignment vertical="center"/>
    </xf>
    <xf numFmtId="164" fontId="166" fillId="39" borderId="11" applyNumberForma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25" fillId="0" borderId="28" applyNumberFormat="0" applyFill="0" applyAlignment="0" applyProtection="0">
      <alignment vertical="center"/>
    </xf>
    <xf numFmtId="164" fontId="190" fillId="32"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1" fillId="30" borderId="0" applyNumberFormat="0" applyBorder="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196" fillId="0" borderId="7" applyNumberFormat="0" applyFill="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40" borderId="0" applyNumberFormat="0" applyBorder="0" applyAlignment="0" applyProtection="0">
      <alignment vertical="center"/>
    </xf>
    <xf numFmtId="164" fontId="123" fillId="4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3" borderId="0" applyNumberFormat="0" applyBorder="0" applyAlignment="0" applyProtection="0">
      <alignment vertical="center"/>
    </xf>
    <xf numFmtId="164" fontId="191" fillId="14" borderId="0" applyNumberFormat="0" applyBorder="0" applyAlignment="0" applyProtection="0">
      <alignment vertical="center"/>
    </xf>
    <xf numFmtId="164" fontId="123" fillId="41"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1" fillId="3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22" fillId="10" borderId="9" applyNumberFormat="0" applyFont="0" applyAlignment="0" applyProtection="0">
      <alignment vertical="center"/>
    </xf>
    <xf numFmtId="164" fontId="190" fillId="17" borderId="0" applyNumberFormat="0" applyBorder="0" applyAlignment="0" applyProtection="0">
      <alignment vertical="center"/>
    </xf>
    <xf numFmtId="164" fontId="190" fillId="24" borderId="0" applyNumberFormat="0" applyBorder="0" applyAlignment="0" applyProtection="0">
      <alignment vertical="center"/>
    </xf>
    <xf numFmtId="164" fontId="194" fillId="4"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3" fillId="0" borderId="10" applyNumberFormat="0" applyFill="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0" fillId="32"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50" borderId="0" applyNumberFormat="0" applyBorder="0" applyAlignment="0" applyProtection="0">
      <alignment vertical="center"/>
    </xf>
    <xf numFmtId="164" fontId="191" fillId="14"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57" fillId="42" borderId="0" applyNumberFormat="0" applyBorder="0" applyAlignment="0" applyProtection="0">
      <alignment vertical="center"/>
    </xf>
    <xf numFmtId="164" fontId="193" fillId="0" borderId="10"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9" fillId="0" borderId="2" applyNumberFormat="0" applyFill="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4" borderId="0" applyNumberFormat="0" applyBorder="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1" fillId="34"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5" borderId="0" applyNumberFormat="0" applyBorder="0" applyAlignment="0" applyProtection="0">
      <alignment vertical="center"/>
    </xf>
    <xf numFmtId="164" fontId="191" fillId="18"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93" fillId="0" borderId="10" applyNumberFormat="0" applyFill="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22" fillId="41" borderId="0" applyNumberFormat="0" applyBorder="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91" fillId="14" borderId="0" applyNumberFormat="0" applyBorder="0" applyAlignment="0" applyProtection="0">
      <alignment vertical="center"/>
    </xf>
    <xf numFmtId="164" fontId="157" fillId="51"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6" fillId="3"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2" fillId="10" borderId="9" applyNumberFormat="0" applyFont="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9" fillId="0" borderId="2" applyNumberFormat="0" applyFill="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90" fillId="29" borderId="0" applyNumberFormat="0" applyBorder="0" applyAlignment="0" applyProtection="0">
      <alignment vertical="center"/>
    </xf>
    <xf numFmtId="164" fontId="134" fillId="39" borderId="11" applyNumberFormat="0" applyAlignment="0" applyProtection="0">
      <alignment vertical="center"/>
    </xf>
    <xf numFmtId="164" fontId="30" fillId="0" borderId="23"/>
    <xf numFmtId="164" fontId="63" fillId="0" borderId="21"/>
    <xf numFmtId="164" fontId="193" fillId="0" borderId="10" applyNumberFormat="0" applyFill="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90" fillId="12"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32"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91" fillId="30"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3" fillId="0" borderId="10" applyNumberFormat="0" applyFill="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3" fillId="0" borderId="10" applyNumberFormat="0" applyFill="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164" fontId="157" fillId="41"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164" fontId="123" fillId="50" borderId="0" applyNumberFormat="0" applyBorder="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23" fillId="41" borderId="0" applyNumberFormat="0" applyBorder="0" applyAlignment="0" applyProtection="0">
      <alignment vertical="center"/>
    </xf>
    <xf numFmtId="164" fontId="185" fillId="39" borderId="11" applyNumberFormat="0" applyAlignment="0" applyProtection="0">
      <alignment vertical="center"/>
    </xf>
    <xf numFmtId="164" fontId="191" fillId="30" borderId="0" applyNumberFormat="0" applyBorder="0" applyAlignment="0" applyProtection="0">
      <alignment vertical="center"/>
    </xf>
    <xf numFmtId="164" fontId="123" fillId="46" borderId="0" applyNumberFormat="0" applyBorder="0" applyAlignment="0" applyProtection="0">
      <alignment vertical="center"/>
    </xf>
    <xf numFmtId="164" fontId="190" fillId="33"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190" fillId="33"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90" fillId="29" borderId="0" applyNumberFormat="0" applyBorder="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90" fillId="25" borderId="0" applyNumberFormat="0" applyBorder="0" applyAlignment="0" applyProtection="0">
      <alignment vertical="center"/>
    </xf>
    <xf numFmtId="164" fontId="123" fillId="42" borderId="0" applyNumberFormat="0" applyBorder="0" applyAlignment="0" applyProtection="0">
      <alignment vertical="center"/>
    </xf>
    <xf numFmtId="164" fontId="123" fillId="49"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28" borderId="0" applyNumberFormat="0" applyBorder="0" applyAlignment="0" applyProtection="0">
      <alignment vertical="center"/>
    </xf>
    <xf numFmtId="164" fontId="190" fillId="17" borderId="0" applyNumberFormat="0" applyBorder="0" applyAlignment="0" applyProtection="0">
      <alignment vertical="center"/>
    </xf>
    <xf numFmtId="164" fontId="124" fillId="61"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0" fillId="13" borderId="0" applyNumberFormat="0" applyBorder="0" applyAlignment="0" applyProtection="0">
      <alignment vertical="center"/>
    </xf>
    <xf numFmtId="164" fontId="190" fillId="33"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90" fillId="20" borderId="0" applyNumberFormat="0" applyBorder="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0" fillId="32" borderId="0" applyNumberFormat="0" applyBorder="0" applyAlignment="0" applyProtection="0">
      <alignment vertical="center"/>
    </xf>
    <xf numFmtId="164" fontId="192" fillId="6" borderId="0" applyNumberFormat="0" applyBorder="0" applyAlignment="0" applyProtection="0">
      <alignment vertical="center"/>
    </xf>
    <xf numFmtId="164" fontId="122" fillId="10" borderId="9" applyNumberFormat="0" applyFont="0" applyAlignment="0" applyProtection="0">
      <alignment vertical="center"/>
    </xf>
    <xf numFmtId="164" fontId="90" fillId="65" borderId="27" applyNumberFormat="0" applyFont="0" applyAlignment="0" applyProtection="0"/>
    <xf numFmtId="164" fontId="205" fillId="5" borderId="0" applyNumberFormat="0" applyBorder="0" applyAlignment="0" applyProtection="0">
      <alignment vertical="center"/>
    </xf>
    <xf numFmtId="164" fontId="191" fillId="30" borderId="0" applyNumberFormat="0" applyBorder="0" applyAlignment="0" applyProtection="0">
      <alignment vertical="center"/>
    </xf>
    <xf numFmtId="164" fontId="198" fillId="0" borderId="0" applyNumberFormat="0" applyFill="0" applyBorder="0" applyAlignment="0" applyProtection="0">
      <alignment vertical="center"/>
    </xf>
    <xf numFmtId="164" fontId="190" fillId="29"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8"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22" fillId="10" borderId="9" applyNumberFormat="0" applyFon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213" fontId="88"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5" fillId="8" borderId="5" applyNumberFormat="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63" fillId="0" borderId="21"/>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0" fillId="2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190" fillId="12"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3" borderId="0" applyNumberFormat="0" applyBorder="0" applyAlignment="0" applyProtection="0">
      <alignment vertical="center"/>
    </xf>
    <xf numFmtId="164" fontId="122" fillId="39" borderId="0" applyNumberFormat="0" applyBorder="0" applyAlignment="0" applyProtection="0">
      <alignment vertical="center"/>
    </xf>
    <xf numFmtId="164" fontId="190" fillId="33" borderId="0" applyNumberFormat="0" applyBorder="0" applyAlignment="0" applyProtection="0">
      <alignment vertical="center"/>
    </xf>
    <xf numFmtId="164" fontId="122" fillId="42"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34" borderId="0" applyNumberFormat="0" applyBorder="0" applyAlignment="0" applyProtection="0">
      <alignment vertical="center"/>
    </xf>
    <xf numFmtId="164" fontId="122" fillId="37"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7"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23" fillId="47"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7"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4" fillId="4" borderId="0" applyNumberFormat="0" applyBorder="0" applyAlignment="0" applyProtection="0">
      <alignment vertical="center"/>
    </xf>
    <xf numFmtId="164" fontId="190" fillId="20" borderId="0" applyNumberFormat="0" applyBorder="0" applyAlignment="0" applyProtection="0">
      <alignment vertical="center"/>
    </xf>
    <xf numFmtId="164" fontId="206"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164" fontId="206" fillId="0" borderId="0" applyNumberFormat="0" applyFill="0" applyBorder="0" applyAlignment="0" applyProtection="0">
      <alignment vertical="center"/>
    </xf>
    <xf numFmtId="164" fontId="30" fillId="0" borderId="23"/>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33"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0" fillId="29" borderId="0" applyNumberFormat="0" applyBorder="0" applyAlignment="0" applyProtection="0">
      <alignment vertical="center"/>
    </xf>
    <xf numFmtId="164" fontId="191" fillId="1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90" fillId="20" borderId="0" applyNumberFormat="0" applyBorder="0" applyAlignment="0" applyProtection="0">
      <alignment vertical="center"/>
    </xf>
    <xf numFmtId="164" fontId="191" fillId="15" borderId="0" applyNumberFormat="0" applyBorder="0" applyAlignment="0" applyProtection="0">
      <alignment vertical="center"/>
    </xf>
    <xf numFmtId="164" fontId="190" fillId="1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0" fillId="17" borderId="0" applyNumberFormat="0" applyBorder="0" applyAlignment="0" applyProtection="0">
      <alignment vertical="center"/>
    </xf>
    <xf numFmtId="164" fontId="122" fillId="36" borderId="0" applyNumberFormat="0" applyBorder="0" applyAlignment="0" applyProtection="0">
      <alignment vertical="center"/>
    </xf>
    <xf numFmtId="164" fontId="135" fillId="53" borderId="20" applyNumberFormat="0" applyAlignment="0" applyProtection="0">
      <alignment vertical="center"/>
    </xf>
    <xf numFmtId="164" fontId="190" fillId="28" borderId="0" applyNumberFormat="0" applyBorder="0" applyAlignment="0" applyProtection="0">
      <alignment vertical="center"/>
    </xf>
    <xf numFmtId="164" fontId="191" fillId="15"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91" fillId="22" borderId="0" applyNumberFormat="0" applyBorder="0" applyAlignment="0" applyProtection="0">
      <alignment vertical="center"/>
    </xf>
    <xf numFmtId="164" fontId="123" fillId="51" borderId="0" applyNumberFormat="0" applyBorder="0" applyAlignment="0" applyProtection="0">
      <alignment vertical="center"/>
    </xf>
    <xf numFmtId="164" fontId="190" fillId="17"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22" fillId="43"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57" fillId="4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1" fillId="19" borderId="0" applyNumberFormat="0" applyBorder="0" applyAlignment="0" applyProtection="0">
      <alignment vertical="center"/>
    </xf>
    <xf numFmtId="164" fontId="191" fillId="30" borderId="0" applyNumberFormat="0" applyBorder="0" applyAlignment="0" applyProtection="0">
      <alignment vertical="center"/>
    </xf>
    <xf numFmtId="164" fontId="123" fillId="42"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1" fillId="23" borderId="0" applyNumberFormat="0" applyBorder="0" applyAlignment="0" applyProtection="0">
      <alignment vertical="center"/>
    </xf>
    <xf numFmtId="164" fontId="190" fillId="29" borderId="0" applyNumberFormat="0" applyBorder="0" applyAlignment="0" applyProtection="0">
      <alignment vertical="center"/>
    </xf>
    <xf numFmtId="164" fontId="122" fillId="37"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24" borderId="0" applyNumberFormat="0" applyBorder="0" applyAlignment="0" applyProtection="0">
      <alignment vertical="center"/>
    </xf>
    <xf numFmtId="164" fontId="190" fillId="16" borderId="0" applyNumberFormat="0" applyBorder="0" applyAlignment="0" applyProtection="0">
      <alignment vertical="center"/>
    </xf>
    <xf numFmtId="164" fontId="191" fillId="23" borderId="0" applyNumberFormat="0" applyBorder="0" applyAlignment="0" applyProtection="0">
      <alignment vertical="center"/>
    </xf>
    <xf numFmtId="164" fontId="192" fillId="6" borderId="0" applyNumberFormat="0" applyBorder="0" applyAlignment="0" applyProtection="0">
      <alignment vertical="center"/>
    </xf>
    <xf numFmtId="164" fontId="190" fillId="12" borderId="0" applyNumberFormat="0" applyBorder="0" applyAlignment="0" applyProtection="0">
      <alignment vertical="center"/>
    </xf>
    <xf numFmtId="164" fontId="190" fillId="33" borderId="0" applyNumberFormat="0" applyBorder="0" applyAlignment="0" applyProtection="0">
      <alignment vertical="center"/>
    </xf>
    <xf numFmtId="164" fontId="122" fillId="43" borderId="0" applyNumberFormat="0" applyBorder="0" applyAlignment="0" applyProtection="0">
      <alignment vertical="center"/>
    </xf>
    <xf numFmtId="164" fontId="122" fillId="10" borderId="9" applyNumberFormat="0" applyFont="0" applyAlignment="0" applyProtection="0">
      <alignment vertical="center"/>
    </xf>
    <xf numFmtId="164" fontId="193" fillId="0" borderId="10" applyNumberFormat="0" applyFill="0" applyAlignment="0" applyProtection="0">
      <alignment vertical="center"/>
    </xf>
    <xf numFmtId="164" fontId="191" fillId="23" borderId="0" applyNumberFormat="0" applyBorder="0" applyAlignment="0" applyProtection="0">
      <alignment vertical="center"/>
    </xf>
    <xf numFmtId="164" fontId="122" fillId="35" borderId="0" applyNumberFormat="0" applyBorder="0" applyAlignment="0" applyProtection="0">
      <alignment vertical="center"/>
    </xf>
    <xf numFmtId="164" fontId="103" fillId="65" borderId="27" applyNumberFormat="0" applyFont="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57" fillId="44"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1" fillId="27" borderId="0" applyNumberFormat="0" applyBorder="0" applyAlignment="0" applyProtection="0">
      <alignment vertical="center"/>
    </xf>
    <xf numFmtId="164" fontId="123" fillId="45" borderId="0" applyNumberFormat="0" applyBorder="0" applyAlignment="0" applyProtection="0">
      <alignment vertical="center"/>
    </xf>
    <xf numFmtId="164" fontId="190" fillId="33"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22" fillId="10" borderId="9" applyNumberFormat="0" applyFont="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22" fillId="10" borderId="9" applyNumberFormat="0" applyFont="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1" borderId="0" applyNumberFormat="0" applyBorder="0" applyAlignment="0" applyProtection="0">
      <alignment vertical="center"/>
    </xf>
    <xf numFmtId="164" fontId="190" fillId="33"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72" fillId="0" borderId="0" applyNumberFormat="0" applyFill="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202" fillId="7" borderId="5"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157" fillId="45" borderId="0" applyNumberFormat="0" applyBorder="0" applyAlignment="0" applyProtection="0">
      <alignment vertical="center"/>
    </xf>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3" fillId="8" borderId="6" applyNumberForma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164" fontId="193" fillId="0" borderId="10" applyNumberFormat="0" applyFill="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22" fillId="10" borderId="9" applyNumberFormat="0" applyFont="0" applyAlignment="0" applyProtection="0">
      <alignment vertical="center"/>
    </xf>
    <xf numFmtId="164" fontId="166" fillId="39" borderId="11" applyNumberForma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25" fillId="0" borderId="28" applyNumberFormat="0" applyFill="0" applyAlignment="0" applyProtection="0">
      <alignment vertical="center"/>
    </xf>
    <xf numFmtId="164" fontId="190" fillId="32" borderId="0" applyNumberFormat="0" applyBorder="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1" fillId="18"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6" fillId="0" borderId="7" applyNumberFormat="0" applyFill="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22" fillId="40" borderId="0" applyNumberFormat="0" applyBorder="0" applyAlignment="0" applyProtection="0">
      <alignment vertical="center"/>
    </xf>
    <xf numFmtId="164" fontId="123" fillId="4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3" borderId="0" applyNumberFormat="0" applyBorder="0" applyAlignment="0" applyProtection="0">
      <alignment vertical="center"/>
    </xf>
    <xf numFmtId="164" fontId="191" fillId="14" borderId="0" applyNumberFormat="0" applyBorder="0" applyAlignment="0" applyProtection="0">
      <alignment vertical="center"/>
    </xf>
    <xf numFmtId="164" fontId="123" fillId="41"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91" fillId="34"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22" fillId="10" borderId="9" applyNumberFormat="0" applyFont="0" applyAlignment="0" applyProtection="0">
      <alignment vertical="center"/>
    </xf>
    <xf numFmtId="164" fontId="190" fillId="17" borderId="0" applyNumberFormat="0" applyBorder="0" applyAlignment="0" applyProtection="0">
      <alignment vertical="center"/>
    </xf>
    <xf numFmtId="164" fontId="190" fillId="24" borderId="0" applyNumberFormat="0" applyBorder="0" applyAlignment="0" applyProtection="0">
      <alignment vertical="center"/>
    </xf>
    <xf numFmtId="164" fontId="194" fillId="4"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90" fillId="32"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50"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57" fillId="42" borderId="0" applyNumberFormat="0" applyBorder="0" applyAlignment="0" applyProtection="0">
      <alignment vertical="center"/>
    </xf>
    <xf numFmtId="164" fontId="193" fillId="0" borderId="10"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1" fillId="26" borderId="0" applyNumberFormat="0" applyBorder="0" applyAlignment="0" applyProtection="0">
      <alignment vertical="center"/>
    </xf>
    <xf numFmtId="164" fontId="190" fillId="25" borderId="0" applyNumberFormat="0" applyBorder="0" applyAlignment="0" applyProtection="0">
      <alignment vertical="center"/>
    </xf>
    <xf numFmtId="164" fontId="191" fillId="30"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6"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164" fontId="190" fillId="24" borderId="0" applyNumberFormat="0" applyBorder="0" applyAlignment="0" applyProtection="0">
      <alignment vertical="center"/>
    </xf>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5"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191" fillId="2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93" fillId="0" borderId="10" applyNumberFormat="0" applyFill="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22" fillId="41" borderId="0" applyNumberFormat="0" applyBorder="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1" fillId="22"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57" fillId="51"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6" fillId="3"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9" fillId="0" borderId="2" applyNumberFormat="0" applyFill="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90" fillId="29" borderId="0" applyNumberFormat="0" applyBorder="0" applyAlignment="0" applyProtection="0">
      <alignment vertical="center"/>
    </xf>
    <xf numFmtId="164" fontId="134" fillId="39" borderId="11" applyNumberFormat="0" applyAlignment="0" applyProtection="0">
      <alignment vertical="center"/>
    </xf>
    <xf numFmtId="164" fontId="30" fillId="0" borderId="23"/>
    <xf numFmtId="164" fontId="63" fillId="0" borderId="21"/>
    <xf numFmtId="164" fontId="193" fillId="0" borderId="10" applyNumberFormat="0" applyFill="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90" fillId="12"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32"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91" fillId="30" borderId="0" applyNumberFormat="0" applyBorder="0" applyAlignment="0" applyProtection="0">
      <alignment vertical="center"/>
    </xf>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1" fillId="30"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0" fillId="12"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3" fillId="0" borderId="10" applyNumberFormat="0" applyFill="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164" fontId="123" fillId="50" borderId="0" applyNumberFormat="0" applyBorder="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23" fillId="41" borderId="0" applyNumberFormat="0" applyBorder="0" applyAlignment="0" applyProtection="0">
      <alignment vertical="center"/>
    </xf>
    <xf numFmtId="164" fontId="185" fillId="39" borderId="11" applyNumberFormat="0" applyAlignment="0" applyProtection="0">
      <alignment vertical="center"/>
    </xf>
    <xf numFmtId="164" fontId="191" fillId="30" borderId="0" applyNumberFormat="0" applyBorder="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23" fillId="42" borderId="0" applyNumberFormat="0" applyBorder="0" applyAlignment="0" applyProtection="0">
      <alignment vertical="center"/>
    </xf>
    <xf numFmtId="164" fontId="123" fillId="49"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17" borderId="0" applyNumberFormat="0" applyBorder="0" applyAlignment="0" applyProtection="0">
      <alignment vertical="center"/>
    </xf>
    <xf numFmtId="164" fontId="124" fillId="61" borderId="0" applyNumberFormat="0" applyBorder="0" applyAlignment="0" applyProtection="0">
      <alignment vertical="center"/>
    </xf>
    <xf numFmtId="164" fontId="122" fillId="36"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0" fillId="13"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90" fillId="65" borderId="27" applyNumberFormat="0" applyFont="0" applyAlignment="0" applyProtection="0"/>
    <xf numFmtId="164" fontId="198" fillId="0" borderId="0" applyNumberFormat="0" applyFill="0" applyBorder="0" applyAlignment="0" applyProtection="0">
      <alignment vertical="center"/>
    </xf>
    <xf numFmtId="164" fontId="190" fillId="29"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8" fillId="0" borderId="0" applyNumberFormat="0" applyFill="0" applyBorder="0" applyAlignment="0" applyProtection="0">
      <alignment vertical="center"/>
    </xf>
    <xf numFmtId="164" fontId="190" fillId="12" borderId="0" applyNumberFormat="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1" fillId="2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22" fillId="10" borderId="9" applyNumberFormat="0" applyFon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3" fillId="44" borderId="0" applyNumberFormat="0" applyBorder="0" applyAlignment="0" applyProtection="0">
      <alignment vertical="center"/>
    </xf>
    <xf numFmtId="213" fontId="88"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5" fillId="8" borderId="5" applyNumberFormat="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63" fillId="0" borderId="21"/>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22" fillId="39" borderId="0" applyNumberFormat="0" applyBorder="0" applyAlignment="0" applyProtection="0">
      <alignment vertical="center"/>
    </xf>
    <xf numFmtId="164" fontId="122" fillId="42"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28" borderId="0" applyNumberFormat="0" applyBorder="0" applyAlignment="0" applyProtection="0">
      <alignment vertical="center"/>
    </xf>
    <xf numFmtId="164" fontId="190" fillId="20" borderId="0" applyNumberFormat="0" applyBorder="0" applyAlignment="0" applyProtection="0">
      <alignment vertical="center"/>
    </xf>
    <xf numFmtId="164" fontId="191" fillId="34" borderId="0" applyNumberFormat="0" applyBorder="0" applyAlignment="0" applyProtection="0">
      <alignment vertical="center"/>
    </xf>
    <xf numFmtId="164" fontId="122" fillId="37" borderId="0" applyNumberFormat="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14"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7" fillId="0" borderId="0" applyNumberFormat="0" applyFill="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7" fillId="0" borderId="0" applyNumberFormat="0" applyFill="0" applyBorder="0" applyAlignment="0" applyProtection="0">
      <alignment vertical="center"/>
    </xf>
    <xf numFmtId="164" fontId="123" fillId="45"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4" fillId="4" borderId="0" applyNumberFormat="0" applyBorder="0" applyAlignment="0" applyProtection="0">
      <alignment vertical="center"/>
    </xf>
    <xf numFmtId="164" fontId="206"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99" fillId="0" borderId="2" applyNumberFormat="0" applyFill="0" applyAlignment="0" applyProtection="0">
      <alignment vertical="center"/>
    </xf>
    <xf numFmtId="213" fontId="51" fillId="0" borderId="0" applyFill="0" applyBorder="0" applyAlignment="0"/>
    <xf numFmtId="164" fontId="206" fillId="0" borderId="0" applyNumberFormat="0" applyFill="0" applyBorder="0" applyAlignment="0" applyProtection="0">
      <alignment vertical="center"/>
    </xf>
    <xf numFmtId="164" fontId="30" fillId="0" borderId="23"/>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30" borderId="0" applyNumberFormat="0" applyBorder="0" applyAlignment="0" applyProtection="0">
      <alignment vertical="center"/>
    </xf>
    <xf numFmtId="164" fontId="191" fillId="30" borderId="0" applyNumberFormat="0" applyBorder="0" applyAlignment="0" applyProtection="0">
      <alignment vertical="center"/>
    </xf>
    <xf numFmtId="164" fontId="190" fillId="20"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3" fillId="0" borderId="10" applyNumberFormat="0" applyFill="0" applyAlignment="0" applyProtection="0">
      <alignment vertical="center"/>
    </xf>
    <xf numFmtId="164" fontId="193" fillId="0" borderId="10" applyNumberFormat="0" applyFill="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23" fillId="46"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1" fillId="1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22" fillId="40" borderId="0" applyNumberFormat="0" applyBorder="0" applyAlignment="0" applyProtection="0">
      <alignment vertical="center"/>
    </xf>
    <xf numFmtId="164" fontId="191" fillId="15"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35" fillId="53" borderId="20" applyNumberFormat="0" applyAlignment="0" applyProtection="0">
      <alignment vertical="center"/>
    </xf>
    <xf numFmtId="164" fontId="190" fillId="28" borderId="0" applyNumberFormat="0" applyBorder="0" applyAlignment="0" applyProtection="0">
      <alignment vertical="center"/>
    </xf>
    <xf numFmtId="164" fontId="191" fillId="15"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1" fillId="14" borderId="0" applyNumberFormat="0" applyBorder="0" applyAlignment="0" applyProtection="0">
      <alignment vertical="center"/>
    </xf>
    <xf numFmtId="164" fontId="123" fillId="51"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1" fillId="19" borderId="0" applyNumberFormat="0" applyBorder="0" applyAlignment="0" applyProtection="0">
      <alignment vertical="center"/>
    </xf>
    <xf numFmtId="164" fontId="191" fillId="30" borderId="0" applyNumberFormat="0" applyBorder="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1" fillId="30" borderId="0" applyNumberFormat="0" applyBorder="0" applyAlignment="0" applyProtection="0">
      <alignment vertical="center"/>
    </xf>
    <xf numFmtId="164" fontId="122" fillId="10" borderId="9" applyNumberFormat="0" applyFont="0" applyAlignment="0" applyProtection="0">
      <alignment vertical="center"/>
    </xf>
    <xf numFmtId="164" fontId="190" fillId="29" borderId="0" applyNumberFormat="0" applyBorder="0" applyAlignment="0" applyProtection="0">
      <alignment vertical="center"/>
    </xf>
    <xf numFmtId="164" fontId="192" fillId="6" borderId="0" applyNumberFormat="0" applyBorder="0" applyAlignment="0" applyProtection="0">
      <alignment vertical="center"/>
    </xf>
    <xf numFmtId="164" fontId="191" fillId="34"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2" fillId="6"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1" fillId="23" borderId="0" applyNumberFormat="0" applyBorder="0" applyAlignment="0" applyProtection="0">
      <alignment vertical="center"/>
    </xf>
    <xf numFmtId="164" fontId="122" fillId="37"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1" fillId="23" borderId="0" applyNumberFormat="0" applyBorder="0" applyAlignment="0" applyProtection="0">
      <alignment vertical="center"/>
    </xf>
    <xf numFmtId="164" fontId="192" fillId="6" borderId="0" applyNumberFormat="0" applyBorder="0" applyAlignment="0" applyProtection="0">
      <alignment vertical="center"/>
    </xf>
    <xf numFmtId="164" fontId="122" fillId="43" borderId="0" applyNumberFormat="0" applyBorder="0" applyAlignment="0" applyProtection="0">
      <alignment vertical="center"/>
    </xf>
    <xf numFmtId="164" fontId="191" fillId="23" borderId="0" applyNumberFormat="0" applyBorder="0" applyAlignment="0" applyProtection="0">
      <alignment vertical="center"/>
    </xf>
    <xf numFmtId="164" fontId="103" fillId="65" borderId="27" applyNumberFormat="0" applyFont="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4" fillId="4" borderId="0" applyNumberFormat="0" applyBorder="0" applyAlignment="0" applyProtection="0">
      <alignment vertical="center"/>
    </xf>
    <xf numFmtId="164" fontId="205" fillId="5"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21" borderId="0" applyNumberFormat="0" applyBorder="0" applyAlignment="0" applyProtection="0">
      <alignment vertical="center"/>
    </xf>
    <xf numFmtId="164" fontId="191" fillId="30" borderId="0" applyNumberFormat="0" applyBorder="0" applyAlignment="0" applyProtection="0">
      <alignment vertical="center"/>
    </xf>
    <xf numFmtId="164" fontId="191" fillId="27"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3" fillId="0" borderId="10" applyNumberFormat="0" applyFill="0" applyAlignment="0" applyProtection="0">
      <alignment vertical="center"/>
    </xf>
    <xf numFmtId="164" fontId="190" fillId="29" borderId="0" applyNumberFormat="0" applyBorder="0" applyAlignment="0" applyProtection="0">
      <alignment vertical="center"/>
    </xf>
    <xf numFmtId="164" fontId="122" fillId="10" borderId="9" applyNumberFormat="0" applyFont="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22" fillId="10" borderId="9" applyNumberFormat="0" applyFont="0" applyAlignment="0" applyProtection="0">
      <alignment vertical="center"/>
    </xf>
    <xf numFmtId="164" fontId="190" fillId="21"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8" borderId="0" applyNumberFormat="0" applyBorder="0" applyAlignment="0" applyProtection="0">
      <alignment vertical="center"/>
    </xf>
    <xf numFmtId="164" fontId="191" fillId="34" borderId="0" applyNumberFormat="0" applyBorder="0" applyAlignment="0" applyProtection="0">
      <alignment vertical="center"/>
    </xf>
    <xf numFmtId="164" fontId="122" fillId="10" borderId="9" applyNumberFormat="0" applyFont="0" applyAlignment="0" applyProtection="0">
      <alignment vertical="center"/>
    </xf>
    <xf numFmtId="164" fontId="191" fillId="34" borderId="0" applyNumberFormat="0" applyBorder="0" applyAlignment="0" applyProtection="0">
      <alignment vertical="center"/>
    </xf>
    <xf numFmtId="164" fontId="190" fillId="28"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1"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72" fillId="0" borderId="0" applyNumberFormat="0" applyFill="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190" fillId="12" borderId="0" applyNumberFormat="0" applyBorder="0" applyAlignment="0" applyProtection="0">
      <alignment vertical="center"/>
    </xf>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202" fillId="7" borderId="5"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203" fillId="8" borderId="6" applyNumberFormat="0" applyAlignment="0" applyProtection="0">
      <alignment vertical="center"/>
    </xf>
    <xf numFmtId="164" fontId="205" fillId="5" borderId="0" applyNumberFormat="0" applyBorder="0" applyAlignment="0" applyProtection="0">
      <alignment vertical="center"/>
    </xf>
    <xf numFmtId="164" fontId="205" fillId="5"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164" fontId="193" fillId="0" borderId="10" applyNumberFormat="0" applyFill="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22" fillId="10" borderId="9" applyNumberFormat="0" applyFont="0" applyAlignment="0" applyProtection="0">
      <alignment vertical="center"/>
    </xf>
    <xf numFmtId="164" fontId="166" fillId="39" borderId="11" applyNumberForma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122" fillId="10" borderId="9" applyNumberFormat="0" applyFon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4" fillId="4" borderId="0" applyNumberFormat="0" applyBorder="0" applyAlignment="0" applyProtection="0">
      <alignment vertical="center"/>
    </xf>
    <xf numFmtId="164" fontId="196" fillId="0" borderId="7" applyNumberFormat="0" applyFill="0" applyAlignment="0" applyProtection="0">
      <alignment vertical="center"/>
    </xf>
    <xf numFmtId="164" fontId="194" fillId="4" borderId="0" applyNumberFormat="0" applyBorder="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205" fillId="5"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29" borderId="0" applyNumberFormat="0" applyBorder="0" applyAlignment="0" applyProtection="0">
      <alignment vertical="center"/>
    </xf>
    <xf numFmtId="164" fontId="193" fillId="0" borderId="10" applyNumberFormat="0" applyFill="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33" borderId="0" applyNumberFormat="0" applyBorder="0" applyAlignment="0" applyProtection="0">
      <alignment vertical="center"/>
    </xf>
    <xf numFmtId="164" fontId="190" fillId="29"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90" fillId="17" borderId="0" applyNumberFormat="0" applyBorder="0" applyAlignment="0" applyProtection="0">
      <alignment vertical="center"/>
    </xf>
    <xf numFmtId="164" fontId="190" fillId="24"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50"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156" fillId="43" borderId="0" applyNumberFormat="0" applyBorder="0" applyAlignment="0" applyProtection="0">
      <alignment vertical="center"/>
    </xf>
    <xf numFmtId="164" fontId="194" fillId="4"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90" fillId="13" borderId="0" applyNumberFormat="0" applyBorder="0" applyAlignment="0" applyProtection="0">
      <alignment vertical="center"/>
    </xf>
    <xf numFmtId="164" fontId="193" fillId="0" borderId="10"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0" fillId="33" borderId="0" applyNumberFormat="0" applyBorder="0" applyAlignment="0" applyProtection="0">
      <alignment vertical="center"/>
    </xf>
    <xf numFmtId="164" fontId="190" fillId="33"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90" fillId="16"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157" fillId="45"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164" fontId="193" fillId="0" borderId="10" applyNumberFormat="0" applyFill="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57" fillId="51"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6" fillId="3"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34" fillId="39" borderId="11" applyNumberFormat="0" applyAlignment="0" applyProtection="0">
      <alignment vertical="center"/>
    </xf>
    <xf numFmtId="164" fontId="30" fillId="0" borderId="23"/>
    <xf numFmtId="164" fontId="63" fillId="0" borderId="21"/>
    <xf numFmtId="164" fontId="193" fillId="0" borderId="10" applyNumberFormat="0" applyFill="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90" fillId="12"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32"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9" borderId="0" applyNumberFormat="0" applyBorder="0" applyAlignment="0" applyProtection="0">
      <alignment vertical="center"/>
    </xf>
    <xf numFmtId="164" fontId="190" fillId="33"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3" fillId="0" borderId="10" applyNumberFormat="0" applyFill="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1" fillId="22" borderId="0" applyNumberFormat="0" applyBorder="0" applyAlignment="0" applyProtection="0">
      <alignment vertical="center"/>
    </xf>
    <xf numFmtId="164" fontId="199" fillId="0" borderId="2" applyNumberFormat="0" applyFill="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24" borderId="0" applyNumberFormat="0" applyBorder="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85" fillId="39" borderId="11" applyNumberFormat="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90" fillId="29" borderId="0" applyNumberFormat="0" applyBorder="0" applyAlignment="0" applyProtection="0">
      <alignment vertical="center"/>
    </xf>
    <xf numFmtId="164" fontId="190" fillId="25" borderId="0" applyNumberFormat="0" applyBorder="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164" fontId="190" fillId="25" borderId="0" applyNumberFormat="0" applyBorder="0" applyAlignment="0" applyProtection="0">
      <alignment vertical="center"/>
    </xf>
    <xf numFmtId="213" fontId="51" fillId="0" borderId="0" applyFont="0" applyFill="0" applyBorder="0" applyAlignment="0" applyProtection="0"/>
    <xf numFmtId="164" fontId="190" fillId="25" borderId="0" applyNumberFormat="0" applyBorder="0" applyAlignment="0" applyProtection="0">
      <alignment vertical="center"/>
    </xf>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190" fillId="21"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90" fillId="21"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190" fillId="21"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90" fillId="17" borderId="0" applyNumberFormat="0" applyBorder="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190" fillId="13" borderId="0" applyNumberFormat="0" applyBorder="0" applyAlignment="0" applyProtection="0">
      <alignment vertical="center"/>
    </xf>
    <xf numFmtId="164" fontId="201" fillId="0" borderId="0" applyNumberFormat="0" applyFill="0" applyBorder="0" applyAlignment="0" applyProtection="0">
      <alignment vertical="center"/>
    </xf>
    <xf numFmtId="164" fontId="190" fillId="25" borderId="0" applyNumberFormat="0" applyBorder="0" applyAlignment="0" applyProtection="0">
      <alignment vertical="center"/>
    </xf>
    <xf numFmtId="164" fontId="122" fillId="43" borderId="0" applyNumberFormat="0" applyBorder="0" applyAlignment="0" applyProtection="0">
      <alignment vertical="center"/>
    </xf>
    <xf numFmtId="164" fontId="190" fillId="32" borderId="0" applyNumberFormat="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90" fillId="65" borderId="27" applyNumberFormat="0" applyFont="0" applyAlignment="0" applyProtection="0"/>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90" fillId="13" borderId="0" applyNumberFormat="0" applyBorder="0" applyAlignment="0" applyProtection="0">
      <alignment vertical="center"/>
    </xf>
    <xf numFmtId="164" fontId="204" fillId="9" borderId="8" applyNumberFormat="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164" fontId="190" fillId="17" borderId="0" applyNumberFormat="0" applyBorder="0" applyAlignment="0" applyProtection="0">
      <alignment vertical="center"/>
    </xf>
    <xf numFmtId="213" fontId="88" fillId="0" borderId="0" applyFont="0" applyFill="0" applyBorder="0" applyAlignment="0" applyProtection="0"/>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90" fillId="25" borderId="0" applyNumberFormat="0" applyBorder="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5" fillId="8" borderId="5" applyNumberFormat="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22" fillId="40"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0" fillId="13" borderId="0" applyNumberFormat="0" applyBorder="0" applyAlignment="0" applyProtection="0">
      <alignment vertical="center"/>
    </xf>
    <xf numFmtId="164" fontId="195" fillId="8" borderId="5" applyNumberFormat="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3" borderId="0" applyNumberFormat="0" applyBorder="0" applyAlignment="0" applyProtection="0">
      <alignment vertical="center"/>
    </xf>
    <xf numFmtId="164" fontId="190" fillId="12"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7" fillId="0" borderId="0" applyNumberFormat="0" applyFill="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4" fillId="4" borderId="0" applyNumberFormat="0" applyBorder="0" applyAlignment="0" applyProtection="0">
      <alignment vertical="center"/>
    </xf>
    <xf numFmtId="164" fontId="206"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99" fillId="0" borderId="2" applyNumberFormat="0" applyFill="0" applyAlignment="0" applyProtection="0">
      <alignment vertical="center"/>
    </xf>
    <xf numFmtId="164" fontId="206" fillId="0" borderId="0" applyNumberFormat="0" applyFill="0" applyBorder="0" applyAlignment="0" applyProtection="0">
      <alignment vertical="center"/>
    </xf>
    <xf numFmtId="164" fontId="30" fillId="0" borderId="23"/>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0" fillId="20" borderId="0" applyNumberFormat="0" applyBorder="0" applyAlignment="0" applyProtection="0">
      <alignment vertical="center"/>
    </xf>
    <xf numFmtId="164" fontId="191" fillId="11"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1" fillId="11" borderId="0" applyNumberFormat="0" applyBorder="0" applyAlignment="0" applyProtection="0">
      <alignment vertical="center"/>
    </xf>
    <xf numFmtId="164" fontId="190" fillId="32" borderId="0" applyNumberFormat="0" applyBorder="0" applyAlignment="0" applyProtection="0">
      <alignment vertical="center"/>
    </xf>
    <xf numFmtId="164" fontId="122" fillId="42" borderId="0" applyNumberFormat="0" applyBorder="0" applyAlignment="0" applyProtection="0">
      <alignment vertical="center"/>
    </xf>
    <xf numFmtId="164" fontId="190" fillId="2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0" fillId="13" borderId="0" applyNumberFormat="0" applyBorder="0" applyAlignment="0" applyProtection="0">
      <alignment vertical="center"/>
    </xf>
    <xf numFmtId="164" fontId="190" fillId="21" borderId="0" applyNumberFormat="0" applyBorder="0" applyAlignment="0" applyProtection="0">
      <alignment vertical="center"/>
    </xf>
    <xf numFmtId="164" fontId="191" fillId="15" borderId="0" applyNumberFormat="0" applyBorder="0" applyAlignment="0" applyProtection="0">
      <alignment vertical="center"/>
    </xf>
    <xf numFmtId="164" fontId="192" fillId="6" borderId="0" applyNumberFormat="0" applyBorder="0" applyAlignment="0" applyProtection="0">
      <alignment vertical="center"/>
    </xf>
    <xf numFmtId="164" fontId="192" fillId="6" borderId="0" applyNumberFormat="0" applyBorder="0" applyAlignment="0" applyProtection="0">
      <alignment vertical="center"/>
    </xf>
    <xf numFmtId="164" fontId="191" fillId="15"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21" borderId="0" applyNumberFormat="0" applyBorder="0" applyAlignment="0" applyProtection="0">
      <alignment vertical="center"/>
    </xf>
    <xf numFmtId="164" fontId="190" fillId="21" borderId="0" applyNumberFormat="0" applyBorder="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15" borderId="0" applyNumberFormat="0" applyBorder="0" applyAlignment="0" applyProtection="0">
      <alignment vertical="center"/>
    </xf>
    <xf numFmtId="164" fontId="191" fillId="26"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1" fillId="19" borderId="0" applyNumberFormat="0" applyBorder="0" applyAlignment="0" applyProtection="0">
      <alignment vertical="center"/>
    </xf>
    <xf numFmtId="164" fontId="190" fillId="29"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19" borderId="0" applyNumberFormat="0" applyBorder="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0" fillId="28" borderId="0" applyNumberFormat="0" applyBorder="0" applyAlignment="0" applyProtection="0">
      <alignment vertical="center"/>
    </xf>
    <xf numFmtId="164" fontId="190" fillId="28" borderId="0" applyNumberFormat="0" applyBorder="0" applyAlignment="0" applyProtection="0">
      <alignment vertical="center"/>
    </xf>
    <xf numFmtId="164" fontId="191" fillId="19" borderId="0" applyNumberFormat="0" applyBorder="0" applyAlignment="0" applyProtection="0">
      <alignment vertical="center"/>
    </xf>
    <xf numFmtId="164" fontId="190" fillId="32" borderId="0" applyNumberFormat="0" applyBorder="0" applyAlignment="0" applyProtection="0">
      <alignment vertical="center"/>
    </xf>
    <xf numFmtId="164" fontId="190" fillId="32" borderId="0" applyNumberFormat="0" applyBorder="0" applyAlignment="0" applyProtection="0">
      <alignment vertical="center"/>
    </xf>
    <xf numFmtId="164" fontId="190" fillId="2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91" fillId="23" borderId="0" applyNumberFormat="0" applyBorder="0" applyAlignment="0" applyProtection="0">
      <alignment vertical="center"/>
    </xf>
    <xf numFmtId="164" fontId="122" fillId="37"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90" fillId="13" borderId="0" applyNumberFormat="0" applyBorder="0" applyAlignment="0" applyProtection="0">
      <alignment vertical="center"/>
    </xf>
    <xf numFmtId="164" fontId="191" fillId="23" borderId="0" applyNumberFormat="0" applyBorder="0" applyAlignment="0" applyProtection="0">
      <alignment vertical="center"/>
    </xf>
    <xf numFmtId="164" fontId="192" fillId="6" borderId="0" applyNumberFormat="0" applyBorder="0" applyAlignment="0" applyProtection="0">
      <alignment vertical="center"/>
    </xf>
    <xf numFmtId="164" fontId="191" fillId="23" borderId="0" applyNumberFormat="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91" fillId="27"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0" fillId="20" borderId="0" applyNumberFormat="0" applyBorder="0" applyAlignment="0" applyProtection="0">
      <alignment vertical="center"/>
    </xf>
    <xf numFmtId="164" fontId="190" fillId="21" borderId="0" applyNumberFormat="0" applyBorder="0" applyAlignment="0" applyProtection="0">
      <alignment vertical="center"/>
    </xf>
    <xf numFmtId="164" fontId="191" fillId="27" borderId="0" applyNumberFormat="0" applyBorder="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1" fillId="27" borderId="0" applyNumberFormat="0" applyBorder="0" applyAlignment="0" applyProtection="0">
      <alignment vertical="center"/>
    </xf>
    <xf numFmtId="164" fontId="190" fillId="29" borderId="0" applyNumberFormat="0" applyBorder="0" applyAlignment="0" applyProtection="0">
      <alignment vertical="center"/>
    </xf>
    <xf numFmtId="164" fontId="190" fillId="28" borderId="0" applyNumberFormat="0" applyBorder="0" applyAlignment="0" applyProtection="0">
      <alignment vertical="center"/>
    </xf>
    <xf numFmtId="164" fontId="190" fillId="32" borderId="0" applyNumberFormat="0" applyBorder="0" applyAlignment="0" applyProtection="0">
      <alignment vertical="center"/>
    </xf>
    <xf numFmtId="164" fontId="191" fillId="27" borderId="0" applyNumberFormat="0" applyBorder="0" applyAlignment="0" applyProtection="0">
      <alignment vertical="center"/>
    </xf>
    <xf numFmtId="164" fontId="190" fillId="25"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0" fillId="21"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0" fillId="25" borderId="0" applyNumberFormat="0" applyBorder="0" applyAlignment="0" applyProtection="0">
      <alignment vertical="center"/>
    </xf>
    <xf numFmtId="164" fontId="191" fillId="31"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4" fillId="4" borderId="0" applyNumberFormat="0" applyBorder="0" applyAlignment="0" applyProtection="0">
      <alignment vertical="center"/>
    </xf>
    <xf numFmtId="164" fontId="122" fillId="40" borderId="0" applyNumberFormat="0" applyBorder="0" applyAlignment="0" applyProtection="0">
      <alignment vertical="center"/>
    </xf>
    <xf numFmtId="164" fontId="190" fillId="21" borderId="0" applyNumberFormat="0" applyBorder="0" applyAlignment="0" applyProtection="0">
      <alignment vertical="center"/>
    </xf>
    <xf numFmtId="164" fontId="191" fillId="31" borderId="0" applyNumberFormat="0" applyBorder="0" applyAlignment="0" applyProtection="0">
      <alignment vertical="center"/>
    </xf>
    <xf numFmtId="164" fontId="190" fillId="13" borderId="0" applyNumberFormat="0" applyBorder="0" applyAlignment="0" applyProtection="0">
      <alignment vertical="center"/>
    </xf>
    <xf numFmtId="164" fontId="189" fillId="0" borderId="0" applyNumberFormat="0" applyFill="0" applyBorder="0" applyAlignment="0" applyProtection="0">
      <alignment vertical="center"/>
    </xf>
    <xf numFmtId="164" fontId="192" fillId="6" borderId="0" applyNumberFormat="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72" fillId="0" borderId="0" applyNumberFormat="0" applyFill="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97" fillId="0" borderId="23"/>
    <xf numFmtId="164" fontId="122" fillId="3" borderId="0" applyNumberFormat="0" applyBorder="0" applyAlignment="0" applyProtection="0">
      <alignment vertical="center"/>
    </xf>
    <xf numFmtId="164" fontId="202" fillId="7" borderId="5" applyNumberFormat="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96" fillId="0" borderId="21"/>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190" fillId="12" borderId="0" applyNumberFormat="0" applyBorder="0" applyAlignment="0" applyProtection="0">
      <alignment vertical="center"/>
    </xf>
    <xf numFmtId="164" fontId="202" fillId="7" borderId="5"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3" fillId="8" borderId="6" applyNumberFormat="0" applyAlignment="0" applyProtection="0">
      <alignment vertical="center"/>
    </xf>
    <xf numFmtId="164" fontId="190" fillId="20" borderId="0" applyNumberFormat="0" applyBorder="0" applyAlignment="0" applyProtection="0">
      <alignment vertical="center"/>
    </xf>
    <xf numFmtId="164" fontId="190" fillId="24" borderId="0" applyNumberFormat="0" applyBorder="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66" fillId="39" borderId="11" applyNumberFormat="0" applyAlignment="0" applyProtection="0">
      <alignment vertical="center"/>
    </xf>
    <xf numFmtId="164" fontId="203" fillId="8" borderId="6" applyNumberFormat="0" applyAlignment="0" applyProtection="0">
      <alignment vertical="center"/>
    </xf>
    <xf numFmtId="164" fontId="190" fillId="32" borderId="0" applyNumberFormat="0" applyBorder="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0" fillId="13"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1" fillId="26" borderId="0" applyNumberFormat="0" applyBorder="0" applyAlignment="0" applyProtection="0">
      <alignment vertical="center"/>
    </xf>
    <xf numFmtId="164" fontId="191" fillId="26" borderId="0" applyNumberFormat="0" applyBorder="0" applyAlignment="0" applyProtection="0">
      <alignment vertical="center"/>
    </xf>
    <xf numFmtId="164" fontId="191" fillId="22" borderId="0" applyNumberFormat="0" applyBorder="0" applyAlignment="0" applyProtection="0">
      <alignment vertical="center"/>
    </xf>
    <xf numFmtId="164" fontId="190" fillId="21" borderId="0" applyNumberFormat="0" applyBorder="0" applyAlignment="0" applyProtection="0">
      <alignment vertical="center"/>
    </xf>
    <xf numFmtId="164" fontId="196" fillId="0" borderId="7" applyNumberFormat="0" applyFill="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90" fillId="17" borderId="0" applyNumberFormat="0" applyBorder="0" applyAlignment="0" applyProtection="0">
      <alignment vertical="center"/>
    </xf>
    <xf numFmtId="164" fontId="196" fillId="0" borderId="7" applyNumberFormat="0" applyFill="0" applyAlignment="0" applyProtection="0">
      <alignment vertical="center"/>
    </xf>
    <xf numFmtId="164" fontId="190" fillId="29"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0" fillId="24" borderId="0" applyNumberFormat="0" applyBorder="0" applyAlignment="0" applyProtection="0">
      <alignment vertical="center"/>
    </xf>
    <xf numFmtId="164" fontId="190" fillId="24" borderId="0" applyNumberFormat="0" applyBorder="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28"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1" fillId="26"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3" fillId="45" borderId="0" applyNumberFormat="0" applyBorder="0" applyAlignment="0" applyProtection="0">
      <alignment vertical="center"/>
    </xf>
    <xf numFmtId="164" fontId="190" fillId="17" borderId="0" applyNumberFormat="0" applyBorder="0" applyAlignment="0" applyProtection="0">
      <alignment vertical="center"/>
    </xf>
    <xf numFmtId="164" fontId="122"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164" fontId="190" fillId="29" borderId="0" applyNumberFormat="0" applyBorder="0" applyAlignment="0" applyProtection="0">
      <alignment vertical="center"/>
    </xf>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28" fillId="0" borderId="18" applyNumberFormat="0" applyFill="0" applyAlignment="0" applyProtection="0">
      <alignment vertical="center"/>
    </xf>
    <xf numFmtId="164" fontId="122" fillId="10" borderId="9" applyNumberFormat="0" applyFont="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99" fillId="0" borderId="2" applyNumberFormat="0" applyFill="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194" fillId="4"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1" fillId="30" borderId="0" applyNumberFormat="0" applyBorder="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37" fillId="36"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22" fillId="38"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2" fillId="10" borderId="9" applyNumberFormat="0" applyFont="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205" fillId="5" borderId="0" applyNumberFormat="0" applyBorder="0" applyAlignment="0" applyProtection="0">
      <alignment vertical="center"/>
    </xf>
    <xf numFmtId="164" fontId="194" fillId="4"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90" fillId="16" borderId="0" applyNumberFormat="0" applyBorder="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164" fontId="190" fillId="24" borderId="0" applyNumberFormat="0" applyBorder="0" applyAlignment="0" applyProtection="0">
      <alignment vertical="center"/>
    </xf>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4" fillId="4"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9" fillId="0" borderId="2"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37" borderId="0" applyNumberFormat="0" applyBorder="0" applyAlignment="0" applyProtection="0">
      <alignment vertical="center"/>
    </xf>
    <xf numFmtId="164" fontId="128" fillId="0" borderId="18" applyNumberFormat="0" applyFill="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36" fillId="54" borderId="12" applyNumberFormat="0" applyAlignment="0" applyProtection="0">
      <alignment vertical="center"/>
    </xf>
    <xf numFmtId="164" fontId="127" fillId="53" borderId="11" applyNumberFormat="0" applyAlignment="0" applyProtection="0">
      <alignment vertical="center"/>
    </xf>
    <xf numFmtId="164" fontId="191" fillId="34" borderId="0" applyNumberFormat="0" applyBorder="0" applyAlignment="0" applyProtection="0">
      <alignment vertical="center"/>
    </xf>
    <xf numFmtId="164" fontId="190" fillId="25" borderId="0" applyNumberFormat="0" applyBorder="0" applyAlignment="0" applyProtection="0">
      <alignment vertical="center"/>
    </xf>
    <xf numFmtId="164" fontId="191" fillId="34"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91" fillId="26"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91" fillId="34" borderId="0" applyNumberFormat="0" applyBorder="0" applyAlignment="0" applyProtection="0">
      <alignment vertical="center"/>
    </xf>
    <xf numFmtId="164" fontId="191" fillId="30"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91" fillId="34" borderId="0" applyNumberFormat="0" applyBorder="0" applyAlignment="0" applyProtection="0">
      <alignment vertical="center"/>
    </xf>
    <xf numFmtId="164" fontId="191" fillId="34"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86" fillId="53" borderId="20" applyNumberFormat="0" applyAlignment="0" applyProtection="0">
      <alignment vertical="center"/>
    </xf>
    <xf numFmtId="164" fontId="85" fillId="65" borderId="27" applyNumberFormat="0" applyFont="0" applyAlignment="0" applyProtection="0">
      <alignment vertical="center"/>
    </xf>
    <xf numFmtId="164" fontId="199" fillId="0" borderId="2" applyNumberFormat="0" applyFill="0" applyAlignment="0" applyProtection="0">
      <alignment vertical="center"/>
    </xf>
    <xf numFmtId="219" fontId="51" fillId="0" borderId="0"/>
    <xf numFmtId="164" fontId="175" fillId="61" borderId="0" applyNumberFormat="0" applyBorder="0" applyAlignment="0" applyProtection="0">
      <alignment vertical="center"/>
    </xf>
    <xf numFmtId="164" fontId="199" fillId="0" borderId="2" applyNumberFormat="0" applyFill="0" applyAlignment="0" applyProtection="0">
      <alignment vertical="center"/>
    </xf>
    <xf numFmtId="200" fontId="51" fillId="58" borderId="0"/>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79"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200" fillId="0" borderId="3" applyNumberFormat="0" applyFill="0" applyAlignment="0" applyProtection="0">
      <alignment vertical="center"/>
    </xf>
    <xf numFmtId="200" fontId="51" fillId="57" borderId="0"/>
    <xf numFmtId="164" fontId="185" fillId="39" borderId="11" applyNumberFormat="0" applyAlignment="0" applyProtection="0">
      <alignment vertical="center"/>
    </xf>
    <xf numFmtId="164" fontId="184" fillId="0" borderId="0" applyNumberFormat="0" applyFill="0" applyBorder="0" applyAlignment="0" applyProtection="0">
      <alignment vertical="center"/>
    </xf>
    <xf numFmtId="164" fontId="184" fillId="0" borderId="15" applyNumberFormat="0" applyFill="0" applyAlignment="0" applyProtection="0">
      <alignment vertical="center"/>
    </xf>
    <xf numFmtId="164" fontId="200" fillId="0" borderId="3" applyNumberFormat="0" applyFill="0" applyAlignment="0" applyProtection="0">
      <alignment vertical="center"/>
    </xf>
    <xf numFmtId="164" fontId="183" fillId="0" borderId="26" applyNumberFormat="0" applyFill="0" applyAlignment="0" applyProtection="0">
      <alignment vertical="center"/>
    </xf>
    <xf numFmtId="164" fontId="182" fillId="0" borderId="25" applyNumberFormat="0" applyFill="0" applyAlignment="0" applyProtection="0">
      <alignment vertical="center"/>
    </xf>
    <xf numFmtId="164" fontId="177" fillId="3" borderId="0" applyNumberFormat="0" applyBorder="0" applyAlignment="0" applyProtection="0">
      <alignment vertical="center"/>
    </xf>
    <xf numFmtId="164" fontId="180"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164" fontId="200" fillId="0" borderId="3" applyNumberFormat="0" applyFill="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164" fontId="200" fillId="0" borderId="3" applyNumberFormat="0" applyFill="0" applyAlignment="0" applyProtection="0">
      <alignment vertical="center"/>
    </xf>
    <xf numFmtId="217" fontId="51" fillId="0" borderId="0" applyFont="0" applyFill="0" applyBorder="0" applyAlignment="0" applyProtection="0"/>
    <xf numFmtId="164" fontId="187" fillId="54" borderId="12" applyNumberFormat="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78" fillId="53" borderId="11" applyNumberFormat="0" applyAlignment="0" applyProtection="0">
      <alignment vertical="center"/>
    </xf>
    <xf numFmtId="213" fontId="51" fillId="0" borderId="0" applyFill="0" applyBorder="0" applyAlignment="0"/>
    <xf numFmtId="218" fontId="51" fillId="0" borderId="0" applyFill="0" applyBorder="0" applyAlignment="0"/>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ill="0" applyBorder="0" applyAlignment="0"/>
    <xf numFmtId="212" fontId="51" fillId="0" borderId="0" applyFill="0" applyBorder="0" applyAlignment="0"/>
    <xf numFmtId="164" fontId="201" fillId="0" borderId="4" applyNumberFormat="0" applyFill="0" applyAlignment="0" applyProtection="0">
      <alignment vertical="center"/>
    </xf>
    <xf numFmtId="164" fontId="188" fillId="36" borderId="0" applyNumberFormat="0" applyBorder="0" applyAlignment="0" applyProtection="0">
      <alignment vertical="center"/>
    </xf>
    <xf numFmtId="164" fontId="31" fillId="0" borderId="0">
      <alignment horizontal="center" wrapText="1"/>
      <protection locked="0"/>
    </xf>
    <xf numFmtId="164" fontId="174" fillId="52"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51" borderId="0" applyNumberFormat="0" applyBorder="0" applyAlignment="0" applyProtection="0">
      <alignment vertical="center"/>
    </xf>
    <xf numFmtId="164" fontId="174" fillId="50" borderId="0" applyNumberFormat="0" applyBorder="0" applyAlignment="0" applyProtection="0">
      <alignment vertical="center"/>
    </xf>
    <xf numFmtId="164" fontId="174" fillId="49" borderId="0" applyNumberFormat="0" applyBorder="0" applyAlignment="0" applyProtection="0">
      <alignment vertical="center"/>
    </xf>
    <xf numFmtId="164" fontId="201" fillId="0" borderId="4" applyNumberFormat="0" applyFill="0" applyAlignment="0" applyProtection="0">
      <alignment vertical="center"/>
    </xf>
    <xf numFmtId="164" fontId="174" fillId="47" borderId="0" applyNumberFormat="0" applyBorder="0" applyAlignment="0" applyProtection="0">
      <alignment vertical="center"/>
    </xf>
    <xf numFmtId="164" fontId="174" fillId="46" borderId="0" applyNumberFormat="0" applyBorder="0" applyAlignment="0" applyProtection="0">
      <alignment vertical="center"/>
    </xf>
    <xf numFmtId="164" fontId="174" fillId="45" borderId="0" applyNumberFormat="0" applyBorder="0" applyAlignment="0" applyProtection="0">
      <alignment vertical="center"/>
    </xf>
    <xf numFmtId="164" fontId="174" fillId="42" borderId="0" applyNumberFormat="0" applyBorder="0" applyAlignment="0" applyProtection="0">
      <alignment vertical="center"/>
    </xf>
    <xf numFmtId="164" fontId="174" fillId="41" borderId="0" applyNumberFormat="0" applyBorder="0" applyAlignment="0" applyProtection="0">
      <alignment vertical="center"/>
    </xf>
    <xf numFmtId="164" fontId="201" fillId="0" borderId="4" applyNumberFormat="0" applyFill="0" applyAlignment="0" applyProtection="0">
      <alignment vertical="center"/>
    </xf>
    <xf numFmtId="164" fontId="174" fillId="44" borderId="0" applyNumberFormat="0" applyBorder="0" applyAlignment="0" applyProtection="0">
      <alignment vertical="center"/>
    </xf>
    <xf numFmtId="164" fontId="173" fillId="43" borderId="0" applyNumberFormat="0" applyBorder="0" applyAlignment="0" applyProtection="0">
      <alignment vertical="center"/>
    </xf>
    <xf numFmtId="164" fontId="173" fillId="40" borderId="0" applyNumberFormat="0" applyBorder="0" applyAlignment="0" applyProtection="0">
      <alignment vertical="center"/>
    </xf>
    <xf numFmtId="164" fontId="173" fillId="37" borderId="0" applyNumberFormat="0" applyBorder="0" applyAlignment="0" applyProtection="0">
      <alignment vertical="center"/>
    </xf>
    <xf numFmtId="164" fontId="173" fillId="42" borderId="0" applyNumberFormat="0" applyBorder="0" applyAlignment="0" applyProtection="0">
      <alignment vertical="center"/>
    </xf>
    <xf numFmtId="164" fontId="173" fillId="41" borderId="0" applyNumberFormat="0" applyBorder="0" applyAlignment="0" applyProtection="0">
      <alignment vertical="center"/>
    </xf>
    <xf numFmtId="164" fontId="201" fillId="0" borderId="4" applyNumberFormat="0" applyFill="0" applyAlignment="0" applyProtection="0">
      <alignment vertical="center"/>
    </xf>
    <xf numFmtId="164" fontId="173" fillId="40" borderId="0" applyNumberFormat="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173" fillId="39" borderId="0" applyNumberFormat="0" applyBorder="0" applyAlignment="0" applyProtection="0">
      <alignment vertical="center"/>
    </xf>
    <xf numFmtId="164" fontId="173" fillId="38" borderId="0" applyNumberFormat="0" applyBorder="0" applyAlignment="0" applyProtection="0">
      <alignment vertical="center"/>
    </xf>
    <xf numFmtId="164" fontId="173" fillId="37" borderId="0" applyNumberFormat="0" applyBorder="0" applyAlignment="0" applyProtection="0">
      <alignment vertical="center"/>
    </xf>
    <xf numFmtId="164" fontId="173" fillId="3" borderId="0" applyNumberFormat="0" applyBorder="0" applyAlignment="0" applyProtection="0">
      <alignment vertical="center"/>
    </xf>
    <xf numFmtId="164" fontId="173" fillId="36"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73" fillId="35" borderId="0" applyNumberFormat="0" applyBorder="0" applyAlignment="0" applyProtection="0">
      <alignment vertical="center"/>
    </xf>
    <xf numFmtId="164" fontId="201"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37" fillId="36" borderId="0" applyNumberFormat="0" applyBorder="0" applyAlignment="0" applyProtection="0">
      <alignment vertical="center"/>
    </xf>
    <xf numFmtId="164" fontId="136" fillId="54" borderId="12" applyNumberFormat="0" applyAlignment="0" applyProtection="0">
      <alignment vertical="center"/>
    </xf>
    <xf numFmtId="164" fontId="135" fillId="53" borderId="20" applyNumberFormat="0" applyAlignment="0" applyProtection="0">
      <alignment vertical="center"/>
    </xf>
    <xf numFmtId="164" fontId="201" fillId="0" borderId="0" applyNumberFormat="0" applyFill="0" applyBorder="0" applyAlignment="0" applyProtection="0">
      <alignment vertical="center"/>
    </xf>
    <xf numFmtId="164" fontId="134" fillId="39" borderId="11"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170" fillId="0" borderId="0" applyNumberFormat="0" applyFill="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201" fillId="0" borderId="0" applyNumberFormat="0" applyFill="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9" fillId="0" borderId="0" applyNumberFormat="0" applyFill="0" applyBorder="0" applyAlignment="0" applyProtection="0">
      <alignment vertical="center"/>
    </xf>
    <xf numFmtId="164" fontId="103" fillId="65" borderId="27" applyNumberFormat="0" applyFont="0" applyAlignment="0" applyProtection="0">
      <alignment vertical="center"/>
    </xf>
    <xf numFmtId="164" fontId="128" fillId="0" borderId="18" applyNumberFormat="0" applyFill="0" applyAlignment="0" applyProtection="0">
      <alignment vertical="center"/>
    </xf>
    <xf numFmtId="164" fontId="127" fillId="53" borderId="11" applyNumberFormat="0" applyAlignment="0" applyProtection="0">
      <alignment vertical="center"/>
    </xf>
    <xf numFmtId="164" fontId="126" fillId="3" borderId="0" applyNumberFormat="0" applyBorder="0" applyAlignment="0" applyProtection="0">
      <alignment vertical="center"/>
    </xf>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90" fillId="65" borderId="27" applyNumberFormat="0" applyFont="0" applyAlignment="0" applyProtection="0"/>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65" fillId="0" borderId="0" applyNumberFormat="0" applyFill="0" applyBorder="0" applyAlignment="0" applyProtection="0">
      <alignment vertical="center"/>
    </xf>
    <xf numFmtId="164" fontId="165" fillId="0" borderId="15" applyNumberFormat="0" applyFill="0" applyAlignment="0" applyProtection="0">
      <alignment vertical="center"/>
    </xf>
    <xf numFmtId="164" fontId="164" fillId="0" borderId="26" applyNumberFormat="0" applyFill="0" applyAlignment="0" applyProtection="0">
      <alignment vertical="center"/>
    </xf>
    <xf numFmtId="164" fontId="163" fillId="0" borderId="25" applyNumberFormat="0" applyFill="0" applyAlignment="0" applyProtection="0">
      <alignment vertical="center"/>
    </xf>
    <xf numFmtId="164" fontId="204" fillId="9" borderId="8" applyNumberFormat="0" applyAlignment="0" applyProtection="0">
      <alignment vertical="center"/>
    </xf>
    <xf numFmtId="164" fontId="162" fillId="3" borderId="0" applyNumberFormat="0" applyBorder="0" applyAlignment="0" applyProtection="0">
      <alignment vertical="center"/>
    </xf>
    <xf numFmtId="164" fontId="161" fillId="0" borderId="0" applyNumberFormat="0" applyFill="0" applyBorder="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164" fontId="204" fillId="9" borderId="8" applyNumberFormat="0" applyAlignment="0" applyProtection="0">
      <alignment vertical="center"/>
    </xf>
    <xf numFmtId="213" fontId="88" fillId="0" borderId="0" applyFont="0" applyFill="0" applyBorder="0" applyAlignment="0" applyProtection="0"/>
    <xf numFmtId="217" fontId="88" fillId="0" borderId="0" applyFont="0" applyFill="0" applyBorder="0" applyAlignment="0" applyProtection="0"/>
    <xf numFmtId="164" fontId="204" fillId="9" borderId="8" applyNumberFormat="0" applyAlignment="0" applyProtection="0">
      <alignment vertical="center"/>
    </xf>
    <xf numFmtId="164" fontId="160" fillId="54" borderId="12" applyNumberFormat="0" applyAlignment="0" applyProtection="0">
      <alignment vertical="center"/>
    </xf>
    <xf numFmtId="164" fontId="159" fillId="53" borderId="11"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6" fontId="88" fillId="0" borderId="0" applyFill="0" applyBorder="0" applyAlignment="0"/>
    <xf numFmtId="215" fontId="88" fillId="0" borderId="0" applyFill="0" applyBorder="0" applyAlignment="0"/>
    <xf numFmtId="214" fontId="88" fillId="0" borderId="0" applyFill="0" applyBorder="0" applyAlignment="0"/>
    <xf numFmtId="213" fontId="88" fillId="0" borderId="0" applyFill="0" applyBorder="0" applyAlignment="0"/>
    <xf numFmtId="212" fontId="88" fillId="0" borderId="0" applyFill="0" applyBorder="0" applyAlignment="0"/>
    <xf numFmtId="164" fontId="204" fillId="9" borderId="8" applyNumberFormat="0" applyAlignment="0" applyProtection="0">
      <alignment vertical="center"/>
    </xf>
    <xf numFmtId="164" fontId="158" fillId="36" borderId="0" applyNumberFormat="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56" fillId="40" borderId="0" applyNumberFormat="0" applyBorder="0" applyAlignment="0" applyProtection="0">
      <alignment vertical="center"/>
    </xf>
    <xf numFmtId="164" fontId="156" fillId="37" borderId="0" applyNumberFormat="0" applyBorder="0" applyAlignment="0" applyProtection="0">
      <alignment vertical="center"/>
    </xf>
    <xf numFmtId="164" fontId="156" fillId="42" borderId="0" applyNumberFormat="0" applyBorder="0" applyAlignment="0" applyProtection="0">
      <alignment vertical="center"/>
    </xf>
    <xf numFmtId="164" fontId="156" fillId="41" borderId="0" applyNumberFormat="0" applyBorder="0" applyAlignment="0" applyProtection="0">
      <alignment vertical="center"/>
    </xf>
    <xf numFmtId="164" fontId="156" fillId="40" borderId="0" applyNumberFormat="0" applyBorder="0" applyAlignment="0" applyProtection="0">
      <alignment vertical="center"/>
    </xf>
    <xf numFmtId="164" fontId="122" fillId="39" borderId="0" applyNumberFormat="0" applyBorder="0" applyAlignment="0" applyProtection="0">
      <alignment vertical="center"/>
    </xf>
    <xf numFmtId="164" fontId="206" fillId="0" borderId="0" applyNumberFormat="0" applyFill="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156" fillId="39" borderId="0" applyNumberFormat="0" applyBorder="0" applyAlignment="0" applyProtection="0">
      <alignment vertical="center"/>
    </xf>
    <xf numFmtId="164" fontId="156" fillId="38" borderId="0" applyNumberFormat="0" applyBorder="0" applyAlignment="0" applyProtection="0">
      <alignment vertical="center"/>
    </xf>
    <xf numFmtId="164" fontId="156" fillId="37" borderId="0" applyNumberFormat="0" applyBorder="0" applyAlignment="0" applyProtection="0">
      <alignment vertical="center"/>
    </xf>
    <xf numFmtId="164" fontId="156" fillId="3" borderId="0" applyNumberFormat="0" applyBorder="0" applyAlignment="0" applyProtection="0">
      <alignment vertical="center"/>
    </xf>
    <xf numFmtId="164" fontId="156" fillId="36" borderId="0" applyNumberFormat="0" applyBorder="0" applyAlignment="0" applyProtection="0">
      <alignment vertical="center"/>
    </xf>
    <xf numFmtId="164" fontId="156" fillId="35" borderId="0" applyNumberFormat="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89" fillId="0" borderId="0" applyNumberFormat="0" applyFill="0" applyBorder="0" applyAlignment="0" applyProtection="0">
      <alignment vertical="center"/>
    </xf>
    <xf numFmtId="164" fontId="176" fillId="0" borderId="28" applyNumberFormat="0" applyFill="0" applyAlignment="0" applyProtection="0">
      <alignment vertical="center"/>
    </xf>
    <xf numFmtId="164" fontId="181" fillId="0" borderId="0" applyNumberFormat="0" applyFill="0" applyBorder="0" applyAlignment="0" applyProtection="0">
      <alignment vertical="center"/>
    </xf>
    <xf numFmtId="222" fontId="51" fillId="0" borderId="0" applyFill="0" applyBorder="0" applyAlignment="0"/>
    <xf numFmtId="221" fontId="51" fillId="0" borderId="0" applyFill="0" applyBorder="0" applyAlignment="0"/>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172" fillId="0" borderId="0" applyNumberFormat="0" applyFill="0" applyBorder="0" applyAlignment="0" applyProtection="0">
      <alignment vertical="center"/>
    </xf>
    <xf numFmtId="164" fontId="202" fillId="7" borderId="5" applyNumberFormat="0" applyAlignment="0" applyProtection="0">
      <alignment vertical="center"/>
    </xf>
    <xf numFmtId="164" fontId="171" fillId="0" borderId="28" applyNumberFormat="0" applyFill="0" applyAlignment="0" applyProtection="0">
      <alignment vertical="center"/>
    </xf>
    <xf numFmtId="164" fontId="170" fillId="0" borderId="0" applyNumberFormat="0" applyFill="0" applyBorder="0" applyAlignment="0" applyProtection="0">
      <alignment vertical="center"/>
    </xf>
    <xf numFmtId="222" fontId="88" fillId="0" borderId="0" applyFill="0" applyBorder="0" applyAlignment="0"/>
    <xf numFmtId="221" fontId="88" fillId="0" borderId="0" applyFill="0" applyBorder="0" applyAlignment="0"/>
    <xf numFmtId="164" fontId="97" fillId="0" borderId="23"/>
    <xf numFmtId="164" fontId="202" fillId="7" borderId="5" applyNumberFormat="0" applyAlignment="0" applyProtection="0">
      <alignment vertical="center"/>
    </xf>
    <xf numFmtId="164" fontId="96" fillId="0" borderId="21"/>
    <xf numFmtId="164" fontId="202" fillId="7" borderId="5" applyNumberFormat="0" applyAlignment="0" applyProtection="0">
      <alignment vertical="center"/>
    </xf>
    <xf numFmtId="213" fontId="88" fillId="0" borderId="0" applyFill="0" applyBorder="0" applyAlignment="0"/>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20" fontId="88" fillId="0" borderId="0" applyFont="0" applyFill="0" applyBorder="0" applyAlignment="0" applyProtection="0"/>
    <xf numFmtId="216" fontId="88" fillId="0" borderId="0" applyFont="0" applyFill="0" applyBorder="0" applyAlignment="0" applyProtection="0"/>
    <xf numFmtId="164" fontId="202" fillId="7" borderId="5" applyNumberFormat="0" applyAlignment="0" applyProtection="0">
      <alignment vertical="center"/>
    </xf>
    <xf numFmtId="14" fontId="91" fillId="0" borderId="0">
      <alignment horizontal="center" wrapText="1"/>
      <protection locked="0"/>
    </xf>
    <xf numFmtId="164" fontId="169" fillId="53" borderId="20"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56" fillId="65" borderId="27" applyNumberFormat="0" applyFont="0" applyAlignment="0" applyProtection="0">
      <alignment vertical="center"/>
    </xf>
    <xf numFmtId="164" fontId="203" fillId="8" borderId="6" applyNumberFormat="0" applyAlignment="0" applyProtection="0">
      <alignment vertical="center"/>
    </xf>
    <xf numFmtId="219" fontId="88" fillId="0" borderId="0"/>
    <xf numFmtId="164" fontId="168" fillId="61" borderId="0" applyNumberFormat="0" applyBorder="0" applyAlignment="0" applyProtection="0">
      <alignment vertical="center"/>
    </xf>
    <xf numFmtId="164" fontId="203" fillId="8" borderId="6" applyNumberFormat="0" applyAlignment="0" applyProtection="0">
      <alignment vertical="center"/>
    </xf>
    <xf numFmtId="200" fontId="88" fillId="58" borderId="0"/>
    <xf numFmtId="164" fontId="167" fillId="0" borderId="18" applyNumberFormat="0" applyFill="0" applyAlignment="0" applyProtection="0">
      <alignment vertical="center"/>
    </xf>
    <xf numFmtId="213" fontId="88" fillId="0" borderId="0" applyFill="0" applyBorder="0" applyAlignment="0"/>
    <xf numFmtId="164" fontId="203" fillId="8" borderId="6" applyNumberFormat="0" applyAlignment="0" applyProtection="0">
      <alignment vertical="center"/>
    </xf>
    <xf numFmtId="218" fontId="88" fillId="0" borderId="0" applyFill="0" applyBorder="0" applyAlignment="0"/>
    <xf numFmtId="217" fontId="88" fillId="0" borderId="0" applyFill="0" applyBorder="0" applyAlignment="0"/>
    <xf numFmtId="213" fontId="88" fillId="0" borderId="0" applyFill="0" applyBorder="0" applyAlignment="0"/>
    <xf numFmtId="217" fontId="88" fillId="0" borderId="0" applyFill="0" applyBorder="0" applyAlignment="0"/>
    <xf numFmtId="200" fontId="88" fillId="57" borderId="0"/>
    <xf numFmtId="164" fontId="166" fillId="39" borderId="11"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90" fillId="25" borderId="0" applyNumberFormat="0" applyBorder="0" applyAlignment="0" applyProtection="0">
      <alignment vertical="center"/>
    </xf>
    <xf numFmtId="164" fontId="190" fillId="25" borderId="0" applyNumberFormat="0" applyBorder="0" applyAlignment="0" applyProtection="0">
      <alignment vertical="center"/>
    </xf>
    <xf numFmtId="164" fontId="190" fillId="21"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17"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28" fillId="0" borderId="18" applyNumberFormat="0" applyFill="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90" fillId="29"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90" fillId="17" borderId="0" applyNumberFormat="0" applyBorder="0" applyAlignment="0" applyProtection="0">
      <alignment vertical="center"/>
    </xf>
    <xf numFmtId="164" fontId="190" fillId="1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90" fillId="32" borderId="0" applyNumberFormat="0" applyBorder="0" applyAlignment="0" applyProtection="0">
      <alignment vertical="center"/>
    </xf>
    <xf numFmtId="164" fontId="190" fillId="28" borderId="0" applyNumberFormat="0" applyBorder="0" applyAlignment="0" applyProtection="0">
      <alignment vertical="center"/>
    </xf>
    <xf numFmtId="164" fontId="128" fillId="0" borderId="18" applyNumberFormat="0" applyFill="0" applyAlignment="0" applyProtection="0">
      <alignment vertical="center"/>
    </xf>
    <xf numFmtId="164" fontId="190" fillId="24" borderId="0" applyNumberFormat="0" applyBorder="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190" fillId="20" borderId="0" applyNumberFormat="0" applyBorder="0" applyAlignment="0" applyProtection="0">
      <alignment vertical="center"/>
    </xf>
    <xf numFmtId="164" fontId="63" fillId="0" borderId="21"/>
    <xf numFmtId="164" fontId="190" fillId="16" borderId="0" applyNumberFormat="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90" fillId="12" borderId="0" applyNumberFormat="0" applyBorder="0" applyAlignment="0" applyProtection="0">
      <alignment vertical="center"/>
    </xf>
    <xf numFmtId="164" fontId="125" fillId="0" borderId="28" applyNumberFormat="0" applyFill="0" applyAlignment="0" applyProtection="0">
      <alignment vertical="center"/>
    </xf>
    <xf numFmtId="164" fontId="127" fillId="53" borderId="11" applyNumberFormat="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36" fillId="54" borderId="12" applyNumberFormat="0" applyAlignment="0" applyProtection="0">
      <alignment vertical="center"/>
    </xf>
    <xf numFmtId="164" fontId="190" fillId="12" borderId="0" applyNumberFormat="0" applyBorder="0" applyAlignment="0" applyProtection="0">
      <alignment vertical="center"/>
    </xf>
    <xf numFmtId="164" fontId="190" fillId="16" borderId="0" applyNumberFormat="0" applyBorder="0" applyAlignment="0" applyProtection="0">
      <alignment vertical="center"/>
    </xf>
    <xf numFmtId="164" fontId="190" fillId="20" borderId="0" applyNumberFormat="0" applyBorder="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90" fillId="24" borderId="0" applyNumberFormat="0" applyBorder="0" applyAlignment="0" applyProtection="0">
      <alignment vertical="center"/>
    </xf>
    <xf numFmtId="164" fontId="128" fillId="0" borderId="18" applyNumberFormat="0" applyFill="0" applyAlignment="0" applyProtection="0">
      <alignment vertical="center"/>
    </xf>
    <xf numFmtId="164" fontId="190" fillId="32" borderId="0" applyNumberFormat="0" applyBorder="0" applyAlignment="0" applyProtection="0">
      <alignment vertical="center"/>
    </xf>
    <xf numFmtId="221" fontId="51" fillId="0" borderId="0" applyFill="0" applyBorder="0" applyAlignment="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90" fillId="17" borderId="0" applyNumberFormat="0" applyBorder="0" applyAlignment="0" applyProtection="0">
      <alignment vertical="center"/>
    </xf>
    <xf numFmtId="164" fontId="190" fillId="17" borderId="0" applyNumberFormat="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36" fillId="54" borderId="12" applyNumberFormat="0" applyAlignment="0" applyProtection="0">
      <alignment vertical="center"/>
    </xf>
    <xf numFmtId="164" fontId="127" fillId="53" borderId="11" applyNumberFormat="0" applyAlignment="0" applyProtection="0">
      <alignment vertical="center"/>
    </xf>
    <xf numFmtId="164" fontId="190" fillId="25" borderId="0" applyNumberFormat="0" applyBorder="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37" fillId="36" borderId="0" applyNumberFormat="0" applyBorder="0" applyAlignment="0" applyProtection="0">
      <alignment vertical="center"/>
    </xf>
    <xf numFmtId="164" fontId="190" fillId="29"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37" fillId="36" borderId="0" applyNumberFormat="0" applyBorder="0" applyAlignment="0" applyProtection="0">
      <alignment vertical="center"/>
    </xf>
    <xf numFmtId="164" fontId="190" fillId="25"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9" fillId="0" borderId="2"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200" fillId="0" borderId="3" applyNumberFormat="0" applyFill="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4" applyNumberFormat="0" applyFill="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201"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198" fillId="0" borderId="0" applyNumberFormat="0" applyFill="0" applyBorder="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204" fillId="9" borderId="8"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5" fillId="8" borderId="5" applyNumberFormat="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197"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206" fillId="0" borderId="0" applyNumberFormat="0" applyFill="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1"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5"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19"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3"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27"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191" fillId="31" borderId="0" applyNumberFormat="0" applyBorder="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2" fillId="7" borderId="5"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203" fillId="8" borderId="6" applyNumberFormat="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164" fontId="196" fillId="0" borderId="7" applyNumberFormat="0" applyFill="0" applyAlignment="0" applyProtection="0">
      <alignment vertical="center"/>
    </xf>
    <xf numFmtId="217" fontId="51" fillId="0" borderId="0" applyFont="0" applyFill="0" applyBorder="0" applyAlignment="0" applyProtection="0"/>
    <xf numFmtId="164" fontId="135" fillId="53" borderId="20" applyNumberFormat="0" applyAlignment="0" applyProtection="0">
      <alignment vertical="center"/>
    </xf>
    <xf numFmtId="213" fontId="51" fillId="0" borderId="0" applyFont="0" applyFill="0" applyBorder="0" applyAlignment="0" applyProtection="0"/>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24" fillId="61" borderId="0" applyNumberFormat="0" applyBorder="0" applyAlignment="0" applyProtection="0">
      <alignment vertical="center"/>
    </xf>
    <xf numFmtId="219" fontId="51" fillId="0" borderId="0"/>
    <xf numFmtId="164" fontId="63" fillId="0" borderId="21"/>
    <xf numFmtId="164" fontId="127" fillId="53" borderId="11" applyNumberFormat="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28" fillId="0" borderId="18" applyNumberFormat="0" applyFill="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20" fillId="65" borderId="27" applyNumberFormat="0" applyFont="0" applyAlignment="0" applyProtection="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164" fontId="134" fillId="39" borderId="11" applyNumberFormat="0" applyAlignment="0" applyProtection="0">
      <alignment vertical="center"/>
    </xf>
    <xf numFmtId="200" fontId="51" fillId="57" borderId="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8" fillId="0" borderId="18" applyNumberFormat="0" applyFill="0" applyAlignment="0" applyProtection="0">
      <alignment vertical="center"/>
    </xf>
    <xf numFmtId="200" fontId="51" fillId="58" borderId="0"/>
    <xf numFmtId="164" fontId="124" fillId="61" borderId="0" applyNumberFormat="0" applyBorder="0" applyAlignment="0" applyProtection="0">
      <alignment vertical="center"/>
    </xf>
    <xf numFmtId="219" fontId="51" fillId="0" borderId="0"/>
    <xf numFmtId="213" fontId="51" fillId="0" borderId="0" applyFill="0" applyBorder="0" applyAlignment="0"/>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2" fillId="40" borderId="0" applyNumberFormat="0" applyBorder="0" applyAlignment="0" applyProtection="0">
      <alignment vertical="center"/>
    </xf>
    <xf numFmtId="164" fontId="122" fillId="41" borderId="0" applyNumberFormat="0" applyBorder="0" applyAlignment="0" applyProtection="0">
      <alignment vertical="center"/>
    </xf>
    <xf numFmtId="164" fontId="122" fillId="42" borderId="0" applyNumberFormat="0" applyBorder="0" applyAlignment="0" applyProtection="0">
      <alignment vertical="center"/>
    </xf>
    <xf numFmtId="164" fontId="122" fillId="37" borderId="0" applyNumberFormat="0" applyBorder="0" applyAlignment="0" applyProtection="0">
      <alignment vertical="center"/>
    </xf>
    <xf numFmtId="164" fontId="122" fillId="40" borderId="0" applyNumberFormat="0" applyBorder="0" applyAlignment="0" applyProtection="0">
      <alignment vertical="center"/>
    </xf>
    <xf numFmtId="164" fontId="122" fillId="43"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164" fontId="122" fillId="35" borderId="0" applyNumberFormat="0" applyBorder="0" applyAlignment="0" applyProtection="0">
      <alignment vertical="center"/>
    </xf>
    <xf numFmtId="164" fontId="122" fillId="36" borderId="0" applyNumberFormat="0" applyBorder="0" applyAlignment="0" applyProtection="0">
      <alignment vertical="center"/>
    </xf>
    <xf numFmtId="164" fontId="122" fillId="3" borderId="0" applyNumberFormat="0" applyBorder="0" applyAlignment="0" applyProtection="0">
      <alignment vertical="center"/>
    </xf>
    <xf numFmtId="164" fontId="122" fillId="37" borderId="0" applyNumberFormat="0" applyBorder="0" applyAlignment="0" applyProtection="0">
      <alignment vertical="center"/>
    </xf>
    <xf numFmtId="164" fontId="122" fillId="38" borderId="0" applyNumberFormat="0" applyBorder="0" applyAlignment="0" applyProtection="0">
      <alignment vertical="center"/>
    </xf>
    <xf numFmtId="164" fontId="122" fillId="39" borderId="0" applyNumberFormat="0" applyBorder="0" applyAlignment="0" applyProtection="0">
      <alignment vertical="center"/>
    </xf>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31" fillId="0" borderId="0">
      <alignment horizontal="center" wrapText="1"/>
      <protection locked="0"/>
    </xf>
    <xf numFmtId="164" fontId="137" fillId="36" borderId="0" applyNumberFormat="0" applyBorder="0" applyAlignment="0" applyProtection="0">
      <alignment vertical="center"/>
    </xf>
    <xf numFmtId="212" fontId="51" fillId="0" borderId="0" applyFill="0" applyBorder="0" applyAlignment="0"/>
    <xf numFmtId="213" fontId="51" fillId="0" borderId="0" applyFill="0" applyBorder="0" applyAlignment="0"/>
    <xf numFmtId="214" fontId="51" fillId="0" borderId="0" applyFill="0" applyBorder="0" applyAlignment="0"/>
    <xf numFmtId="215" fontId="51" fillId="0" borderId="0" applyFill="0" applyBorder="0" applyAlignment="0"/>
    <xf numFmtId="216" fontId="51" fillId="0" borderId="0" applyFill="0" applyBorder="0" applyAlignment="0"/>
    <xf numFmtId="217" fontId="51" fillId="0" borderId="0" applyFill="0" applyBorder="0" applyAlignment="0"/>
    <xf numFmtId="218"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164" fontId="123" fillId="42"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47"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217" fontId="51" fillId="0" borderId="0" applyFont="0" applyFill="0" applyBorder="0" applyAlignment="0" applyProtection="0"/>
    <xf numFmtId="213"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3" fillId="49" borderId="0" applyNumberFormat="0" applyBorder="0" applyAlignment="0" applyProtection="0">
      <alignment vertical="center"/>
    </xf>
    <xf numFmtId="164" fontId="123" fillId="50" borderId="0" applyNumberFormat="0" applyBorder="0" applyAlignment="0" applyProtection="0">
      <alignment vertical="center"/>
    </xf>
    <xf numFmtId="164" fontId="123" fillId="51" borderId="0" applyNumberFormat="0" applyBorder="0" applyAlignment="0" applyProtection="0">
      <alignment vertical="center"/>
    </xf>
    <xf numFmtId="164" fontId="123" fillId="45" borderId="0" applyNumberFormat="0" applyBorder="0" applyAlignment="0" applyProtection="0">
      <alignment vertical="center"/>
    </xf>
    <xf numFmtId="164" fontId="123" fillId="46" borderId="0" applyNumberFormat="0" applyBorder="0" applyAlignment="0" applyProtection="0">
      <alignment vertical="center"/>
    </xf>
    <xf numFmtId="164" fontId="123" fillId="52" borderId="0" applyNumberFormat="0" applyBorder="0" applyAlignment="0" applyProtection="0">
      <alignment vertical="center"/>
    </xf>
    <xf numFmtId="164" fontId="137" fillId="36" borderId="0" applyNumberFormat="0" applyBorder="0" applyAlignment="0" applyProtection="0">
      <alignment vertical="center"/>
    </xf>
    <xf numFmtId="164" fontId="127" fillId="53" borderId="11" applyNumberFormat="0" applyAlignment="0" applyProtection="0">
      <alignment vertical="center"/>
    </xf>
    <xf numFmtId="164" fontId="136" fillId="54" borderId="12" applyNumberFormat="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6" fillId="3"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164" fontId="134" fillId="39" borderId="11" applyNumberFormat="0" applyAlignment="0" applyProtection="0">
      <alignment vertical="center"/>
    </xf>
    <xf numFmtId="217" fontId="51" fillId="0" borderId="0" applyFill="0" applyBorder="0" applyAlignment="0"/>
    <xf numFmtId="218" fontId="51" fillId="0" borderId="0" applyFill="0" applyBorder="0" applyAlignment="0"/>
    <xf numFmtId="164" fontId="128" fillId="0" borderId="18" applyNumberFormat="0" applyFill="0" applyAlignment="0" applyProtection="0">
      <alignment vertical="center"/>
    </xf>
    <xf numFmtId="213" fontId="51" fillId="0" borderId="0" applyFill="0" applyBorder="0" applyAlignment="0"/>
    <xf numFmtId="164" fontId="124" fillId="61" borderId="0" applyNumberFormat="0" applyBorder="0" applyAlignment="0" applyProtection="0">
      <alignment vertical="center"/>
    </xf>
    <xf numFmtId="164" fontId="103" fillId="65" borderId="27" applyNumberFormat="0" applyFont="0" applyAlignment="0" applyProtection="0">
      <alignment vertical="center"/>
    </xf>
    <xf numFmtId="164" fontId="135" fillId="53" borderId="20" applyNumberFormat="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38" fillId="0" borderId="0" applyNumberFormat="0" applyFill="0" applyBorder="0" applyAlignment="0" applyProtection="0">
      <alignment vertical="center"/>
    </xf>
    <xf numFmtId="164" fontId="30" fillId="0" borderId="23"/>
    <xf numFmtId="221" fontId="51" fillId="0" borderId="0" applyFill="0" applyBorder="0" applyAlignment="0"/>
    <xf numFmtId="222" fontId="51" fillId="0" borderId="0" applyFill="0" applyBorder="0" applyAlignment="0"/>
    <xf numFmtId="164" fontId="103" fillId="65" borderId="27" applyNumberFormat="0" applyFont="0" applyAlignment="0" applyProtection="0">
      <alignment vertical="center"/>
    </xf>
    <xf numFmtId="164" fontId="135" fillId="53" borderId="20" applyNumberFormat="0" applyAlignment="0" applyProtection="0">
      <alignment vertical="center"/>
    </xf>
    <xf numFmtId="14" fontId="31" fillId="0" borderId="0">
      <alignment horizontal="center" wrapText="1"/>
      <protection locked="0"/>
    </xf>
    <xf numFmtId="216" fontId="51" fillId="0" borderId="0" applyFont="0" applyFill="0" applyBorder="0" applyAlignment="0" applyProtection="0"/>
    <xf numFmtId="220" fontId="51" fillId="0" borderId="0" applyFont="0" applyFill="0" applyBorder="0" applyAlignment="0" applyProtection="0"/>
    <xf numFmtId="217" fontId="51" fillId="0" borderId="0" applyFill="0" applyBorder="0" applyAlignment="0"/>
    <xf numFmtId="213" fontId="51" fillId="0" borderId="0" applyFill="0" applyBorder="0" applyAlignment="0"/>
    <xf numFmtId="217" fontId="51" fillId="0" borderId="0" applyFill="0" applyBorder="0" applyAlignment="0"/>
    <xf numFmtId="218" fontId="51" fillId="0" borderId="0" applyFill="0" applyBorder="0" applyAlignment="0"/>
    <xf numFmtId="213"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63" fillId="0" borderId="21"/>
    <xf numFmtId="164" fontId="30" fillId="0" borderId="23"/>
    <xf numFmtId="221" fontId="51" fillId="0" borderId="0" applyFill="0" applyBorder="0" applyAlignment="0"/>
    <xf numFmtId="222" fontId="51" fillId="0" borderId="0" applyFill="0" applyBorder="0" applyAlignment="0"/>
    <xf numFmtId="164" fontId="125" fillId="0" borderId="28" applyNumberFormat="0" applyFill="0" applyAlignment="0" applyProtection="0">
      <alignment vertical="center"/>
    </xf>
    <xf numFmtId="164" fontId="138" fillId="0" borderId="0" applyNumberFormat="0" applyFill="0" applyBorder="0" applyAlignment="0" applyProtection="0">
      <alignment vertical="center"/>
    </xf>
    <xf numFmtId="164" fontId="123" fillId="44" borderId="0" applyNumberFormat="0" applyBorder="0" applyAlignment="0" applyProtection="0">
      <alignment vertical="center"/>
    </xf>
    <xf numFmtId="164" fontId="123" fillId="41" borderId="0" applyNumberFormat="0" applyBorder="0" applyAlignment="0" applyProtection="0">
      <alignment vertical="center"/>
    </xf>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222" fontId="51" fillId="0" borderId="0" applyFill="0" applyBorder="0" applyAlignment="0"/>
    <xf numFmtId="221" fontId="51" fillId="0" borderId="0" applyFill="0" applyBorder="0" applyAlignment="0"/>
    <xf numFmtId="164" fontId="30" fillId="0" borderId="23"/>
    <xf numFmtId="164" fontId="63" fillId="0" borderId="21"/>
    <xf numFmtId="213"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218" fontId="51" fillId="0" borderId="0" applyFill="0" applyBorder="0" applyAlignment="0"/>
    <xf numFmtId="164" fontId="138" fillId="0" borderId="0" applyNumberFormat="0" applyFill="0" applyBorder="0" applyAlignment="0" applyProtection="0">
      <alignment vertical="center"/>
    </xf>
    <xf numFmtId="164" fontId="125" fillId="0" borderId="28" applyNumberFormat="0" applyFill="0" applyAlignment="0" applyProtection="0">
      <alignment vertical="center"/>
    </xf>
    <xf numFmtId="164" fontId="135" fillId="53" borderId="20" applyNumberFormat="0" applyAlignment="0" applyProtection="0">
      <alignment vertical="center"/>
    </xf>
    <xf numFmtId="164" fontId="103" fillId="65" borderId="27" applyNumberFormat="0" applyFon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3" fontId="51" fillId="0" borderId="0" applyFont="0" applyFill="0" applyBorder="0" applyAlignment="0" applyProtection="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03" fillId="65" borderId="27" applyNumberFormat="0" applyFont="0" applyAlignment="0" applyProtection="0">
      <alignment vertical="center"/>
    </xf>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00" fontId="51" fillId="57" borderId="0"/>
    <xf numFmtId="164" fontId="134" fillId="39" borderId="11" applyNumberFormat="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164" fontId="124" fillId="61" borderId="0" applyNumberFormat="0" applyBorder="0" applyAlignment="0" applyProtection="0">
      <alignment vertical="center"/>
    </xf>
    <xf numFmtId="222" fontId="51" fillId="0" borderId="0" applyFill="0" applyBorder="0" applyAlignment="0"/>
    <xf numFmtId="164" fontId="128" fillId="0" borderId="18" applyNumberFormat="0" applyFill="0" applyAlignment="0" applyProtection="0">
      <alignment vertical="center"/>
    </xf>
    <xf numFmtId="221" fontId="51" fillId="0" borderId="0" applyFill="0" applyBorder="0" applyAlignment="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3" fontId="51" fillId="0" borderId="0" applyFill="0" applyBorder="0" applyAlignment="0"/>
    <xf numFmtId="217" fontId="51" fillId="0" borderId="0" applyFill="0" applyBorder="0" applyAlignment="0"/>
    <xf numFmtId="164" fontId="136" fillId="54" borderId="12" applyNumberFormat="0" applyAlignment="0" applyProtection="0">
      <alignment vertical="center"/>
    </xf>
    <xf numFmtId="164" fontId="127" fillId="53" borderId="11" applyNumberFormat="0" applyAlignment="0" applyProtection="0">
      <alignment vertical="center"/>
    </xf>
    <xf numFmtId="164" fontId="138"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213" fontId="51" fillId="0" borderId="0" applyFont="0" applyFill="0" applyBorder="0" applyAlignment="0" applyProtection="0"/>
    <xf numFmtId="217" fontId="51" fillId="0" borderId="0" applyFont="0" applyFill="0" applyBorder="0" applyAlignment="0" applyProtection="0"/>
    <xf numFmtId="164" fontId="136" fillId="54" borderId="12" applyNumberFormat="0" applyAlignment="0" applyProtection="0">
      <alignment vertical="center"/>
    </xf>
    <xf numFmtId="164" fontId="127" fillId="53" borderId="11" applyNumberFormat="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6" fontId="51" fillId="0" borderId="0" applyFill="0" applyBorder="0" applyAlignment="0"/>
    <xf numFmtId="215" fontId="51" fillId="0" borderId="0" applyFill="0" applyBorder="0" applyAlignment="0"/>
    <xf numFmtId="214"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2" fillId="39" borderId="0" applyNumberFormat="0" applyBorder="0" applyAlignment="0" applyProtection="0">
      <alignment vertical="center"/>
    </xf>
    <xf numFmtId="164" fontId="122" fillId="38" borderId="0" applyNumberFormat="0" applyBorder="0" applyAlignment="0" applyProtection="0">
      <alignment vertical="center"/>
    </xf>
    <xf numFmtId="164" fontId="122" fillId="37"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2" fillId="3" borderId="0" applyNumberFormat="0" applyBorder="0" applyAlignment="0" applyProtection="0">
      <alignment vertical="center"/>
    </xf>
    <xf numFmtId="164" fontId="122" fillId="36" borderId="0" applyNumberFormat="0" applyBorder="0" applyAlignment="0" applyProtection="0">
      <alignment vertical="center"/>
    </xf>
    <xf numFmtId="164" fontId="122" fillId="35"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219" fontId="51" fillId="0" borderId="0"/>
    <xf numFmtId="164" fontId="124" fillId="61" borderId="0" applyNumberFormat="0" applyBorder="0" applyAlignment="0" applyProtection="0">
      <alignment vertical="center"/>
    </xf>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164" fontId="125" fillId="0" borderId="28" applyNumberFormat="0" applyFill="0" applyAlignment="0" applyProtection="0">
      <alignment vertical="center"/>
    </xf>
    <xf numFmtId="219" fontId="51" fillId="0" borderId="0"/>
    <xf numFmtId="164" fontId="124" fillId="61" borderId="0" applyNumberFormat="0" applyBorder="0" applyAlignment="0" applyProtection="0">
      <alignment vertical="center"/>
    </xf>
    <xf numFmtId="222" fontId="51" fillId="0" borderId="0" applyFill="0" applyBorder="0" applyAlignment="0"/>
    <xf numFmtId="200" fontId="51" fillId="58" borderId="0"/>
    <xf numFmtId="164" fontId="128" fillId="0" borderId="18" applyNumberFormat="0" applyFill="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221" fontId="51" fillId="0" borderId="0" applyFill="0" applyBorder="0" applyAlignment="0"/>
    <xf numFmtId="200" fontId="51" fillId="57" borderId="0"/>
    <xf numFmtId="164" fontId="134" fillId="39" borderId="11" applyNumberFormat="0" applyAlignment="0" applyProtection="0">
      <alignment vertical="center"/>
    </xf>
    <xf numFmtId="164" fontId="30" fillId="0" borderId="23"/>
    <xf numFmtId="164" fontId="63" fillId="0" borderId="21"/>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164" fontId="123" fillId="41" borderId="0" applyNumberFormat="0" applyBorder="0" applyAlignment="0" applyProtection="0">
      <alignment vertical="center"/>
    </xf>
    <xf numFmtId="164" fontId="123" fillId="44" borderId="0" applyNumberFormat="0" applyBorder="0" applyAlignment="0" applyProtection="0">
      <alignment vertical="center"/>
    </xf>
    <xf numFmtId="164" fontId="122" fillId="43" borderId="0" applyNumberFormat="0" applyBorder="0" applyAlignment="0" applyProtection="0">
      <alignment vertical="center"/>
    </xf>
    <xf numFmtId="164" fontId="122" fillId="40" borderId="0" applyNumberFormat="0" applyBorder="0" applyAlignment="0" applyProtection="0">
      <alignment vertical="center"/>
    </xf>
    <xf numFmtId="164" fontId="122" fillId="37" borderId="0" applyNumberFormat="0" applyBorder="0" applyAlignment="0" applyProtection="0">
      <alignment vertical="center"/>
    </xf>
    <xf numFmtId="164" fontId="122" fillId="42" borderId="0" applyNumberFormat="0" applyBorder="0" applyAlignment="0" applyProtection="0">
      <alignment vertical="center"/>
    </xf>
    <xf numFmtId="164" fontId="137" fillId="36"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00" fontId="51" fillId="57" borderId="0"/>
    <xf numFmtId="164" fontId="134" fillId="39" borderId="11" applyNumberFormat="0" applyAlignment="0" applyProtection="0">
      <alignment vertical="center"/>
    </xf>
    <xf numFmtId="164" fontId="20" fillId="65" borderId="27" applyNumberFormat="0" applyFont="0" applyAlignment="0" applyProtection="0"/>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37" fillId="36" borderId="0" applyNumberFormat="0" applyBorder="0" applyAlignment="0" applyProtection="0">
      <alignment vertical="center"/>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2" fillId="41" borderId="0" applyNumberFormat="0" applyBorder="0" applyAlignment="0" applyProtection="0">
      <alignment vertical="center"/>
    </xf>
    <xf numFmtId="164" fontId="122" fillId="40" borderId="0" applyNumberFormat="0" applyBorder="0" applyAlignment="0" applyProtection="0">
      <alignment vertical="center"/>
    </xf>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42" borderId="0" applyNumberFormat="0" applyBorder="0" applyAlignment="0" applyProtection="0">
      <alignment vertical="center"/>
    </xf>
    <xf numFmtId="213" fontId="51" fillId="0" borderId="0" applyFill="0" applyBorder="0" applyAlignment="0"/>
    <xf numFmtId="212" fontId="51" fillId="0" borderId="0" applyFill="0" applyBorder="0" applyAlignment="0"/>
    <xf numFmtId="217"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20" fontId="51" fillId="0" borderId="0" applyFont="0" applyFill="0" applyBorder="0" applyAlignment="0" applyProtection="0"/>
    <xf numFmtId="216" fontId="51" fillId="0" borderId="0" applyFont="0" applyFill="0" applyBorder="0" applyAlignment="0" applyProtection="0"/>
    <xf numFmtId="14" fontId="31" fillId="0" borderId="0">
      <alignment horizontal="center" wrapText="1"/>
      <protection locked="0"/>
    </xf>
    <xf numFmtId="164" fontId="135" fillId="53" borderId="20" applyNumberFormat="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126" fillId="3" borderId="0" applyNumberFormat="0" applyBorder="0" applyAlignment="0" applyProtection="0">
      <alignment vertical="center"/>
    </xf>
    <xf numFmtId="164" fontId="129" fillId="0" borderId="0" applyNumberFormat="0" applyFill="0" applyBorder="0" applyAlignment="0" applyProtection="0">
      <alignment vertical="center"/>
    </xf>
    <xf numFmtId="213" fontId="51" fillId="0" borderId="0" applyFill="0" applyBorder="0" applyAlignment="0"/>
    <xf numFmtId="218" fontId="51" fillId="0" borderId="0" applyFill="0" applyBorder="0" applyAlignment="0"/>
    <xf numFmtId="217" fontId="51" fillId="0" borderId="0" applyFill="0" applyBorder="0" applyAlignment="0"/>
    <xf numFmtId="213" fontId="51" fillId="0" borderId="0" applyFill="0" applyBorder="0" applyAlignment="0"/>
    <xf numFmtId="217" fontId="51" fillId="0" borderId="0" applyFill="0" applyBorder="0" applyAlignment="0"/>
    <xf numFmtId="164" fontId="123" fillId="47"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03" fillId="65" borderId="27" applyNumberFormat="0" applyFont="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213" fontId="51" fillId="0" borderId="0" applyFill="0" applyBorder="0" applyAlignment="0"/>
    <xf numFmtId="212" fontId="51" fillId="0" borderId="0" applyFill="0" applyBorder="0" applyAlignment="0"/>
    <xf numFmtId="164" fontId="137" fillId="36" borderId="0" applyNumberFormat="0" applyBorder="0" applyAlignment="0" applyProtection="0">
      <alignment vertical="center"/>
    </xf>
    <xf numFmtId="164" fontId="31" fillId="0" borderId="0">
      <alignment horizontal="center" wrapText="1"/>
      <protection locked="0"/>
    </xf>
    <xf numFmtId="164" fontId="123" fillId="52" borderId="0" applyNumberFormat="0" applyBorder="0" applyAlignment="0" applyProtection="0">
      <alignment vertical="center"/>
    </xf>
    <xf numFmtId="164" fontId="123" fillId="46" borderId="0" applyNumberFormat="0" applyBorder="0" applyAlignment="0" applyProtection="0">
      <alignment vertical="center"/>
    </xf>
    <xf numFmtId="164" fontId="123" fillId="45" borderId="0" applyNumberFormat="0" applyBorder="0" applyAlignment="0" applyProtection="0">
      <alignment vertical="center"/>
    </xf>
    <xf numFmtId="164" fontId="123" fillId="51" borderId="0" applyNumberFormat="0" applyBorder="0" applyAlignment="0" applyProtection="0">
      <alignment vertical="center"/>
    </xf>
    <xf numFmtId="164" fontId="123" fillId="50" borderId="0" applyNumberFormat="0" applyBorder="0" applyAlignment="0" applyProtection="0">
      <alignment vertical="center"/>
    </xf>
    <xf numFmtId="164" fontId="123" fillId="49" borderId="0" applyNumberFormat="0" applyBorder="0" applyAlignment="0" applyProtection="0">
      <alignment vertical="center"/>
    </xf>
    <xf numFmtId="164" fontId="72" fillId="49" borderId="0" applyNumberFormat="0" applyBorder="0" applyAlignment="0" applyProtection="0"/>
    <xf numFmtId="164" fontId="72" fillId="50" borderId="0" applyNumberFormat="0" applyBorder="0" applyAlignment="0" applyProtection="0"/>
    <xf numFmtId="164" fontId="72" fillId="51"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52" borderId="0" applyNumberFormat="0" applyBorder="0" applyAlignment="0" applyProtection="0"/>
    <xf numFmtId="164" fontId="75" fillId="54" borderId="12" applyNumberFormat="0" applyAlignment="0" applyProtection="0"/>
    <xf numFmtId="164" fontId="82" fillId="53" borderId="20" applyNumberFormat="0" applyAlignment="0" applyProtection="0"/>
    <xf numFmtId="164" fontId="103" fillId="65" borderId="27" applyNumberFormat="0" applyFont="0" applyAlignment="0" applyProtection="0"/>
    <xf numFmtId="164" fontId="73" fillId="36" borderId="0" applyNumberFormat="0" applyBorder="0" applyAlignment="0" applyProtection="0"/>
    <xf numFmtId="164" fontId="71" fillId="35" borderId="0" applyNumberFormat="0" applyBorder="0" applyAlignment="0" applyProtection="0"/>
    <xf numFmtId="164" fontId="71" fillId="36" borderId="0" applyNumberFormat="0" applyBorder="0" applyAlignment="0" applyProtection="0"/>
    <xf numFmtId="164" fontId="71" fillId="3" borderId="0" applyNumberFormat="0" applyBorder="0" applyAlignment="0" applyProtection="0"/>
    <xf numFmtId="164" fontId="71" fillId="37" borderId="0" applyNumberFormat="0" applyBorder="0" applyAlignment="0" applyProtection="0"/>
    <xf numFmtId="164" fontId="71" fillId="38" borderId="0" applyNumberFormat="0" applyBorder="0" applyAlignment="0" applyProtection="0"/>
    <xf numFmtId="164" fontId="71" fillId="39" borderId="0" applyNumberFormat="0" applyBorder="0" applyAlignment="0" applyProtection="0"/>
    <xf numFmtId="164" fontId="99" fillId="0" borderId="25" applyNumberFormat="0" applyFill="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81" fillId="61" borderId="0" applyNumberFormat="0" applyBorder="0" applyAlignment="0" applyProtection="0"/>
    <xf numFmtId="164" fontId="78" fillId="0" borderId="0" applyNumberFormat="0" applyFill="0" applyBorder="0" applyAlignment="0" applyProtection="0"/>
    <xf numFmtId="164" fontId="71" fillId="40" borderId="0" applyNumberFormat="0" applyBorder="0" applyAlignment="0" applyProtection="0"/>
    <xf numFmtId="164" fontId="71" fillId="41" borderId="0" applyNumberFormat="0" applyBorder="0" applyAlignment="0" applyProtection="0"/>
    <xf numFmtId="164" fontId="71" fillId="42" borderId="0" applyNumberFormat="0" applyBorder="0" applyAlignment="0" applyProtection="0"/>
    <xf numFmtId="164" fontId="71" fillId="37" borderId="0" applyNumberFormat="0" applyBorder="0" applyAlignment="0" applyProtection="0"/>
    <xf numFmtId="164" fontId="71" fillId="40" borderId="0" applyNumberFormat="0" applyBorder="0" applyAlignment="0" applyProtection="0"/>
    <xf numFmtId="164" fontId="71" fillId="43" borderId="0" applyNumberFormat="0" applyBorder="0" applyAlignment="0" applyProtection="0"/>
    <xf numFmtId="164" fontId="78" fillId="0" borderId="15" applyNumberFormat="0" applyFill="0" applyAlignment="0" applyProtection="0"/>
    <xf numFmtId="164" fontId="100" fillId="0" borderId="26" applyNumberFormat="0" applyFill="0" applyAlignment="0" applyProtection="0"/>
    <xf numFmtId="164" fontId="79" fillId="39" borderId="11" applyNumberFormat="0" applyAlignment="0" applyProtection="0"/>
    <xf numFmtId="164" fontId="72" fillId="44" borderId="0" applyNumberFormat="0" applyBorder="0" applyAlignment="0" applyProtection="0"/>
    <xf numFmtId="164" fontId="72" fillId="41" borderId="0" applyNumberFormat="0" applyBorder="0" applyAlignment="0" applyProtection="0"/>
    <xf numFmtId="164" fontId="72" fillId="42"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47" borderId="0" applyNumberFormat="0" applyBorder="0" applyAlignment="0" applyProtection="0"/>
    <xf numFmtId="164" fontId="80" fillId="0" borderId="18" applyNumberFormat="0" applyFill="0" applyAlignment="0" applyProtection="0"/>
    <xf numFmtId="164" fontId="74" fillId="53" borderId="11" applyNumberFormat="0" applyAlignment="0" applyProtection="0"/>
    <xf numFmtId="164" fontId="75" fillId="54" borderId="12" applyNumberFormat="0" applyAlignment="0" applyProtection="0"/>
    <xf numFmtId="164" fontId="99" fillId="0" borderId="25" applyNumberFormat="0" applyFill="0" applyAlignment="0" applyProtection="0"/>
    <xf numFmtId="164" fontId="76" fillId="0" borderId="0" applyNumberFormat="0" applyFill="0" applyBorder="0" applyAlignment="0" applyProtection="0"/>
    <xf numFmtId="164" fontId="72" fillId="49" borderId="0" applyNumberFormat="0" applyBorder="0" applyAlignment="0" applyProtection="0"/>
    <xf numFmtId="164" fontId="72" fillId="50" borderId="0" applyNumberFormat="0" applyBorder="0" applyAlignment="0" applyProtection="0"/>
    <xf numFmtId="164" fontId="72" fillId="51"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52" borderId="0" applyNumberFormat="0" applyBorder="0" applyAlignment="0" applyProtection="0"/>
    <xf numFmtId="164" fontId="77" fillId="3" borderId="0" applyNumberFormat="0" applyBorder="0" applyAlignment="0" applyProtection="0"/>
    <xf numFmtId="164" fontId="73" fillId="36" borderId="0" applyNumberFormat="0" applyBorder="0" applyAlignment="0" applyProtection="0"/>
    <xf numFmtId="164" fontId="78" fillId="0" borderId="0" applyNumberFormat="0" applyFill="0" applyBorder="0" applyAlignment="0" applyProtection="0"/>
    <xf numFmtId="164" fontId="78" fillId="0" borderId="15" applyNumberFormat="0" applyFill="0" applyAlignment="0" applyProtection="0"/>
    <xf numFmtId="164" fontId="100" fillId="0" borderId="26" applyNumberFormat="0" applyFill="0" applyAlignment="0" applyProtection="0"/>
    <xf numFmtId="164" fontId="79" fillId="39" borderId="11" applyNumberFormat="0" applyAlignment="0" applyProtection="0"/>
    <xf numFmtId="164" fontId="99" fillId="0" borderId="25" applyNumberFormat="0" applyFill="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74" fillId="53" borderId="11" applyNumberFormat="0" applyAlignment="0" applyProtection="0"/>
    <xf numFmtId="164" fontId="75" fillId="54" borderId="12" applyNumberFormat="0" applyAlignment="0" applyProtection="0"/>
    <xf numFmtId="164" fontId="78" fillId="0" borderId="0" applyNumberFormat="0" applyFill="0" applyBorder="0" applyAlignment="0" applyProtection="0"/>
    <xf numFmtId="164" fontId="78" fillId="0" borderId="15" applyNumberFormat="0" applyFill="0" applyAlignment="0" applyProtection="0"/>
    <xf numFmtId="164" fontId="100" fillId="0" borderId="26" applyNumberFormat="0" applyFill="0" applyAlignment="0" applyProtection="0"/>
    <xf numFmtId="164" fontId="99" fillId="0" borderId="25" applyNumberFormat="0" applyFill="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99" fillId="0" borderId="25" applyNumberFormat="0" applyFill="0" applyAlignment="0" applyProtection="0"/>
    <xf numFmtId="164" fontId="99" fillId="0" borderId="25" applyNumberFormat="0" applyFill="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79" fillId="39" borderId="11" applyNumberFormat="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99" fillId="0" borderId="25" applyNumberFormat="0" applyFill="0" applyAlignment="0" applyProtection="0"/>
    <xf numFmtId="164" fontId="75" fillId="54" borderId="12" applyNumberFormat="0" applyAlignment="0" applyProtection="0"/>
    <xf numFmtId="164" fontId="74" fillId="53" borderId="11" applyNumberFormat="0" applyAlignment="0" applyProtection="0"/>
    <xf numFmtId="164" fontId="80" fillId="0" borderId="18" applyNumberFormat="0" applyFill="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81" fillId="61" borderId="0" applyNumberFormat="0" applyBorder="0" applyAlignment="0" applyProtection="0"/>
    <xf numFmtId="164" fontId="99" fillId="0" borderId="25" applyNumberFormat="0" applyFill="0" applyAlignment="0" applyProtection="0"/>
    <xf numFmtId="164" fontId="73" fillId="36"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7" fillId="3"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71" fillId="37" borderId="0" applyNumberFormat="0" applyBorder="0" applyAlignment="0" applyProtection="0"/>
    <xf numFmtId="164" fontId="71" fillId="42"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41" borderId="0" applyNumberFormat="0" applyBorder="0" applyAlignment="0" applyProtection="0"/>
    <xf numFmtId="164" fontId="71" fillId="40" borderId="0" applyNumberFormat="0" applyBorder="0" applyAlignment="0" applyProtection="0"/>
    <xf numFmtId="164" fontId="76" fillId="0" borderId="0" applyNumberFormat="0" applyFill="0" applyBorder="0" applyAlignment="0" applyProtection="0"/>
    <xf numFmtId="164" fontId="84" fillId="0" borderId="0" applyNumberFormat="0" applyFill="0" applyBorder="0" applyAlignment="0" applyProtection="0"/>
    <xf numFmtId="164" fontId="99" fillId="0" borderId="25" applyNumberFormat="0" applyFill="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51" borderId="0" applyNumberFormat="0" applyBorder="0" applyAlignment="0" applyProtection="0"/>
    <xf numFmtId="164" fontId="72" fillId="50" borderId="0" applyNumberFormat="0" applyBorder="0" applyAlignment="0" applyProtection="0"/>
    <xf numFmtId="164" fontId="20" fillId="65" borderId="27" applyNumberFormat="0" applyFont="0" applyAlignment="0" applyProtection="0"/>
    <xf numFmtId="164" fontId="72" fillId="49" borderId="0" applyNumberFormat="0" applyBorder="0" applyAlignment="0" applyProtection="0"/>
    <xf numFmtId="164" fontId="74" fillId="53" borderId="11" applyNumberFormat="0" applyAlignment="0" applyProtection="0"/>
    <xf numFmtId="164" fontId="80" fillId="0" borderId="18" applyNumberFormat="0" applyFill="0" applyAlignment="0" applyProtection="0"/>
    <xf numFmtId="164" fontId="126" fillId="3" borderId="0" applyNumberFormat="0" applyBorder="0" applyAlignment="0" applyProtection="0">
      <alignment vertical="center"/>
    </xf>
    <xf numFmtId="164" fontId="74" fillId="53" borderId="11" applyNumberFormat="0" applyAlignment="0" applyProtection="0"/>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7" fillId="3"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99" fillId="0" borderId="25" applyNumberFormat="0" applyFill="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7" fillId="3"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99" fillId="0" borderId="25" applyNumberFormat="0" applyFill="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99" fillId="0" borderId="25" applyNumberFormat="0" applyFill="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99" fillId="0" borderId="25" applyNumberFormat="0" applyFill="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5" fillId="54" borderId="12" applyNumberFormat="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4" fillId="53" borderId="11" applyNumberFormat="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9" fillId="39" borderId="11" applyNumberFormat="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126" fillId="3" borderId="0" applyNumberFormat="0" applyBorder="0" applyAlignment="0" applyProtection="0">
      <alignment vertical="center"/>
    </xf>
    <xf numFmtId="164" fontId="80" fillId="0" borderId="18" applyNumberFormat="0" applyFill="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3" fillId="36"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72" fillId="52"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20" fillId="65" borderId="27" applyNumberFormat="0" applyFont="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126" fillId="3" borderId="0" applyNumberFormat="0" applyBorder="0" applyAlignment="0" applyProtection="0">
      <alignment vertical="center"/>
    </xf>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81" fillId="61"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103" fillId="65" borderId="27" applyNumberFormat="0" applyFont="0" applyAlignment="0" applyProtection="0"/>
    <xf numFmtId="164" fontId="82" fillId="53" borderId="20" applyNumberFormat="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20" fillId="65" borderId="27" applyNumberFormat="0" applyFont="0" applyAlignment="0" applyProtection="0"/>
    <xf numFmtId="164" fontId="126" fillId="3" borderId="0" applyNumberFormat="0" applyBorder="0" applyAlignment="0" applyProtection="0">
      <alignment vertical="center"/>
    </xf>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37" borderId="0" applyNumberFormat="0" applyBorder="0" applyAlignment="0" applyProtection="0"/>
    <xf numFmtId="164" fontId="71" fillId="42" borderId="0" applyNumberFormat="0" applyBorder="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20" fillId="65" borderId="27" applyNumberFormat="0" applyFont="0" applyAlignment="0" applyProtection="0"/>
    <xf numFmtId="164" fontId="126" fillId="3" borderId="0" applyNumberFormat="0" applyBorder="0" applyAlignment="0" applyProtection="0">
      <alignment vertical="center"/>
    </xf>
    <xf numFmtId="164" fontId="102" fillId="0" borderId="0" applyNumberFormat="0" applyFill="0" applyBorder="0" applyAlignment="0" applyProtection="0"/>
    <xf numFmtId="164" fontId="101" fillId="0" borderId="28" applyNumberFormat="0" applyFill="0" applyAlignment="0" applyProtection="0"/>
    <xf numFmtId="164" fontId="84" fillId="0" borderId="0" applyNumberFormat="0" applyFill="0" applyBorder="0" applyAlignment="0" applyProtection="0"/>
    <xf numFmtId="164" fontId="20" fillId="65" borderId="27" applyNumberFormat="0" applyFont="0" applyAlignment="0" applyProtection="0"/>
    <xf numFmtId="164" fontId="126" fillId="3" borderId="0" applyNumberFormat="0" applyBorder="0" applyAlignment="0" applyProtection="0">
      <alignment vertical="center"/>
    </xf>
    <xf numFmtId="164" fontId="82" fillId="53" borderId="20" applyNumberFormat="0" applyAlignment="0" applyProtection="0"/>
    <xf numFmtId="164" fontId="103" fillId="65" borderId="27" applyNumberFormat="0" applyFont="0" applyAlignment="0" applyProtection="0"/>
    <xf numFmtId="164" fontId="71" fillId="35" borderId="0" applyNumberFormat="0" applyBorder="0" applyAlignment="0" applyProtection="0"/>
    <xf numFmtId="164" fontId="71" fillId="36" borderId="0" applyNumberFormat="0" applyBorder="0" applyAlignment="0" applyProtection="0"/>
    <xf numFmtId="164" fontId="71" fillId="3" borderId="0" applyNumberFormat="0" applyBorder="0" applyAlignment="0" applyProtection="0"/>
    <xf numFmtId="164" fontId="71" fillId="37" borderId="0" applyNumberFormat="0" applyBorder="0" applyAlignment="0" applyProtection="0"/>
    <xf numFmtId="164" fontId="71" fillId="38" borderId="0" applyNumberFormat="0" applyBorder="0" applyAlignment="0" applyProtection="0"/>
    <xf numFmtId="164" fontId="71" fillId="39" borderId="0" applyNumberFormat="0" applyBorder="0" applyAlignment="0" applyProtection="0"/>
    <xf numFmtId="164" fontId="81" fillId="61" borderId="0" applyNumberFormat="0" applyBorder="0" applyAlignment="0" applyProtection="0"/>
    <xf numFmtId="164" fontId="71" fillId="40" borderId="0" applyNumberFormat="0" applyBorder="0" applyAlignment="0" applyProtection="0"/>
    <xf numFmtId="164" fontId="71" fillId="41" borderId="0" applyNumberFormat="0" applyBorder="0" applyAlignment="0" applyProtection="0"/>
    <xf numFmtId="164" fontId="71" fillId="42" borderId="0" applyNumberFormat="0" applyBorder="0" applyAlignment="0" applyProtection="0"/>
    <xf numFmtId="164" fontId="71" fillId="37" borderId="0" applyNumberFormat="0" applyBorder="0" applyAlignment="0" applyProtection="0"/>
    <xf numFmtId="164" fontId="71" fillId="40" borderId="0" applyNumberFormat="0" applyBorder="0" applyAlignment="0" applyProtection="0"/>
    <xf numFmtId="164" fontId="71" fillId="43" borderId="0" applyNumberFormat="0" applyBorder="0" applyAlignment="0" applyProtection="0"/>
    <xf numFmtId="164" fontId="72" fillId="44" borderId="0" applyNumberFormat="0" applyBorder="0" applyAlignment="0" applyProtection="0"/>
    <xf numFmtId="164" fontId="72" fillId="41" borderId="0" applyNumberFormat="0" applyBorder="0" applyAlignment="0" applyProtection="0"/>
    <xf numFmtId="164" fontId="72" fillId="42"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47" borderId="0" applyNumberFormat="0" applyBorder="0" applyAlignment="0" applyProtection="0"/>
    <xf numFmtId="164" fontId="80" fillId="0" borderId="18" applyNumberFormat="0" applyFill="0" applyAlignment="0" applyProtection="0"/>
    <xf numFmtId="164" fontId="72" fillId="49" borderId="0" applyNumberFormat="0" applyBorder="0" applyAlignment="0" applyProtection="0"/>
    <xf numFmtId="164" fontId="72" fillId="50" borderId="0" applyNumberFormat="0" applyBorder="0" applyAlignment="0" applyProtection="0"/>
    <xf numFmtId="164" fontId="72" fillId="51" borderId="0" applyNumberFormat="0" applyBorder="0" applyAlignment="0" applyProtection="0"/>
    <xf numFmtId="164" fontId="72" fillId="45" borderId="0" applyNumberFormat="0" applyBorder="0" applyAlignment="0" applyProtection="0"/>
    <xf numFmtId="164" fontId="72" fillId="46" borderId="0" applyNumberFormat="0" applyBorder="0" applyAlignment="0" applyProtection="0"/>
    <xf numFmtId="164" fontId="72" fillId="52" borderId="0" applyNumberFormat="0" applyBorder="0" applyAlignment="0" applyProtection="0"/>
    <xf numFmtId="164" fontId="73" fillId="36" borderId="0" applyNumberFormat="0" applyBorder="0" applyAlignment="0" applyProtection="0"/>
    <xf numFmtId="164" fontId="79" fillId="39" borderId="11" applyNumberFormat="0" applyAlignment="0" applyProtection="0"/>
    <xf numFmtId="164" fontId="74" fillId="53" borderId="11" applyNumberFormat="0" applyAlignment="0" applyProtection="0"/>
    <xf numFmtId="164" fontId="75" fillId="54" borderId="12" applyNumberFormat="0" applyAlignment="0" applyProtection="0"/>
    <xf numFmtId="164" fontId="78" fillId="0" borderId="0" applyNumberFormat="0" applyFill="0" applyBorder="0" applyAlignment="0" applyProtection="0"/>
    <xf numFmtId="164" fontId="78" fillId="0" borderId="15" applyNumberFormat="0" applyFill="0" applyAlignment="0" applyProtection="0"/>
    <xf numFmtId="164" fontId="100" fillId="0" borderId="26" applyNumberFormat="0" applyFill="0" applyAlignment="0" applyProtection="0"/>
    <xf numFmtId="164" fontId="99" fillId="0" borderId="25" applyNumberFormat="0" applyFill="0" applyAlignment="0" applyProtection="0"/>
    <xf numFmtId="164" fontId="77" fillId="3" borderId="0" applyNumberFormat="0" applyBorder="0" applyAlignment="0" applyProtection="0"/>
    <xf numFmtId="164" fontId="76" fillId="0" borderId="0" applyNumberFormat="0" applyFill="0" applyBorder="0" applyAlignment="0" applyProtection="0"/>
    <xf numFmtId="164" fontId="76" fillId="0" borderId="0" applyNumberFormat="0" applyFill="0" applyBorder="0" applyAlignment="0" applyProtection="0"/>
    <xf numFmtId="164" fontId="77" fillId="3" borderId="0" applyNumberFormat="0" applyBorder="0" applyAlignment="0" applyProtection="0"/>
    <xf numFmtId="164" fontId="99" fillId="0" borderId="25" applyNumberFormat="0" applyFill="0" applyAlignment="0" applyProtection="0"/>
    <xf numFmtId="164" fontId="100" fillId="0" borderId="26" applyNumberFormat="0" applyFill="0" applyAlignment="0" applyProtection="0"/>
    <xf numFmtId="164" fontId="78" fillId="0" borderId="15" applyNumberFormat="0" applyFill="0" applyAlignment="0" applyProtection="0"/>
    <xf numFmtId="164" fontId="78" fillId="0" borderId="0" applyNumberFormat="0" applyFill="0" applyBorder="0" applyAlignment="0" applyProtection="0"/>
    <xf numFmtId="164" fontId="79" fillId="39" borderId="11" applyNumberFormat="0" applyAlignment="0" applyProtection="0"/>
    <xf numFmtId="164" fontId="75" fillId="54" borderId="12" applyNumberFormat="0" applyAlignment="0" applyProtection="0"/>
    <xf numFmtId="164" fontId="74" fillId="53" borderId="11" applyNumberFormat="0" applyAlignment="0" applyProtection="0"/>
    <xf numFmtId="164" fontId="80" fillId="0" borderId="18" applyNumberFormat="0" applyFill="0" applyAlignment="0" applyProtection="0"/>
    <xf numFmtId="164" fontId="81" fillId="61" borderId="0" applyNumberFormat="0" applyBorder="0" applyAlignment="0" applyProtection="0"/>
    <xf numFmtId="164" fontId="73" fillId="36" borderId="0" applyNumberFormat="0" applyBorder="0" applyAlignment="0" applyProtection="0"/>
    <xf numFmtId="164" fontId="72" fillId="52" borderId="0" applyNumberFormat="0" applyBorder="0" applyAlignment="0" applyProtection="0"/>
    <xf numFmtId="164" fontId="103" fillId="65" borderId="27" applyNumberFormat="0" applyFont="0" applyAlignment="0" applyProtection="0"/>
    <xf numFmtId="164" fontId="82" fillId="53" borderId="20" applyNumberFormat="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51" borderId="0" applyNumberFormat="0" applyBorder="0" applyAlignment="0" applyProtection="0"/>
    <xf numFmtId="164" fontId="72" fillId="50" borderId="0" applyNumberFormat="0" applyBorder="0" applyAlignment="0" applyProtection="0"/>
    <xf numFmtId="164" fontId="72" fillId="49" borderId="0" applyNumberFormat="0" applyBorder="0" applyAlignment="0" applyProtection="0"/>
    <xf numFmtId="164" fontId="72" fillId="47" borderId="0" applyNumberFormat="0" applyBorder="0" applyAlignment="0" applyProtection="0"/>
    <xf numFmtId="164" fontId="72" fillId="46" borderId="0" applyNumberFormat="0" applyBorder="0" applyAlignment="0" applyProtection="0"/>
    <xf numFmtId="164" fontId="72" fillId="45" borderId="0" applyNumberFormat="0" applyBorder="0" applyAlignment="0" applyProtection="0"/>
    <xf numFmtId="164" fontId="72" fillId="42" borderId="0" applyNumberFormat="0" applyBorder="0" applyAlignment="0" applyProtection="0"/>
    <xf numFmtId="164" fontId="72" fillId="41" borderId="0" applyNumberFormat="0" applyBorder="0" applyAlignment="0" applyProtection="0"/>
    <xf numFmtId="164" fontId="72" fillId="44" borderId="0" applyNumberFormat="0" applyBorder="0" applyAlignment="0" applyProtection="0"/>
    <xf numFmtId="164" fontId="71" fillId="43" borderId="0" applyNumberFormat="0" applyBorder="0" applyAlignment="0" applyProtection="0"/>
    <xf numFmtId="164" fontId="71" fillId="40" borderId="0" applyNumberFormat="0" applyBorder="0" applyAlignment="0" applyProtection="0"/>
    <xf numFmtId="164" fontId="71" fillId="37" borderId="0" applyNumberFormat="0" applyBorder="0" applyAlignment="0" applyProtection="0"/>
    <xf numFmtId="164" fontId="71" fillId="42" borderId="0" applyNumberFormat="0" applyBorder="0" applyAlignment="0" applyProtection="0"/>
    <xf numFmtId="164" fontId="102" fillId="0" borderId="0" applyNumberFormat="0" applyFill="0" applyBorder="0" applyAlignment="0" applyProtection="0"/>
    <xf numFmtId="164" fontId="101" fillId="0" borderId="28" applyNumberFormat="0" applyFill="0" applyAlignment="0" applyProtection="0"/>
    <xf numFmtId="164" fontId="71" fillId="41" borderId="0" applyNumberFormat="0" applyBorder="0" applyAlignment="0" applyProtection="0"/>
    <xf numFmtId="164" fontId="71" fillId="40" borderId="0" applyNumberFormat="0" applyBorder="0" applyAlignment="0" applyProtection="0"/>
    <xf numFmtId="164" fontId="84" fillId="0" borderId="0" applyNumberFormat="0" applyFill="0" applyBorder="0" applyAlignment="0" applyProtection="0"/>
    <xf numFmtId="164" fontId="71" fillId="39" borderId="0" applyNumberFormat="0" applyBorder="0" applyAlignment="0" applyProtection="0"/>
    <xf numFmtId="164" fontId="71" fillId="38" borderId="0" applyNumberFormat="0" applyBorder="0" applyAlignment="0" applyProtection="0"/>
    <xf numFmtId="164" fontId="71" fillId="37" borderId="0" applyNumberFormat="0" applyBorder="0" applyAlignment="0" applyProtection="0"/>
    <xf numFmtId="164" fontId="71" fillId="3" borderId="0" applyNumberFormat="0" applyBorder="0" applyAlignment="0" applyProtection="0"/>
    <xf numFmtId="164" fontId="71" fillId="36" borderId="0" applyNumberFormat="0" applyBorder="0" applyAlignment="0" applyProtection="0"/>
    <xf numFmtId="164" fontId="71" fillId="35" borderId="0" applyNumberFormat="0" applyBorder="0" applyAlignment="0" applyProtection="0"/>
    <xf numFmtId="164" fontId="20" fillId="65" borderId="27" applyNumberFormat="0" applyFont="0" applyAlignment="0" applyProtection="0"/>
    <xf numFmtId="164" fontId="126" fillId="3" borderId="0" applyNumberFormat="0" applyBorder="0" applyAlignment="0" applyProtection="0">
      <alignment vertical="center"/>
    </xf>
    <xf numFmtId="164" fontId="102" fillId="0" borderId="0" applyNumberFormat="0" applyFill="0" applyBorder="0" applyAlignment="0" applyProtection="0"/>
    <xf numFmtId="164" fontId="101" fillId="0" borderId="28" applyNumberFormat="0" applyFill="0" applyAlignment="0" applyProtection="0"/>
    <xf numFmtId="164" fontId="84" fillId="0" borderId="0" applyNumberFormat="0" applyFill="0" applyBorder="0" applyAlignment="0" applyProtection="0"/>
    <xf numFmtId="164" fontId="20" fillId="65" borderId="27" applyNumberFormat="0" applyFont="0" applyAlignment="0" applyProtection="0"/>
    <xf numFmtId="164" fontId="126" fillId="3"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44" fillId="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39" fillId="0" borderId="0">
      <alignment vertical="center"/>
    </xf>
    <xf numFmtId="164" fontId="140" fillId="0" borderId="0" applyNumberFormat="0" applyFill="0" applyBorder="0" applyAlignment="0" applyProtection="0">
      <alignment vertical="center"/>
    </xf>
    <xf numFmtId="164" fontId="141" fillId="0" borderId="2" applyNumberFormat="0" applyFill="0" applyAlignment="0" applyProtection="0">
      <alignment vertical="center"/>
    </xf>
    <xf numFmtId="164" fontId="142" fillId="0" borderId="3" applyNumberFormat="0" applyFill="0" applyAlignment="0" applyProtection="0">
      <alignment vertical="center"/>
    </xf>
    <xf numFmtId="164" fontId="143" fillId="0" borderId="4" applyNumberFormat="0" applyFill="0" applyAlignment="0" applyProtection="0">
      <alignment vertical="center"/>
    </xf>
    <xf numFmtId="164" fontId="143" fillId="0" borderId="0" applyNumberFormat="0" applyFill="0" applyBorder="0" applyAlignment="0" applyProtection="0">
      <alignment vertical="center"/>
    </xf>
    <xf numFmtId="164" fontId="144" fillId="4" borderId="0" applyNumberFormat="0" applyBorder="0" applyAlignment="0" applyProtection="0">
      <alignment vertical="center"/>
    </xf>
    <xf numFmtId="164" fontId="145" fillId="5" borderId="0" applyNumberFormat="0" applyBorder="0" applyAlignment="0" applyProtection="0">
      <alignment vertical="center"/>
    </xf>
    <xf numFmtId="164" fontId="146" fillId="6" borderId="0" applyNumberFormat="0" applyBorder="0" applyAlignment="0" applyProtection="0">
      <alignment vertical="center"/>
    </xf>
    <xf numFmtId="164" fontId="147" fillId="7" borderId="5" applyNumberFormat="0" applyAlignment="0" applyProtection="0">
      <alignment vertical="center"/>
    </xf>
    <xf numFmtId="164" fontId="148" fillId="8" borderId="6" applyNumberFormat="0" applyAlignment="0" applyProtection="0">
      <alignment vertical="center"/>
    </xf>
    <xf numFmtId="164" fontId="149" fillId="8" borderId="5" applyNumberFormat="0" applyAlignment="0" applyProtection="0">
      <alignment vertical="center"/>
    </xf>
    <xf numFmtId="164" fontId="150" fillId="0" borderId="7" applyNumberFormat="0" applyFill="0" applyAlignment="0" applyProtection="0">
      <alignment vertical="center"/>
    </xf>
    <xf numFmtId="164" fontId="151" fillId="9" borderId="8" applyNumberFormat="0" applyAlignment="0" applyProtection="0">
      <alignment vertical="center"/>
    </xf>
    <xf numFmtId="164" fontId="152" fillId="0" borderId="0" applyNumberFormat="0" applyFill="0" applyBorder="0" applyAlignment="0" applyProtection="0">
      <alignment vertical="center"/>
    </xf>
    <xf numFmtId="164" fontId="139" fillId="10" borderId="9" applyNumberFormat="0" applyFont="0" applyAlignment="0" applyProtection="0">
      <alignment vertical="center"/>
    </xf>
    <xf numFmtId="164" fontId="153" fillId="0" borderId="0" applyNumberFormat="0" applyFill="0" applyBorder="0" applyAlignment="0" applyProtection="0">
      <alignment vertical="center"/>
    </xf>
    <xf numFmtId="164" fontId="154" fillId="0" borderId="10" applyNumberFormat="0" applyFill="0" applyAlignment="0" applyProtection="0">
      <alignment vertical="center"/>
    </xf>
    <xf numFmtId="164" fontId="155" fillId="11" borderId="0" applyNumberFormat="0" applyBorder="0" applyAlignment="0" applyProtection="0">
      <alignment vertical="center"/>
    </xf>
    <xf numFmtId="164" fontId="139" fillId="12" borderId="0" applyNumberFormat="0" applyBorder="0" applyAlignment="0" applyProtection="0">
      <alignment vertical="center"/>
    </xf>
    <xf numFmtId="164" fontId="139" fillId="13" borderId="0" applyNumberFormat="0" applyBorder="0" applyAlignment="0" applyProtection="0">
      <alignment vertical="center"/>
    </xf>
    <xf numFmtId="164" fontId="155" fillId="14" borderId="0" applyNumberFormat="0" applyBorder="0" applyAlignment="0" applyProtection="0">
      <alignment vertical="center"/>
    </xf>
    <xf numFmtId="164" fontId="155" fillId="15" borderId="0" applyNumberFormat="0" applyBorder="0" applyAlignment="0" applyProtection="0">
      <alignment vertical="center"/>
    </xf>
    <xf numFmtId="164" fontId="139" fillId="16" borderId="0" applyNumberFormat="0" applyBorder="0" applyAlignment="0" applyProtection="0">
      <alignment vertical="center"/>
    </xf>
    <xf numFmtId="164" fontId="139" fillId="17" borderId="0" applyNumberFormat="0" applyBorder="0" applyAlignment="0" applyProtection="0">
      <alignment vertical="center"/>
    </xf>
    <xf numFmtId="164" fontId="155" fillId="18" borderId="0" applyNumberFormat="0" applyBorder="0" applyAlignment="0" applyProtection="0">
      <alignment vertical="center"/>
    </xf>
    <xf numFmtId="164" fontId="155" fillId="19" borderId="0" applyNumberFormat="0" applyBorder="0" applyAlignment="0" applyProtection="0">
      <alignment vertical="center"/>
    </xf>
    <xf numFmtId="164" fontId="139" fillId="20" borderId="0" applyNumberFormat="0" applyBorder="0" applyAlignment="0" applyProtection="0">
      <alignment vertical="center"/>
    </xf>
    <xf numFmtId="164" fontId="139" fillId="21" borderId="0" applyNumberFormat="0" applyBorder="0" applyAlignment="0" applyProtection="0">
      <alignment vertical="center"/>
    </xf>
    <xf numFmtId="164" fontId="155" fillId="22" borderId="0" applyNumberFormat="0" applyBorder="0" applyAlignment="0" applyProtection="0">
      <alignment vertical="center"/>
    </xf>
    <xf numFmtId="164" fontId="155" fillId="23" borderId="0" applyNumberFormat="0" applyBorder="0" applyAlignment="0" applyProtection="0">
      <alignment vertical="center"/>
    </xf>
    <xf numFmtId="164" fontId="139" fillId="24" borderId="0" applyNumberFormat="0" applyBorder="0" applyAlignment="0" applyProtection="0">
      <alignment vertical="center"/>
    </xf>
    <xf numFmtId="164" fontId="139" fillId="25" borderId="0" applyNumberFormat="0" applyBorder="0" applyAlignment="0" applyProtection="0">
      <alignment vertical="center"/>
    </xf>
    <xf numFmtId="164" fontId="155" fillId="26" borderId="0" applyNumberFormat="0" applyBorder="0" applyAlignment="0" applyProtection="0">
      <alignment vertical="center"/>
    </xf>
    <xf numFmtId="164" fontId="155" fillId="27" borderId="0" applyNumberFormat="0" applyBorder="0" applyAlignment="0" applyProtection="0">
      <alignment vertical="center"/>
    </xf>
    <xf numFmtId="164" fontId="139" fillId="28" borderId="0" applyNumberFormat="0" applyBorder="0" applyAlignment="0" applyProtection="0">
      <alignment vertical="center"/>
    </xf>
    <xf numFmtId="164" fontId="139" fillId="29" borderId="0" applyNumberFormat="0" applyBorder="0" applyAlignment="0" applyProtection="0">
      <alignment vertical="center"/>
    </xf>
    <xf numFmtId="164" fontId="155" fillId="30" borderId="0" applyNumberFormat="0" applyBorder="0" applyAlignment="0" applyProtection="0">
      <alignment vertical="center"/>
    </xf>
    <xf numFmtId="164" fontId="155" fillId="31" borderId="0" applyNumberFormat="0" applyBorder="0" applyAlignment="0" applyProtection="0">
      <alignment vertical="center"/>
    </xf>
    <xf numFmtId="164" fontId="139" fillId="32" borderId="0" applyNumberFormat="0" applyBorder="0" applyAlignment="0" applyProtection="0">
      <alignment vertical="center"/>
    </xf>
    <xf numFmtId="164" fontId="139" fillId="33" borderId="0" applyNumberFormat="0" applyBorder="0" applyAlignment="0" applyProtection="0">
      <alignment vertical="center"/>
    </xf>
    <xf numFmtId="164" fontId="155" fillId="34" borderId="0" applyNumberFormat="0" applyBorder="0" applyAlignment="0" applyProtection="0">
      <alignment vertical="center"/>
    </xf>
    <xf numFmtId="164" fontId="104" fillId="0" borderId="0">
      <alignment vertical="center"/>
    </xf>
    <xf numFmtId="164" fontId="104" fillId="10" borderId="9" applyNumberFormat="0" applyFont="0" applyAlignment="0" applyProtection="0">
      <alignment vertical="center"/>
    </xf>
    <xf numFmtId="164" fontId="104" fillId="12" borderId="0" applyNumberFormat="0" applyBorder="0" applyAlignment="0" applyProtection="0">
      <alignment vertical="center"/>
    </xf>
    <xf numFmtId="164" fontId="104" fillId="13" borderId="0" applyNumberFormat="0" applyBorder="0" applyAlignment="0" applyProtection="0">
      <alignment vertical="center"/>
    </xf>
    <xf numFmtId="164" fontId="104" fillId="16" borderId="0" applyNumberFormat="0" applyBorder="0" applyAlignment="0" applyProtection="0">
      <alignment vertical="center"/>
    </xf>
    <xf numFmtId="164" fontId="104" fillId="17" borderId="0" applyNumberFormat="0" applyBorder="0" applyAlignment="0" applyProtection="0">
      <alignment vertical="center"/>
    </xf>
    <xf numFmtId="164" fontId="104" fillId="20" borderId="0" applyNumberFormat="0" applyBorder="0" applyAlignment="0" applyProtection="0">
      <alignment vertical="center"/>
    </xf>
    <xf numFmtId="164" fontId="104" fillId="21" borderId="0" applyNumberFormat="0" applyBorder="0" applyAlignment="0" applyProtection="0">
      <alignment vertical="center"/>
    </xf>
    <xf numFmtId="164" fontId="104" fillId="24" borderId="0" applyNumberFormat="0" applyBorder="0" applyAlignment="0" applyProtection="0">
      <alignment vertical="center"/>
    </xf>
    <xf numFmtId="164" fontId="104" fillId="25" borderId="0" applyNumberFormat="0" applyBorder="0" applyAlignment="0" applyProtection="0">
      <alignment vertical="center"/>
    </xf>
    <xf numFmtId="164" fontId="104" fillId="28" borderId="0" applyNumberFormat="0" applyBorder="0" applyAlignment="0" applyProtection="0">
      <alignment vertical="center"/>
    </xf>
    <xf numFmtId="164" fontId="104" fillId="29" borderId="0" applyNumberFormat="0" applyBorder="0" applyAlignment="0" applyProtection="0">
      <alignment vertical="center"/>
    </xf>
    <xf numFmtId="164" fontId="104" fillId="32" borderId="0" applyNumberFormat="0" applyBorder="0" applyAlignment="0" applyProtection="0">
      <alignment vertical="center"/>
    </xf>
    <xf numFmtId="164" fontId="104" fillId="33" borderId="0" applyNumberFormat="0" applyBorder="0" applyAlignment="0" applyProtection="0">
      <alignment vertical="center"/>
    </xf>
    <xf numFmtId="164" fontId="83" fillId="0" borderId="0" applyNumberFormat="0" applyFill="0" applyBorder="0" applyAlignment="0" applyProtection="0"/>
    <xf numFmtId="0" fontId="2" fillId="0" borderId="0"/>
    <xf numFmtId="0" fontId="2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164" fontId="20" fillId="0" borderId="0">
      <alignment vertical="center"/>
    </xf>
    <xf numFmtId="0" fontId="103" fillId="0" borderId="0"/>
    <xf numFmtId="0" fontId="2" fillId="0" borderId="0"/>
    <xf numFmtId="0" fontId="207"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223" fontId="85" fillId="0" borderId="0">
      <alignment vertical="center"/>
    </xf>
    <xf numFmtId="223" fontId="22" fillId="0" borderId="0">
      <alignment vertical="top"/>
    </xf>
    <xf numFmtId="0" fontId="211" fillId="0" borderId="0"/>
    <xf numFmtId="0" fontId="209" fillId="0" borderId="0"/>
    <xf numFmtId="0" fontId="49" fillId="0" borderId="0" applyNumberFormat="0" applyFill="0" applyBorder="0" applyAlignment="0" applyProtection="0"/>
    <xf numFmtId="0" fontId="20" fillId="0" borderId="0"/>
    <xf numFmtId="0" fontId="103" fillId="0" borderId="0"/>
    <xf numFmtId="0" fontId="20" fillId="0" borderId="0"/>
    <xf numFmtId="0" fontId="20" fillId="0" borderId="0"/>
    <xf numFmtId="0" fontId="20" fillId="0" borderId="0"/>
    <xf numFmtId="165" fontId="20" fillId="0" borderId="0"/>
    <xf numFmtId="0" fontId="210"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3" fontId="20" fillId="0" borderId="0"/>
    <xf numFmtId="0" fontId="210" fillId="0" borderId="0"/>
  </cellStyleXfs>
  <cellXfs count="163">
    <xf numFmtId="0" fontId="0" fillId="0" borderId="0" xfId="0"/>
    <xf numFmtId="0" fontId="208" fillId="0" borderId="0" xfId="0" applyFont="1" applyBorder="1"/>
    <xf numFmtId="0" fontId="1" fillId="3" borderId="0" xfId="1" applyAlignment="1"/>
    <xf numFmtId="210" fontId="20" fillId="0" borderId="0" xfId="3635">
      <alignment vertical="center"/>
    </xf>
    <xf numFmtId="210" fontId="20" fillId="0" borderId="0" xfId="3641">
      <alignment vertical="center"/>
    </xf>
    <xf numFmtId="0" fontId="49" fillId="0" borderId="0" xfId="3775" applyNumberFormat="1" applyAlignment="1" applyProtection="1"/>
    <xf numFmtId="210" fontId="19" fillId="0" borderId="0" xfId="54">
      <alignment vertical="center"/>
    </xf>
    <xf numFmtId="0" fontId="22" fillId="0" borderId="0" xfId="43343">
      <alignment vertical="top"/>
    </xf>
    <xf numFmtId="0" fontId="22" fillId="0" borderId="0" xfId="43344">
      <alignment vertical="top"/>
    </xf>
    <xf numFmtId="0" fontId="22" fillId="0" borderId="0" xfId="43346">
      <alignment vertical="top"/>
    </xf>
    <xf numFmtId="0" fontId="22" fillId="0" borderId="0" xfId="43347">
      <alignment vertical="top"/>
    </xf>
    <xf numFmtId="0" fontId="22" fillId="0" borderId="0" xfId="43345">
      <alignment vertical="top"/>
    </xf>
    <xf numFmtId="0" fontId="22" fillId="0" borderId="0" xfId="43348">
      <alignment vertical="top"/>
    </xf>
    <xf numFmtId="0" fontId="22" fillId="0" borderId="0" xfId="43337">
      <alignment vertical="top"/>
    </xf>
    <xf numFmtId="0" fontId="22" fillId="0" borderId="0" xfId="43338">
      <alignment vertical="top"/>
    </xf>
    <xf numFmtId="0" fontId="22" fillId="0" borderId="0" xfId="43339">
      <alignment vertical="top"/>
    </xf>
    <xf numFmtId="0" fontId="22" fillId="0" borderId="0" xfId="43340">
      <alignment vertical="top"/>
    </xf>
    <xf numFmtId="0" fontId="22" fillId="0" borderId="0" xfId="43341">
      <alignment vertical="top"/>
    </xf>
    <xf numFmtId="0" fontId="22" fillId="0" borderId="0" xfId="43342">
      <alignment vertical="top"/>
    </xf>
    <xf numFmtId="0" fontId="20" fillId="0" borderId="0" xfId="4088"/>
    <xf numFmtId="223" fontId="85" fillId="0" borderId="0" xfId="43351">
      <alignment vertical="center"/>
    </xf>
    <xf numFmtId="223" fontId="22" fillId="0" borderId="0" xfId="43352">
      <alignment vertical="top"/>
    </xf>
    <xf numFmtId="210" fontId="85" fillId="0" borderId="0" xfId="3827">
      <alignment vertical="center"/>
    </xf>
    <xf numFmtId="0" fontId="210" fillId="0" borderId="0" xfId="43362"/>
    <xf numFmtId="0" fontId="20" fillId="0" borderId="0" xfId="43356"/>
    <xf numFmtId="0" fontId="210" fillId="0" borderId="0" xfId="43394"/>
    <xf numFmtId="0" fontId="212" fillId="0" borderId="32" xfId="0" applyFont="1" applyBorder="1"/>
    <xf numFmtId="0" fontId="212" fillId="2" borderId="32" xfId="0" applyFont="1" applyFill="1" applyBorder="1"/>
    <xf numFmtId="0" fontId="212" fillId="0" borderId="36" xfId="0" applyFont="1" applyBorder="1"/>
    <xf numFmtId="0" fontId="212" fillId="0" borderId="37" xfId="0" applyFont="1" applyBorder="1"/>
    <xf numFmtId="0" fontId="212" fillId="72" borderId="0" xfId="0" applyFont="1" applyFill="1" applyBorder="1"/>
    <xf numFmtId="0" fontId="215" fillId="72" borderId="0" xfId="0" applyFont="1" applyFill="1" applyBorder="1"/>
    <xf numFmtId="224" fontId="214" fillId="72" borderId="0" xfId="0" applyNumberFormat="1" applyFont="1" applyFill="1" applyBorder="1"/>
    <xf numFmtId="224" fontId="215" fillId="72" borderId="0" xfId="0" applyNumberFormat="1" applyFont="1" applyFill="1" applyBorder="1"/>
    <xf numFmtId="224" fontId="215" fillId="2" borderId="0" xfId="0" applyNumberFormat="1" applyFont="1" applyFill="1" applyBorder="1"/>
    <xf numFmtId="0" fontId="212" fillId="0" borderId="0" xfId="0" applyFont="1" applyBorder="1"/>
    <xf numFmtId="224" fontId="215" fillId="2" borderId="33" xfId="0" applyNumberFormat="1" applyFont="1" applyFill="1" applyBorder="1"/>
    <xf numFmtId="224" fontId="215" fillId="2" borderId="39" xfId="0" applyNumberFormat="1" applyFont="1" applyFill="1" applyBorder="1"/>
    <xf numFmtId="224" fontId="215" fillId="71" borderId="33" xfId="0" applyNumberFormat="1" applyFont="1" applyFill="1" applyBorder="1"/>
    <xf numFmtId="0" fontId="212" fillId="0" borderId="35" xfId="0" applyFont="1" applyBorder="1"/>
    <xf numFmtId="0" fontId="212" fillId="2" borderId="35" xfId="0" applyFont="1" applyFill="1" applyBorder="1"/>
    <xf numFmtId="0" fontId="212" fillId="0" borderId="40" xfId="0" applyFont="1" applyBorder="1"/>
    <xf numFmtId="0" fontId="212" fillId="0" borderId="41" xfId="0" applyFont="1" applyBorder="1"/>
    <xf numFmtId="0" fontId="0" fillId="69" borderId="0" xfId="0" applyFill="1"/>
    <xf numFmtId="1" fontId="212" fillId="0" borderId="32" xfId="0" applyNumberFormat="1" applyFont="1" applyBorder="1" applyAlignment="1">
      <alignment horizontal="left"/>
    </xf>
    <xf numFmtId="0" fontId="215" fillId="0" borderId="32" xfId="0" applyFont="1" applyBorder="1"/>
    <xf numFmtId="1" fontId="213" fillId="69" borderId="32" xfId="0" applyNumberFormat="1" applyFont="1" applyFill="1" applyBorder="1" applyAlignment="1">
      <alignment horizontal="left"/>
    </xf>
    <xf numFmtId="0" fontId="213" fillId="69" borderId="32" xfId="0" applyFont="1" applyFill="1" applyBorder="1"/>
    <xf numFmtId="1" fontId="213" fillId="2" borderId="32" xfId="0" applyNumberFormat="1" applyFont="1" applyFill="1" applyBorder="1" applyAlignment="1">
      <alignment horizontal="left"/>
    </xf>
    <xf numFmtId="0" fontId="213" fillId="2" borderId="32" xfId="0" applyFont="1" applyFill="1" applyBorder="1"/>
    <xf numFmtId="1" fontId="213" fillId="68" borderId="32" xfId="0" applyNumberFormat="1" applyFont="1" applyFill="1" applyBorder="1" applyAlignment="1">
      <alignment horizontal="left"/>
    </xf>
    <xf numFmtId="1" fontId="212" fillId="2" borderId="32" xfId="0" applyNumberFormat="1" applyFont="1" applyFill="1" applyBorder="1" applyAlignment="1">
      <alignment horizontal="left"/>
    </xf>
    <xf numFmtId="0" fontId="215" fillId="2" borderId="32" xfId="0" applyFont="1" applyFill="1" applyBorder="1"/>
    <xf numFmtId="1" fontId="212" fillId="0" borderId="36" xfId="0" applyNumberFormat="1" applyFont="1" applyBorder="1" applyAlignment="1">
      <alignment horizontal="left"/>
    </xf>
    <xf numFmtId="0" fontId="215" fillId="0" borderId="36" xfId="0" applyFont="1" applyBorder="1"/>
    <xf numFmtId="1" fontId="212" fillId="0" borderId="37" xfId="0" applyNumberFormat="1" applyFont="1" applyBorder="1" applyAlignment="1">
      <alignment horizontal="left"/>
    </xf>
    <xf numFmtId="0" fontId="215" fillId="0" borderId="37" xfId="0" applyFont="1" applyBorder="1"/>
    <xf numFmtId="1" fontId="212" fillId="70" borderId="0" xfId="0" applyNumberFormat="1" applyFont="1" applyFill="1" applyBorder="1" applyAlignment="1">
      <alignment horizontal="left"/>
    </xf>
    <xf numFmtId="0" fontId="215" fillId="70" borderId="0" xfId="0" applyFont="1" applyFill="1" applyBorder="1"/>
    <xf numFmtId="224" fontId="212" fillId="70" borderId="0" xfId="0" applyNumberFormat="1" applyFont="1" applyFill="1" applyBorder="1"/>
    <xf numFmtId="0" fontId="212" fillId="70" borderId="0" xfId="0" applyFont="1" applyFill="1" applyBorder="1"/>
    <xf numFmtId="224" fontId="212" fillId="0" borderId="33" xfId="0" applyNumberFormat="1" applyFont="1" applyBorder="1"/>
    <xf numFmtId="224" fontId="213" fillId="69" borderId="33" xfId="0" applyNumberFormat="1" applyFont="1" applyFill="1" applyBorder="1"/>
    <xf numFmtId="224" fontId="213" fillId="2" borderId="33" xfId="0" applyNumberFormat="1" applyFont="1" applyFill="1" applyBorder="1"/>
    <xf numFmtId="224" fontId="216" fillId="2" borderId="33" xfId="0" applyNumberFormat="1" applyFont="1" applyFill="1" applyBorder="1"/>
    <xf numFmtId="224" fontId="212" fillId="2" borderId="33" xfId="0" applyNumberFormat="1" applyFont="1" applyFill="1" applyBorder="1"/>
    <xf numFmtId="224" fontId="212" fillId="0" borderId="38" xfId="0" applyNumberFormat="1" applyFont="1" applyBorder="1"/>
    <xf numFmtId="224" fontId="212" fillId="0" borderId="39" xfId="0" applyNumberFormat="1" applyFont="1" applyBorder="1"/>
    <xf numFmtId="0" fontId="208" fillId="72" borderId="0" xfId="0" applyFont="1" applyFill="1" applyBorder="1"/>
    <xf numFmtId="0" fontId="212" fillId="0" borderId="0" xfId="0" applyFont="1" applyBorder="1" applyAlignment="1">
      <alignment horizontal="left"/>
    </xf>
    <xf numFmtId="224" fontId="220" fillId="0" borderId="0" xfId="0" applyNumberFormat="1" applyFont="1" applyBorder="1" applyAlignment="1">
      <alignment horizontal="right"/>
    </xf>
    <xf numFmtId="0" fontId="212" fillId="2" borderId="0" xfId="0" applyFont="1" applyFill="1" applyBorder="1"/>
    <xf numFmtId="0" fontId="215" fillId="0" borderId="0" xfId="0" applyFont="1" applyBorder="1" applyAlignment="1">
      <alignment horizontal="left"/>
    </xf>
    <xf numFmtId="0" fontId="213" fillId="69" borderId="32" xfId="0" applyFont="1" applyFill="1" applyBorder="1" applyAlignment="1">
      <alignment horizontal="left" vertical="center" wrapText="1"/>
    </xf>
    <xf numFmtId="224" fontId="213" fillId="69" borderId="32" xfId="0" applyNumberFormat="1" applyFont="1" applyFill="1" applyBorder="1" applyAlignment="1">
      <alignment horizontal="left" vertical="center" wrapText="1"/>
    </xf>
    <xf numFmtId="0" fontId="213" fillId="2" borderId="32" xfId="0" applyFont="1" applyFill="1" applyBorder="1" applyAlignment="1">
      <alignment horizontal="left" vertical="center" wrapText="1"/>
    </xf>
    <xf numFmtId="224" fontId="213" fillId="2" borderId="32" xfId="0" applyNumberFormat="1" applyFont="1" applyFill="1" applyBorder="1" applyAlignment="1">
      <alignment horizontal="left" vertical="center" wrapText="1"/>
    </xf>
    <xf numFmtId="0" fontId="212" fillId="0" borderId="32" xfId="0" applyFont="1" applyBorder="1" applyAlignment="1">
      <alignment horizontal="left" vertical="center" wrapText="1"/>
    </xf>
    <xf numFmtId="0" fontId="215" fillId="0" borderId="32" xfId="0" applyFont="1" applyBorder="1" applyAlignment="1">
      <alignment vertical="center"/>
    </xf>
    <xf numFmtId="0" fontId="212" fillId="0" borderId="32" xfId="0" applyFont="1" applyBorder="1" applyAlignment="1">
      <alignment vertical="center" wrapText="1"/>
    </xf>
    <xf numFmtId="224" fontId="214" fillId="0" borderId="32" xfId="0" applyNumberFormat="1" applyFont="1" applyBorder="1" applyAlignment="1">
      <alignment horizontal="right" vertical="center" wrapText="1"/>
    </xf>
    <xf numFmtId="0" fontId="212" fillId="70" borderId="0" xfId="0" applyFont="1" applyFill="1" applyBorder="1" applyAlignment="1">
      <alignment horizontal="left"/>
    </xf>
    <xf numFmtId="0" fontId="215" fillId="70" borderId="0" xfId="0" applyFont="1" applyFill="1" applyBorder="1" applyAlignment="1">
      <alignment horizontal="left"/>
    </xf>
    <xf numFmtId="224" fontId="220" fillId="70" borderId="0" xfId="0" applyNumberFormat="1" applyFont="1" applyFill="1" applyBorder="1" applyAlignment="1">
      <alignment horizontal="right"/>
    </xf>
    <xf numFmtId="0" fontId="212" fillId="70" borderId="0" xfId="0" applyFont="1" applyFill="1" applyBorder="1" applyAlignment="1">
      <alignment horizontal="left" vertical="center"/>
    </xf>
    <xf numFmtId="0" fontId="215" fillId="70" borderId="0" xfId="0" applyFont="1" applyFill="1" applyBorder="1" applyAlignment="1">
      <alignment horizontal="left" vertical="center"/>
    </xf>
    <xf numFmtId="0" fontId="14" fillId="69" borderId="0" xfId="0" applyFont="1" applyFill="1"/>
    <xf numFmtId="0" fontId="0" fillId="69" borderId="0" xfId="0" applyFill="1" applyAlignment="1" applyProtection="1">
      <alignment horizontal="center"/>
      <protection hidden="1"/>
    </xf>
    <xf numFmtId="0" fontId="14" fillId="69" borderId="0" xfId="0" applyFont="1" applyFill="1" applyProtection="1">
      <protection hidden="1"/>
    </xf>
    <xf numFmtId="0" fontId="14" fillId="0" borderId="0" xfId="0" applyFont="1"/>
    <xf numFmtId="0" fontId="14" fillId="69" borderId="0" xfId="0" applyFont="1" applyFill="1" applyAlignment="1" applyProtection="1">
      <alignment horizontal="center"/>
      <protection hidden="1"/>
    </xf>
    <xf numFmtId="0" fontId="221" fillId="69" borderId="0" xfId="3775" applyNumberFormat="1" applyFont="1" applyFill="1" applyBorder="1" applyAlignment="1" applyProtection="1"/>
    <xf numFmtId="0" fontId="14" fillId="69" borderId="0" xfId="0" applyFont="1" applyFill="1" applyBorder="1"/>
    <xf numFmtId="0" fontId="223" fillId="69" borderId="0" xfId="3775" applyNumberFormat="1" applyFont="1" applyFill="1" applyBorder="1" applyAlignment="1" applyProtection="1">
      <alignment vertical="center"/>
    </xf>
    <xf numFmtId="0" fontId="224" fillId="69" borderId="0" xfId="0" applyFont="1" applyFill="1" applyBorder="1" applyAlignment="1">
      <alignment vertical="center"/>
    </xf>
    <xf numFmtId="0" fontId="212" fillId="2" borderId="0" xfId="0" applyFont="1" applyFill="1" applyBorder="1" applyAlignment="1" applyProtection="1">
      <alignment horizontal="left" vertical="center" wrapText="1"/>
    </xf>
    <xf numFmtId="0" fontId="215" fillId="2" borderId="0" xfId="0" applyFont="1" applyFill="1" applyBorder="1" applyAlignment="1" applyProtection="1">
      <alignment horizontal="left" vertical="center" wrapText="1"/>
    </xf>
    <xf numFmtId="0" fontId="212" fillId="2" borderId="0" xfId="0" applyFont="1" applyFill="1" applyBorder="1" applyAlignment="1" applyProtection="1">
      <alignment vertical="center" wrapText="1"/>
    </xf>
    <xf numFmtId="224" fontId="214" fillId="2" borderId="0" xfId="0" applyNumberFormat="1" applyFont="1" applyFill="1" applyBorder="1" applyAlignment="1" applyProtection="1">
      <alignment horizontal="right" vertical="center" wrapText="1"/>
    </xf>
    <xf numFmtId="0" fontId="14" fillId="69" borderId="36" xfId="0" applyFont="1" applyFill="1" applyBorder="1" applyProtection="1"/>
    <xf numFmtId="224" fontId="14" fillId="69" borderId="38" xfId="0" applyNumberFormat="1" applyFont="1" applyFill="1" applyBorder="1" applyProtection="1"/>
    <xf numFmtId="0" fontId="213" fillId="72" borderId="0" xfId="0" applyFont="1" applyFill="1" applyBorder="1" applyProtection="1"/>
    <xf numFmtId="224" fontId="213" fillId="72" borderId="0" xfId="0" applyNumberFormat="1" applyFont="1" applyFill="1" applyBorder="1" applyProtection="1"/>
    <xf numFmtId="0" fontId="212" fillId="72" borderId="0" xfId="0" applyFont="1" applyFill="1" applyBorder="1" applyProtection="1"/>
    <xf numFmtId="224" fontId="215" fillId="72" borderId="0" xfId="0" applyNumberFormat="1" applyFont="1" applyFill="1" applyBorder="1" applyProtection="1"/>
    <xf numFmtId="0" fontId="225" fillId="74" borderId="0" xfId="0" applyFont="1" applyFill="1" applyBorder="1" applyProtection="1"/>
    <xf numFmtId="0" fontId="212" fillId="2" borderId="0" xfId="0" applyFont="1" applyFill="1" applyBorder="1" applyProtection="1"/>
    <xf numFmtId="0" fontId="215" fillId="2" borderId="0" xfId="0" applyFont="1" applyFill="1" applyBorder="1" applyProtection="1"/>
    <xf numFmtId="224" fontId="214" fillId="2" borderId="0" xfId="0" applyNumberFormat="1" applyFont="1" applyFill="1" applyBorder="1" applyProtection="1"/>
    <xf numFmtId="0" fontId="212" fillId="2" borderId="0" xfId="0" applyFont="1" applyFill="1" applyBorder="1" applyAlignment="1" applyProtection="1">
      <alignment vertical="center"/>
    </xf>
    <xf numFmtId="0" fontId="215" fillId="72" borderId="0" xfId="0" applyFont="1" applyFill="1" applyBorder="1" applyProtection="1"/>
    <xf numFmtId="224" fontId="214" fillId="72" borderId="0" xfId="0" applyNumberFormat="1" applyFont="1" applyFill="1" applyBorder="1" applyProtection="1"/>
    <xf numFmtId="0" fontId="226" fillId="73" borderId="0" xfId="0" applyFont="1" applyFill="1" applyBorder="1" applyProtection="1"/>
    <xf numFmtId="0" fontId="225" fillId="73" borderId="0" xfId="0" applyFont="1" applyFill="1" applyBorder="1" applyProtection="1"/>
    <xf numFmtId="0" fontId="227" fillId="72" borderId="0" xfId="0" applyFont="1" applyFill="1" applyBorder="1" applyProtection="1"/>
    <xf numFmtId="0" fontId="228" fillId="72" borderId="0" xfId="0" applyFont="1" applyFill="1" applyBorder="1" applyProtection="1"/>
    <xf numFmtId="224" fontId="229" fillId="72" borderId="0" xfId="0" applyNumberFormat="1" applyFont="1" applyFill="1" applyBorder="1" applyProtection="1"/>
    <xf numFmtId="0" fontId="212" fillId="2" borderId="32" xfId="0" applyFont="1" applyFill="1" applyBorder="1" applyAlignment="1">
      <alignment horizontal="left" vertical="center" wrapText="1"/>
    </xf>
    <xf numFmtId="0" fontId="215" fillId="2" borderId="32" xfId="0" applyFont="1" applyFill="1" applyBorder="1" applyAlignment="1">
      <alignment vertical="center"/>
    </xf>
    <xf numFmtId="0" fontId="212" fillId="2" borderId="32" xfId="0" applyFont="1" applyFill="1" applyBorder="1" applyAlignment="1">
      <alignment vertical="center" wrapText="1"/>
    </xf>
    <xf numFmtId="224" fontId="214" fillId="2" borderId="32" xfId="0" applyNumberFormat="1" applyFont="1" applyFill="1" applyBorder="1" applyAlignment="1">
      <alignment horizontal="right" vertical="center" wrapText="1"/>
    </xf>
    <xf numFmtId="0" fontId="230" fillId="69" borderId="0" xfId="3775" applyNumberFormat="1" applyFont="1" applyFill="1" applyBorder="1" applyAlignment="1" applyProtection="1">
      <alignment vertical="center"/>
    </xf>
    <xf numFmtId="0" fontId="223" fillId="75" borderId="51" xfId="3775" quotePrefix="1" applyNumberFormat="1" applyFont="1" applyFill="1" applyBorder="1" applyAlignment="1" applyProtection="1">
      <alignment vertical="center"/>
    </xf>
    <xf numFmtId="0" fontId="223" fillId="75" borderId="52" xfId="3775" applyNumberFormat="1" applyFont="1" applyFill="1" applyBorder="1" applyAlignment="1" applyProtection="1">
      <alignment vertical="center"/>
    </xf>
    <xf numFmtId="0" fontId="223" fillId="75" borderId="53" xfId="3775" applyNumberFormat="1" applyFont="1" applyFill="1" applyBorder="1" applyAlignment="1" applyProtection="1">
      <alignment vertical="center"/>
    </xf>
    <xf numFmtId="0" fontId="223" fillId="75" borderId="50" xfId="3775" applyNumberFormat="1" applyFont="1" applyFill="1" applyBorder="1" applyAlignment="1" applyProtection="1">
      <alignment vertical="center"/>
    </xf>
    <xf numFmtId="0" fontId="224" fillId="75" borderId="52" xfId="0" applyFont="1" applyFill="1" applyBorder="1" applyAlignment="1">
      <alignment vertical="center"/>
    </xf>
    <xf numFmtId="0" fontId="231" fillId="69" borderId="0" xfId="3775" applyNumberFormat="1" applyFont="1" applyFill="1" applyBorder="1" applyAlignment="1" applyProtection="1"/>
    <xf numFmtId="0" fontId="232" fillId="69" borderId="0" xfId="0" applyFont="1" applyFill="1" applyBorder="1"/>
    <xf numFmtId="0" fontId="222" fillId="75" borderId="0" xfId="3775" applyNumberFormat="1" applyFont="1" applyFill="1" applyBorder="1" applyAlignment="1" applyProtection="1">
      <alignment horizontal="center" vertical="center"/>
    </xf>
    <xf numFmtId="0" fontId="222" fillId="75" borderId="44" xfId="3775" applyNumberFormat="1" applyFont="1" applyFill="1" applyBorder="1" applyAlignment="1" applyProtection="1">
      <alignment horizontal="center" vertical="center"/>
    </xf>
    <xf numFmtId="0" fontId="222" fillId="75" borderId="43" xfId="3775" applyNumberFormat="1" applyFont="1" applyFill="1" applyBorder="1" applyAlignment="1" applyProtection="1">
      <alignment horizontal="center" vertical="center"/>
    </xf>
    <xf numFmtId="0" fontId="222" fillId="75" borderId="45" xfId="3775" applyNumberFormat="1" applyFont="1" applyFill="1" applyBorder="1" applyAlignment="1" applyProtection="1">
      <alignment horizontal="center" vertical="center"/>
    </xf>
    <xf numFmtId="0" fontId="222" fillId="75" borderId="47" xfId="3775" applyNumberFormat="1" applyFont="1" applyFill="1" applyBorder="1" applyAlignment="1" applyProtection="1">
      <alignment horizontal="center" vertical="center"/>
    </xf>
    <xf numFmtId="0" fontId="222" fillId="75" borderId="48" xfId="3775" applyNumberFormat="1" applyFont="1" applyFill="1" applyBorder="1" applyAlignment="1" applyProtection="1">
      <alignment horizontal="center" vertical="center"/>
    </xf>
    <xf numFmtId="0" fontId="222" fillId="75" borderId="46" xfId="3775" applyNumberFormat="1" applyFont="1" applyFill="1" applyBorder="1" applyAlignment="1" applyProtection="1">
      <alignment horizontal="center" vertical="center"/>
    </xf>
    <xf numFmtId="0" fontId="222" fillId="75" borderId="49" xfId="3775" applyNumberFormat="1" applyFont="1" applyFill="1" applyBorder="1" applyAlignment="1" applyProtection="1">
      <alignment horizontal="center" vertical="center"/>
    </xf>
    <xf numFmtId="0" fontId="0" fillId="0" borderId="0" xfId="0" applyAlignment="1" applyProtection="1">
      <alignment horizontal="center"/>
      <protection hidden="1"/>
    </xf>
    <xf numFmtId="0" fontId="14" fillId="0" borderId="0" xfId="0" applyFont="1" applyAlignment="1" applyProtection="1">
      <alignment horizontal="center"/>
      <protection hidden="1"/>
    </xf>
    <xf numFmtId="0" fontId="233" fillId="69" borderId="0" xfId="3775" applyNumberFormat="1" applyFont="1" applyFill="1" applyBorder="1" applyAlignment="1" applyProtection="1">
      <alignment horizontal="center" vertical="center"/>
    </xf>
    <xf numFmtId="0" fontId="221" fillId="69" borderId="0" xfId="3775" applyNumberFormat="1" applyFont="1" applyFill="1" applyBorder="1" applyAlignment="1" applyProtection="1">
      <alignment horizontal="center"/>
    </xf>
    <xf numFmtId="0" fontId="212" fillId="2" borderId="33" xfId="0" applyFont="1" applyFill="1" applyBorder="1" applyAlignment="1" applyProtection="1">
      <alignment horizontal="center"/>
    </xf>
    <xf numFmtId="0" fontId="212" fillId="2" borderId="34" xfId="0" applyFont="1" applyFill="1" applyBorder="1" applyAlignment="1" applyProtection="1">
      <alignment horizontal="center"/>
    </xf>
    <xf numFmtId="0" fontId="212" fillId="0" borderId="42" xfId="0" applyFont="1" applyBorder="1" applyAlignment="1">
      <alignment horizontal="center"/>
    </xf>
    <xf numFmtId="0" fontId="215" fillId="0" borderId="0" xfId="0" applyFont="1"/>
    <xf numFmtId="0" fontId="212" fillId="0" borderId="0" xfId="0" applyFont="1"/>
    <xf numFmtId="224" fontId="214" fillId="0" borderId="0" xfId="0" applyNumberFormat="1" applyFont="1"/>
    <xf numFmtId="0" fontId="17" fillId="0" borderId="0" xfId="0" applyFont="1"/>
    <xf numFmtId="0" fontId="212" fillId="2" borderId="0" xfId="0" applyFont="1" applyFill="1"/>
    <xf numFmtId="224" fontId="234" fillId="69" borderId="32" xfId="0" applyNumberFormat="1" applyFont="1" applyFill="1" applyBorder="1" applyAlignment="1">
      <alignment horizontal="left" vertical="center" wrapText="1"/>
    </xf>
    <xf numFmtId="0" fontId="215" fillId="2" borderId="0" xfId="0" applyFont="1" applyFill="1"/>
    <xf numFmtId="224" fontId="15" fillId="0" borderId="0" xfId="0" applyNumberFormat="1" applyFont="1"/>
    <xf numFmtId="0" fontId="0" fillId="0" borderId="0" xfId="0"/>
    <xf numFmtId="0" fontId="0" fillId="72" borderId="0" xfId="0" applyFill="1"/>
    <xf numFmtId="0" fontId="17" fillId="72" borderId="0" xfId="0" applyFont="1" applyFill="1"/>
    <xf numFmtId="224" fontId="15" fillId="72" borderId="0" xfId="0" applyNumberFormat="1" applyFont="1" applyFill="1"/>
    <xf numFmtId="224" fontId="214" fillId="76" borderId="0" xfId="0" applyNumberFormat="1" applyFont="1" applyFill="1"/>
    <xf numFmtId="0" fontId="213" fillId="2" borderId="0" xfId="0" applyFont="1" applyFill="1" applyBorder="1" applyAlignment="1">
      <alignment horizontal="left" vertical="center" wrapText="1"/>
    </xf>
    <xf numFmtId="224" fontId="220" fillId="2" borderId="0" xfId="0" applyNumberFormat="1" applyFont="1" applyFill="1" applyBorder="1" applyAlignment="1">
      <alignment horizontal="left" vertical="center" wrapText="1"/>
    </xf>
    <xf numFmtId="0" fontId="213" fillId="77" borderId="0" xfId="0" applyFont="1" applyFill="1" applyBorder="1" applyAlignment="1">
      <alignment horizontal="left" vertical="center" wrapText="1"/>
    </xf>
    <xf numFmtId="0" fontId="213" fillId="77" borderId="0" xfId="0" applyFont="1" applyFill="1"/>
    <xf numFmtId="0" fontId="212" fillId="78" borderId="0" xfId="0" applyFont="1" applyFill="1"/>
    <xf numFmtId="0" fontId="215" fillId="78" borderId="0" xfId="0" applyFont="1" applyFill="1"/>
  </cellXfs>
  <cellStyles count="43395">
    <cellStyle name="_x000d__x000a_JournalTemplate=C:\COMFO\CTALK\JOURSTD.TPL_x000d__x000a_LbStateAddress=3 3 0 251 1 89 2 311_x000d__x000a_LbStateJou" xfId="50"/>
    <cellStyle name="_x000d__x000a_JournalTemplate=C:\COMFO\CTALK\JOURSTD.TPL_x000d__x000a_LbStateAddress=3 3 0 251 1 89 2 311_x000d__x000a_LbStateJou 2" xfId="4094"/>
    <cellStyle name="???????? [0]_PERSONAL" xfId="57"/>
    <cellStyle name="?????????? [0]_PERSONAL" xfId="49"/>
    <cellStyle name="??????????_PERSONAL" xfId="58"/>
    <cellStyle name="????????_PERSONAL" xfId="48"/>
    <cellStyle name="???????_PERSONAL" xfId="44"/>
    <cellStyle name="?…‹?ђO‚e [0.00]_laroux" xfId="43"/>
    <cellStyle name="?…‹?ђO‚e_laroux" xfId="56"/>
    <cellStyle name="_Annex Price List WW34 (15 Aug - 20  Aug 05)" xfId="55"/>
    <cellStyle name="_Annex Price List WW34 (15 Aug - 20  Aug 05) 2" xfId="4095"/>
    <cellStyle name="_Asus New" xfId="47"/>
    <cellStyle name="_Asus New 2" xfId="4096"/>
    <cellStyle name="_AxizLocal" xfId="59"/>
    <cellStyle name="_AxizLocal 2" xfId="4097"/>
    <cellStyle name="_Book2 (5)" xfId="52"/>
    <cellStyle name="_Book2 (5) 2" xfId="4098"/>
    <cellStyle name="_Book5" xfId="46"/>
    <cellStyle name="_Book5 2" xfId="4099"/>
    <cellStyle name="_Channel Distribution Price List CQ02'08 rev A(1)" xfId="51"/>
    <cellStyle name="_Channel Distribution Price List CQ02'08 rev A(1) 2" xfId="53"/>
    <cellStyle name="_Channel Distribution Price List CQ02'08 rev A(1) 2 2" xfId="3938"/>
    <cellStyle name="_Channel Distribution Price List CQ02'08 rev A(1) 2 3" xfId="4101"/>
    <cellStyle name="_Channel Distribution Price List CQ02'08 rev A(1) 3" xfId="45"/>
    <cellStyle name="_Channel Distribution Price List CQ02'08 rev A(1) 3 2" xfId="3939"/>
    <cellStyle name="_Channel Distribution Price List CQ02'08 rev A(1) 3 3" xfId="4102"/>
    <cellStyle name="_Channel Distribution Price List CQ02'08 rev A(1) 4" xfId="4100"/>
    <cellStyle name="_Copy of esqmid15082005" xfId="78"/>
    <cellStyle name="_Copy of esqmid15082005 2" xfId="4103"/>
    <cellStyle name="_Copy of SA 01 August 2005" xfId="83"/>
    <cellStyle name="_Copy of SA 01 August 2005 2" xfId="4104"/>
    <cellStyle name="_Copy of SA 17 October 2005" xfId="65"/>
    <cellStyle name="_Copy of SA 17 October 2005 2" xfId="4105"/>
    <cellStyle name="_DCC 180705" xfId="70"/>
    <cellStyle name="_DCC 180705 2" xfId="4106"/>
    <cellStyle name="_EMEA DIS Pricelist August 2008-USD (2)" xfId="64"/>
    <cellStyle name="_EMEA DIS Pricelist August 2008-USD (2) 2" xfId="4107"/>
    <cellStyle name="_ET_STYLE_NoName_00_" xfId="73"/>
    <cellStyle name="_ET_STYLE_NoName_00_ 2" xfId="3940"/>
    <cellStyle name="_ET_STYLE_NoName_00_ 3" xfId="4108"/>
    <cellStyle name="_ETA by week" xfId="76"/>
    <cellStyle name="_ETA by week 2" xfId="4109"/>
    <cellStyle name="_Expected" xfId="62"/>
    <cellStyle name="_Expected 2" xfId="4110"/>
    <cellStyle name="_FSC Annex Price List WE 08042005" xfId="67"/>
    <cellStyle name="_FSC Annex Price List WE 08042005 (2)" xfId="68"/>
    <cellStyle name="_FSC Annex Price List WE 08042005 (2) 2" xfId="4112"/>
    <cellStyle name="_FSC Annex Price List WE 08042005 2" xfId="4111"/>
    <cellStyle name="_FSC Annex Price List WE 13-05-2005" xfId="77"/>
    <cellStyle name="_FSC Annex Price List WE 13-05-2005 2" xfId="4113"/>
    <cellStyle name="_FSC Annex Price List WE 16-07-2005" xfId="75"/>
    <cellStyle name="_FSC Annex Price List WE 16-07-2005 2" xfId="4114"/>
    <cellStyle name="_FSC Annex Price List WE 18022005" xfId="60"/>
    <cellStyle name="_FSC Annex Price List WE 18022005 2" xfId="4115"/>
    <cellStyle name="_FSC Annex Price List WE 25-06-2005 (2)" xfId="69"/>
    <cellStyle name="_FSC Annex Price List WE 25-06-2005 (2) 2" xfId="4116"/>
    <cellStyle name="_FSC Annex Price List WE 27-05-2005" xfId="74"/>
    <cellStyle name="_FSC Annex Price List WE 27-05-2005 2" xfId="4117"/>
    <cellStyle name="_HDD prices FOB DC" xfId="79"/>
    <cellStyle name="_HDD prices FOB DC 2" xfId="4118"/>
    <cellStyle name="_Inventory_020503_for_Mamonov" xfId="61"/>
    <cellStyle name="_Inventory_020503_for_Mamonov 2" xfId="4119"/>
    <cellStyle name="_Inventory_040403_for_Mamonov" xfId="82"/>
    <cellStyle name="_Inventory_040403_for_Mamonov 2" xfId="4120"/>
    <cellStyle name="_Inventory_040703_for_Mamonov" xfId="71"/>
    <cellStyle name="_Inventory_040703_for_Mamonov 2" xfId="4121"/>
    <cellStyle name="_Inventory_050903_for_Mamonov" xfId="72"/>
    <cellStyle name="_Inventory_050903_for_Mamonov 2" xfId="4122"/>
    <cellStyle name="_Inventory_060603_for_Mamonov" xfId="81"/>
    <cellStyle name="_Inventory_060603_for_Mamonov 2" xfId="4123"/>
    <cellStyle name="_Inventory_070303_for_Mamonov" xfId="63"/>
    <cellStyle name="_Inventory_070303_for_Mamonov 2" xfId="4124"/>
    <cellStyle name="_Inventory_071103_for_Mamonov" xfId="80"/>
    <cellStyle name="_Inventory_071103_for_Mamonov 2" xfId="4125"/>
    <cellStyle name="_Inventory_080803_for_Mamonov" xfId="66"/>
    <cellStyle name="_Inventory_080803_for_Mamonov 2" xfId="4126"/>
    <cellStyle name="_Inventory_110403_for_Mamonov" xfId="84"/>
    <cellStyle name="_Inventory_110403_for_Mamonov 2" xfId="4127"/>
    <cellStyle name="_Inventory_110703_for_Mamonov" xfId="85"/>
    <cellStyle name="_Inventory_110703_for_Mamonov 2" xfId="4128"/>
    <cellStyle name="_Inventory_120903_for_Mamonov" xfId="86"/>
    <cellStyle name="_Inventory_120903_for_Mamonov 2" xfId="4129"/>
    <cellStyle name="_Inventory_130303_for_Mamonov" xfId="87"/>
    <cellStyle name="_Inventory_130303_for_Mamonov 2" xfId="4130"/>
    <cellStyle name="_Inventory_130603_for_Mamonov" xfId="88"/>
    <cellStyle name="_Inventory_130603_for_Mamonov 2" xfId="4131"/>
    <cellStyle name="_Inventory_160503_for_Mamonov" xfId="89"/>
    <cellStyle name="_Inventory_160503_for_Mamonov 2" xfId="4132"/>
    <cellStyle name="_Inventory_171003_for_Mamonov" xfId="90"/>
    <cellStyle name="_Inventory_171003_for_Mamonov 2" xfId="4133"/>
    <cellStyle name="_Inventory_180403_for_Mamonov" xfId="91"/>
    <cellStyle name="_Inventory_180403_for_Mamonov 2" xfId="4134"/>
    <cellStyle name="_Inventory_180803_for_Mamonov" xfId="92"/>
    <cellStyle name="_Inventory_180803_for_Mamonov 2" xfId="4135"/>
    <cellStyle name="_Inventory_190903_for_Mamonov" xfId="93"/>
    <cellStyle name="_Inventory_190903_for_Mamonov 2" xfId="4136"/>
    <cellStyle name="_Inventory_200603_for_Mamonov" xfId="94"/>
    <cellStyle name="_Inventory_200603_for_Mamonov 2" xfId="4137"/>
    <cellStyle name="_Inventory_220803_for_Mamonov" xfId="95"/>
    <cellStyle name="_Inventory_220803_for_Mamonov 2" xfId="4138"/>
    <cellStyle name="_Inventory_230503_for_Mamonov" xfId="96"/>
    <cellStyle name="_Inventory_230503_for_Mamonov 2" xfId="4139"/>
    <cellStyle name="_Inventory_241003_w43_for_Mamonov" xfId="97"/>
    <cellStyle name="_Inventory_241003_w43_for_Mamonov 2" xfId="4140"/>
    <cellStyle name="_Inventory_250403_for_Mamonov" xfId="98"/>
    <cellStyle name="_Inventory_250403_for_Mamonov 2" xfId="4141"/>
    <cellStyle name="_Inventory_260903_for_Mamonov" xfId="99"/>
    <cellStyle name="_Inventory_260903_for_Mamonov 2" xfId="4142"/>
    <cellStyle name="_Inventory_270603_for_Mamonov" xfId="100"/>
    <cellStyle name="_Inventory_270603_for_Mamonov 2" xfId="4143"/>
    <cellStyle name="_Inventory_280303_for_Mamonov" xfId="101"/>
    <cellStyle name="_Inventory_280303_for_Mamonov 2" xfId="4144"/>
    <cellStyle name="_Inventory_290803_for_Mamonov" xfId="102"/>
    <cellStyle name="_Inventory_290803_for_Mamonov 2" xfId="4145"/>
    <cellStyle name="_Inventory_300503_for_Mamonov" xfId="103"/>
    <cellStyle name="_Inventory_300503_for_Mamonov 2" xfId="4146"/>
    <cellStyle name="_Inventory_311003_for_Mamonov" xfId="104"/>
    <cellStyle name="_Inventory_311003_for_Mamonov 2" xfId="4147"/>
    <cellStyle name="_IR-CON2606_extended" xfId="105"/>
    <cellStyle name="_IR-CON2606_extended 10" xfId="4148"/>
    <cellStyle name="_IR-CON2606_extended 2" xfId="7907"/>
    <cellStyle name="_IR-CON2606_extended 3" xfId="7908"/>
    <cellStyle name="_IR-CON2606_extended 4" xfId="7909"/>
    <cellStyle name="_IR-CON2606_extended 5" xfId="7910"/>
    <cellStyle name="_IR-CON2606_extended 6" xfId="7911"/>
    <cellStyle name="_IR-CON2606_extended 7" xfId="7912"/>
    <cellStyle name="_IR-CON2606_extended 8" xfId="7913"/>
    <cellStyle name="_IR-CON2606_extended 9" xfId="7796"/>
    <cellStyle name="_IR-CON2606_extended_Price&amp;Backlog" xfId="7797"/>
    <cellStyle name="_IR-CON2606_extended_ww 40 PR USB Flash Drives Price" xfId="7914"/>
    <cellStyle name="_IR-CON2706_ASBIS" xfId="106"/>
    <cellStyle name="_IR-CON2706_ASBIS 10" xfId="4149"/>
    <cellStyle name="_IR-CON2706_ASBIS 2" xfId="7915"/>
    <cellStyle name="_IR-CON2706_ASBIS 3" xfId="7916"/>
    <cellStyle name="_IR-CON2706_ASBIS 4" xfId="7917"/>
    <cellStyle name="_IR-CON2706_ASBIS 5" xfId="7918"/>
    <cellStyle name="_IR-CON2706_ASBIS 6" xfId="7919"/>
    <cellStyle name="_IR-CON2706_ASBIS 7" xfId="7920"/>
    <cellStyle name="_IR-CON2706_ASBIS 8" xfId="7921"/>
    <cellStyle name="_IR-CON2706_ASBIS 9" xfId="7798"/>
    <cellStyle name="_IR-CON2706_ASBIS_Price&amp;Backlog" xfId="7799"/>
    <cellStyle name="_IR-CON2706_ASBIS_ww 40 PR USB Flash Drives Price" xfId="7922"/>
    <cellStyle name="_Mobile PC" xfId="107"/>
    <cellStyle name="_Mobile PC 2" xfId="4150"/>
    <cellStyle name="_OSD Service Price List CQ02'08" xfId="108"/>
    <cellStyle name="_OSD Service Price List CQ02'08 2" xfId="109"/>
    <cellStyle name="_OSD Service Price List CQ02'08 2 2" xfId="3941"/>
    <cellStyle name="_OSD Service Price List CQ02'08 2 3" xfId="4152"/>
    <cellStyle name="_OSD Service Price List CQ02'08 3" xfId="110"/>
    <cellStyle name="_OSD Service Price List CQ02'08 3 2" xfId="3942"/>
    <cellStyle name="_OSD Service Price List CQ02'08 3 3" xfId="4153"/>
    <cellStyle name="_OSD Service Price List CQ02'08 4" xfId="4151"/>
    <cellStyle name="_PERSONAL" xfId="111"/>
    <cellStyle name="_PERSONAL 10" xfId="4154"/>
    <cellStyle name="_PERSONAL 2" xfId="7923"/>
    <cellStyle name="_PERSONAL 3" xfId="7924"/>
    <cellStyle name="_PERSONAL 4" xfId="7925"/>
    <cellStyle name="_PERSONAL 5" xfId="7926"/>
    <cellStyle name="_PERSONAL 6" xfId="7927"/>
    <cellStyle name="_PERSONAL 7" xfId="7928"/>
    <cellStyle name="_PERSONAL 8" xfId="7929"/>
    <cellStyle name="_PERSONAL 9" xfId="7800"/>
    <cellStyle name="_PERSONAL_1" xfId="112"/>
    <cellStyle name="_PERSONAL_1 2" xfId="7801"/>
    <cellStyle name="_PERSONAL_1 3" xfId="4155"/>
    <cellStyle name="_PERSONAL_Price&amp;Backlog" xfId="7802"/>
    <cellStyle name="_PERSONAL_ww 40 PR USB Flash Drives Price" xfId="7930"/>
    <cellStyle name="_PRICE LIST 11 APRIL 2005 - New" xfId="113"/>
    <cellStyle name="_PRICE LIST 11 APRIL 2005 - New 2" xfId="4156"/>
    <cellStyle name="_Price List 4-Apr-2005 (2)" xfId="114"/>
    <cellStyle name="_Price List 4-Apr-2005 (2) 2" xfId="4157"/>
    <cellStyle name="_PriceGuide" xfId="115"/>
    <cellStyle name="_PriceGuide 2" xfId="4158"/>
    <cellStyle name="_ProductList" xfId="116"/>
    <cellStyle name="_ProductList 2" xfId="4159"/>
    <cellStyle name="_Promise EMEA DIS Pricelist February 2008-USD asbis" xfId="117"/>
    <cellStyle name="_Promise EMEA DIS Pricelist February 2008-USD asbis 2" xfId="4160"/>
    <cellStyle name="_QTY PER BOX" xfId="118"/>
    <cellStyle name="_QTY PER BOX 2" xfId="4161"/>
    <cellStyle name="_Quantum ASBIS Pricelist 14 April 2008" xfId="119"/>
    <cellStyle name="_Quantum ASBIS Pricelist 14 April 2008 2" xfId="4162"/>
    <cellStyle name="_Stock with LCP" xfId="120"/>
    <cellStyle name="_Stock with LCP 2" xfId="4163"/>
    <cellStyle name="_Storgate" xfId="121"/>
    <cellStyle name="_Storgate 2" xfId="4164"/>
    <cellStyle name="_Storgate 28 Nov (R6.60)" xfId="122"/>
    <cellStyle name="_Storgate 28 Nov (R6.60) 2" xfId="4165"/>
    <cellStyle name="_TL-UPS" xfId="123"/>
    <cellStyle name="_TL-UPS 2" xfId="4166"/>
    <cellStyle name="’E‰Y [0.00]_laroux" xfId="124"/>
    <cellStyle name="’E‰Y_laroux" xfId="125"/>
    <cellStyle name="•WЏЂ_laroux" xfId="126"/>
    <cellStyle name="0,0_x000d__x000a_NA_x000d__x000a_" xfId="43353"/>
    <cellStyle name="0,0_x000d__x000a_NA_x000d__x000a_ 2" xfId="43354"/>
    <cellStyle name="2.Æèðíûé" xfId="127"/>
    <cellStyle name="2.Æèðíûé 2" xfId="4167"/>
    <cellStyle name="20% - Accent1" xfId="20" builtinId="30" customBuiltin="1"/>
    <cellStyle name="20% - Accent1 10" xfId="129"/>
    <cellStyle name="20% - Accent1 10 10" xfId="130"/>
    <cellStyle name="20% - Accent1 10 10 2" xfId="4170"/>
    <cellStyle name="20% - Accent1 10 11" xfId="9839"/>
    <cellStyle name="20% - Accent1 10 12" xfId="4169"/>
    <cellStyle name="20% - Accent1 10 2" xfId="131"/>
    <cellStyle name="20% - Accent1 10 2 2" xfId="132"/>
    <cellStyle name="20% - Accent1 10 2 2 2" xfId="133"/>
    <cellStyle name="20% - Accent1 10 2 2 2 2" xfId="4173"/>
    <cellStyle name="20% - Accent1 10 2 2 3" xfId="4172"/>
    <cellStyle name="20% - Accent1 10 2 3" xfId="134"/>
    <cellStyle name="20% - Accent1 10 2 3 2" xfId="135"/>
    <cellStyle name="20% - Accent1 10 2 3 2 2" xfId="4175"/>
    <cellStyle name="20% - Accent1 10 2 3 3" xfId="4174"/>
    <cellStyle name="20% - Accent1 10 2 4" xfId="136"/>
    <cellStyle name="20% - Accent1 10 2 4 2" xfId="137"/>
    <cellStyle name="20% - Accent1 10 2 4 2 2" xfId="4177"/>
    <cellStyle name="20% - Accent1 10 2 4 3" xfId="4176"/>
    <cellStyle name="20% - Accent1 10 2 5" xfId="138"/>
    <cellStyle name="20% - Accent1 10 2 5 2" xfId="139"/>
    <cellStyle name="20% - Accent1 10 2 5 2 2" xfId="4179"/>
    <cellStyle name="20% - Accent1 10 2 5 3" xfId="4178"/>
    <cellStyle name="20% - Accent1 10 2 6" xfId="140"/>
    <cellStyle name="20% - Accent1 10 2 6 2" xfId="141"/>
    <cellStyle name="20% - Accent1 10 2 6 2 2" xfId="4181"/>
    <cellStyle name="20% - Accent1 10 2 6 3" xfId="4180"/>
    <cellStyle name="20% - Accent1 10 2 7" xfId="142"/>
    <cellStyle name="20% - Accent1 10 2 7 2" xfId="143"/>
    <cellStyle name="20% - Accent1 10 2 7 2 2" xfId="4183"/>
    <cellStyle name="20% - Accent1 10 2 7 3" xfId="4182"/>
    <cellStyle name="20% - Accent1 10 2 8" xfId="144"/>
    <cellStyle name="20% - Accent1 10 2 8 2" xfId="4184"/>
    <cellStyle name="20% - Accent1 10 2 9" xfId="4171"/>
    <cellStyle name="20% - Accent1 10 3" xfId="145"/>
    <cellStyle name="20% - Accent1 10 3 2" xfId="146"/>
    <cellStyle name="20% - Accent1 10 3 2 2" xfId="147"/>
    <cellStyle name="20% - Accent1 10 3 2 2 2" xfId="4187"/>
    <cellStyle name="20% - Accent1 10 3 2 3" xfId="4186"/>
    <cellStyle name="20% - Accent1 10 3 3" xfId="148"/>
    <cellStyle name="20% - Accent1 10 3 3 2" xfId="149"/>
    <cellStyle name="20% - Accent1 10 3 3 2 2" xfId="4189"/>
    <cellStyle name="20% - Accent1 10 3 3 3" xfId="4188"/>
    <cellStyle name="20% - Accent1 10 3 4" xfId="150"/>
    <cellStyle name="20% - Accent1 10 3 4 2" xfId="151"/>
    <cellStyle name="20% - Accent1 10 3 4 2 2" xfId="4191"/>
    <cellStyle name="20% - Accent1 10 3 4 3" xfId="4190"/>
    <cellStyle name="20% - Accent1 10 3 5" xfId="152"/>
    <cellStyle name="20% - Accent1 10 3 5 2" xfId="153"/>
    <cellStyle name="20% - Accent1 10 3 5 2 2" xfId="4193"/>
    <cellStyle name="20% - Accent1 10 3 5 3" xfId="4192"/>
    <cellStyle name="20% - Accent1 10 3 6" xfId="154"/>
    <cellStyle name="20% - Accent1 10 3 6 2" xfId="155"/>
    <cellStyle name="20% - Accent1 10 3 6 2 2" xfId="4195"/>
    <cellStyle name="20% - Accent1 10 3 6 3" xfId="4194"/>
    <cellStyle name="20% - Accent1 10 3 7" xfId="156"/>
    <cellStyle name="20% - Accent1 10 3 7 2" xfId="157"/>
    <cellStyle name="20% - Accent1 10 3 7 2 2" xfId="4197"/>
    <cellStyle name="20% - Accent1 10 3 7 3" xfId="4196"/>
    <cellStyle name="20% - Accent1 10 3 8" xfId="158"/>
    <cellStyle name="20% - Accent1 10 3 8 2" xfId="4198"/>
    <cellStyle name="20% - Accent1 10 3 9" xfId="4185"/>
    <cellStyle name="20% - Accent1 10 4" xfId="159"/>
    <cellStyle name="20% - Accent1 10 4 2" xfId="160"/>
    <cellStyle name="20% - Accent1 10 4 2 2" xfId="4200"/>
    <cellStyle name="20% - Accent1 10 4 3" xfId="4199"/>
    <cellStyle name="20% - Accent1 10 5" xfId="161"/>
    <cellStyle name="20% - Accent1 10 5 2" xfId="162"/>
    <cellStyle name="20% - Accent1 10 5 2 2" xfId="4202"/>
    <cellStyle name="20% - Accent1 10 5 3" xfId="4201"/>
    <cellStyle name="20% - Accent1 10 6" xfId="163"/>
    <cellStyle name="20% - Accent1 10 6 2" xfId="164"/>
    <cellStyle name="20% - Accent1 10 6 2 2" xfId="4204"/>
    <cellStyle name="20% - Accent1 10 6 3" xfId="4203"/>
    <cellStyle name="20% - Accent1 10 7" xfId="165"/>
    <cellStyle name="20% - Accent1 10 7 2" xfId="166"/>
    <cellStyle name="20% - Accent1 10 7 2 2" xfId="4206"/>
    <cellStyle name="20% - Accent1 10 7 3" xfId="4205"/>
    <cellStyle name="20% - Accent1 10 8" xfId="167"/>
    <cellStyle name="20% - Accent1 10 8 2" xfId="168"/>
    <cellStyle name="20% - Accent1 10 8 2 2" xfId="4208"/>
    <cellStyle name="20% - Accent1 10 8 3" xfId="4207"/>
    <cellStyle name="20% - Accent1 10 9" xfId="169"/>
    <cellStyle name="20% - Accent1 10 9 2" xfId="170"/>
    <cellStyle name="20% - Accent1 10 9 2 2" xfId="4210"/>
    <cellStyle name="20% - Accent1 10 9 3" xfId="4209"/>
    <cellStyle name="20% - Accent1 11" xfId="171"/>
    <cellStyle name="20% - Accent1 11 10" xfId="172"/>
    <cellStyle name="20% - Accent1 11 10 2" xfId="34586"/>
    <cellStyle name="20% - Accent1 11 10 3" xfId="4212"/>
    <cellStyle name="20% - Accent1 11 11" xfId="36257"/>
    <cellStyle name="20% - Accent1 11 12" xfId="9920"/>
    <cellStyle name="20% - Accent1 11 13" xfId="4211"/>
    <cellStyle name="20% - Accent1 11 2" xfId="173"/>
    <cellStyle name="20% - Accent1 11 2 10" xfId="4213"/>
    <cellStyle name="20% - Accent1 11 2 2" xfId="174"/>
    <cellStyle name="20% - Accent1 11 2 2 2" xfId="175"/>
    <cellStyle name="20% - Accent1 11 2 2 2 2" xfId="4215"/>
    <cellStyle name="20% - Accent1 11 2 2 3" xfId="4214"/>
    <cellStyle name="20% - Accent1 11 2 3" xfId="176"/>
    <cellStyle name="20% - Accent1 11 2 3 2" xfId="177"/>
    <cellStyle name="20% - Accent1 11 2 3 2 2" xfId="4217"/>
    <cellStyle name="20% - Accent1 11 2 3 3" xfId="4216"/>
    <cellStyle name="20% - Accent1 11 2 4" xfId="178"/>
    <cellStyle name="20% - Accent1 11 2 4 2" xfId="179"/>
    <cellStyle name="20% - Accent1 11 2 4 2 2" xfId="4219"/>
    <cellStyle name="20% - Accent1 11 2 4 3" xfId="4218"/>
    <cellStyle name="20% - Accent1 11 2 5" xfId="180"/>
    <cellStyle name="20% - Accent1 11 2 5 2" xfId="181"/>
    <cellStyle name="20% - Accent1 11 2 5 2 2" xfId="4221"/>
    <cellStyle name="20% - Accent1 11 2 5 3" xfId="4220"/>
    <cellStyle name="20% - Accent1 11 2 6" xfId="182"/>
    <cellStyle name="20% - Accent1 11 2 6 2" xfId="183"/>
    <cellStyle name="20% - Accent1 11 2 6 2 2" xfId="4223"/>
    <cellStyle name="20% - Accent1 11 2 6 3" xfId="4222"/>
    <cellStyle name="20% - Accent1 11 2 7" xfId="184"/>
    <cellStyle name="20% - Accent1 11 2 7 2" xfId="185"/>
    <cellStyle name="20% - Accent1 11 2 7 2 2" xfId="4225"/>
    <cellStyle name="20% - Accent1 11 2 7 3" xfId="4224"/>
    <cellStyle name="20% - Accent1 11 2 8" xfId="186"/>
    <cellStyle name="20% - Accent1 11 2 8 2" xfId="4226"/>
    <cellStyle name="20% - Accent1 11 2 9" xfId="23710"/>
    <cellStyle name="20% - Accent1 11 3" xfId="187"/>
    <cellStyle name="20% - Accent1 11 3 10" xfId="4227"/>
    <cellStyle name="20% - Accent1 11 3 2" xfId="188"/>
    <cellStyle name="20% - Accent1 11 3 2 2" xfId="189"/>
    <cellStyle name="20% - Accent1 11 3 2 2 2" xfId="4229"/>
    <cellStyle name="20% - Accent1 11 3 2 3" xfId="4228"/>
    <cellStyle name="20% - Accent1 11 3 3" xfId="190"/>
    <cellStyle name="20% - Accent1 11 3 3 2" xfId="191"/>
    <cellStyle name="20% - Accent1 11 3 3 2 2" xfId="4231"/>
    <cellStyle name="20% - Accent1 11 3 3 3" xfId="4230"/>
    <cellStyle name="20% - Accent1 11 3 4" xfId="192"/>
    <cellStyle name="20% - Accent1 11 3 4 2" xfId="193"/>
    <cellStyle name="20% - Accent1 11 3 4 2 2" xfId="4233"/>
    <cellStyle name="20% - Accent1 11 3 4 3" xfId="4232"/>
    <cellStyle name="20% - Accent1 11 3 5" xfId="194"/>
    <cellStyle name="20% - Accent1 11 3 5 2" xfId="195"/>
    <cellStyle name="20% - Accent1 11 3 5 2 2" xfId="4235"/>
    <cellStyle name="20% - Accent1 11 3 5 3" xfId="4234"/>
    <cellStyle name="20% - Accent1 11 3 6" xfId="196"/>
    <cellStyle name="20% - Accent1 11 3 6 2" xfId="197"/>
    <cellStyle name="20% - Accent1 11 3 6 2 2" xfId="4237"/>
    <cellStyle name="20% - Accent1 11 3 6 3" xfId="4236"/>
    <cellStyle name="20% - Accent1 11 3 7" xfId="198"/>
    <cellStyle name="20% - Accent1 11 3 7 2" xfId="199"/>
    <cellStyle name="20% - Accent1 11 3 7 2 2" xfId="4239"/>
    <cellStyle name="20% - Accent1 11 3 7 3" xfId="4238"/>
    <cellStyle name="20% - Accent1 11 3 8" xfId="200"/>
    <cellStyle name="20% - Accent1 11 3 8 2" xfId="4240"/>
    <cellStyle name="20% - Accent1 11 3 9" xfId="27130"/>
    <cellStyle name="20% - Accent1 11 4" xfId="201"/>
    <cellStyle name="20% - Accent1 11 4 2" xfId="202"/>
    <cellStyle name="20% - Accent1 11 4 2 2" xfId="4242"/>
    <cellStyle name="20% - Accent1 11 4 3" xfId="28247"/>
    <cellStyle name="20% - Accent1 11 4 4" xfId="4241"/>
    <cellStyle name="20% - Accent1 11 5" xfId="203"/>
    <cellStyle name="20% - Accent1 11 5 2" xfId="204"/>
    <cellStyle name="20% - Accent1 11 5 2 2" xfId="4244"/>
    <cellStyle name="20% - Accent1 11 5 3" xfId="27528"/>
    <cellStyle name="20% - Accent1 11 5 4" xfId="4243"/>
    <cellStyle name="20% - Accent1 11 6" xfId="205"/>
    <cellStyle name="20% - Accent1 11 6 2" xfId="206"/>
    <cellStyle name="20% - Accent1 11 6 2 2" xfId="4246"/>
    <cellStyle name="20% - Accent1 11 6 3" xfId="23128"/>
    <cellStyle name="20% - Accent1 11 6 4" xfId="4245"/>
    <cellStyle name="20% - Accent1 11 7" xfId="207"/>
    <cellStyle name="20% - Accent1 11 7 2" xfId="208"/>
    <cellStyle name="20% - Accent1 11 7 2 2" xfId="4248"/>
    <cellStyle name="20% - Accent1 11 7 3" xfId="29307"/>
    <cellStyle name="20% - Accent1 11 7 4" xfId="4247"/>
    <cellStyle name="20% - Accent1 11 8" xfId="209"/>
    <cellStyle name="20% - Accent1 11 8 2" xfId="210"/>
    <cellStyle name="20% - Accent1 11 8 2 2" xfId="4250"/>
    <cellStyle name="20% - Accent1 11 8 3" xfId="31088"/>
    <cellStyle name="20% - Accent1 11 8 4" xfId="4249"/>
    <cellStyle name="20% - Accent1 11 9" xfId="211"/>
    <cellStyle name="20% - Accent1 11 9 2" xfId="212"/>
    <cellStyle name="20% - Accent1 11 9 2 2" xfId="4252"/>
    <cellStyle name="20% - Accent1 11 9 3" xfId="32857"/>
    <cellStyle name="20% - Accent1 11 9 4" xfId="4251"/>
    <cellStyle name="20% - Accent1 12" xfId="213"/>
    <cellStyle name="20% - Accent1 12 10" xfId="214"/>
    <cellStyle name="20% - Accent1 12 10 2" xfId="23607"/>
    <cellStyle name="20% - Accent1 12 10 3" xfId="4254"/>
    <cellStyle name="20% - Accent1 12 11" xfId="23203"/>
    <cellStyle name="20% - Accent1 12 12" xfId="9999"/>
    <cellStyle name="20% - Accent1 12 13" xfId="4253"/>
    <cellStyle name="20% - Accent1 12 2" xfId="215"/>
    <cellStyle name="20% - Accent1 12 2 10" xfId="4255"/>
    <cellStyle name="20% - Accent1 12 2 2" xfId="216"/>
    <cellStyle name="20% - Accent1 12 2 2 2" xfId="217"/>
    <cellStyle name="20% - Accent1 12 2 2 2 2" xfId="4257"/>
    <cellStyle name="20% - Accent1 12 2 2 3" xfId="4256"/>
    <cellStyle name="20% - Accent1 12 2 3" xfId="218"/>
    <cellStyle name="20% - Accent1 12 2 3 2" xfId="219"/>
    <cellStyle name="20% - Accent1 12 2 3 2 2" xfId="4259"/>
    <cellStyle name="20% - Accent1 12 2 3 3" xfId="4258"/>
    <cellStyle name="20% - Accent1 12 2 4" xfId="220"/>
    <cellStyle name="20% - Accent1 12 2 4 2" xfId="221"/>
    <cellStyle name="20% - Accent1 12 2 4 2 2" xfId="4261"/>
    <cellStyle name="20% - Accent1 12 2 4 3" xfId="4260"/>
    <cellStyle name="20% - Accent1 12 2 5" xfId="222"/>
    <cellStyle name="20% - Accent1 12 2 5 2" xfId="223"/>
    <cellStyle name="20% - Accent1 12 2 5 2 2" xfId="4263"/>
    <cellStyle name="20% - Accent1 12 2 5 3" xfId="4262"/>
    <cellStyle name="20% - Accent1 12 2 6" xfId="224"/>
    <cellStyle name="20% - Accent1 12 2 6 2" xfId="225"/>
    <cellStyle name="20% - Accent1 12 2 6 2 2" xfId="4265"/>
    <cellStyle name="20% - Accent1 12 2 6 3" xfId="4264"/>
    <cellStyle name="20% - Accent1 12 2 7" xfId="226"/>
    <cellStyle name="20% - Accent1 12 2 7 2" xfId="227"/>
    <cellStyle name="20% - Accent1 12 2 7 2 2" xfId="4267"/>
    <cellStyle name="20% - Accent1 12 2 7 3" xfId="4266"/>
    <cellStyle name="20% - Accent1 12 2 8" xfId="228"/>
    <cellStyle name="20% - Accent1 12 2 8 2" xfId="4268"/>
    <cellStyle name="20% - Accent1 12 2 9" xfId="24869"/>
    <cellStyle name="20% - Accent1 12 3" xfId="229"/>
    <cellStyle name="20% - Accent1 12 3 10" xfId="4269"/>
    <cellStyle name="20% - Accent1 12 3 2" xfId="230"/>
    <cellStyle name="20% - Accent1 12 3 2 2" xfId="231"/>
    <cellStyle name="20% - Accent1 12 3 2 2 2" xfId="4271"/>
    <cellStyle name="20% - Accent1 12 3 2 3" xfId="4270"/>
    <cellStyle name="20% - Accent1 12 3 3" xfId="232"/>
    <cellStyle name="20% - Accent1 12 3 3 2" xfId="233"/>
    <cellStyle name="20% - Accent1 12 3 3 2 2" xfId="4273"/>
    <cellStyle name="20% - Accent1 12 3 3 3" xfId="4272"/>
    <cellStyle name="20% - Accent1 12 3 4" xfId="234"/>
    <cellStyle name="20% - Accent1 12 3 4 2" xfId="235"/>
    <cellStyle name="20% - Accent1 12 3 4 2 2" xfId="4275"/>
    <cellStyle name="20% - Accent1 12 3 4 3" xfId="4274"/>
    <cellStyle name="20% - Accent1 12 3 5" xfId="236"/>
    <cellStyle name="20% - Accent1 12 3 5 2" xfId="237"/>
    <cellStyle name="20% - Accent1 12 3 5 2 2" xfId="4277"/>
    <cellStyle name="20% - Accent1 12 3 5 3" xfId="4276"/>
    <cellStyle name="20% - Accent1 12 3 6" xfId="238"/>
    <cellStyle name="20% - Accent1 12 3 6 2" xfId="239"/>
    <cellStyle name="20% - Accent1 12 3 6 2 2" xfId="4279"/>
    <cellStyle name="20% - Accent1 12 3 6 3" xfId="4278"/>
    <cellStyle name="20% - Accent1 12 3 7" xfId="240"/>
    <cellStyle name="20% - Accent1 12 3 7 2" xfId="241"/>
    <cellStyle name="20% - Accent1 12 3 7 2 2" xfId="4281"/>
    <cellStyle name="20% - Accent1 12 3 7 3" xfId="4280"/>
    <cellStyle name="20% - Accent1 12 3 8" xfId="242"/>
    <cellStyle name="20% - Accent1 12 3 8 2" xfId="4282"/>
    <cellStyle name="20% - Accent1 12 3 9" xfId="28257"/>
    <cellStyle name="20% - Accent1 12 4" xfId="243"/>
    <cellStyle name="20% - Accent1 12 4 2" xfId="244"/>
    <cellStyle name="20% - Accent1 12 4 2 2" xfId="4284"/>
    <cellStyle name="20% - Accent1 12 4 3" xfId="27518"/>
    <cellStyle name="20% - Accent1 12 4 4" xfId="4283"/>
    <cellStyle name="20% - Accent1 12 5" xfId="245"/>
    <cellStyle name="20% - Accent1 12 5 2" xfId="246"/>
    <cellStyle name="20% - Accent1 12 5 2 2" xfId="4286"/>
    <cellStyle name="20% - Accent1 12 5 3" xfId="23471"/>
    <cellStyle name="20% - Accent1 12 5 4" xfId="4285"/>
    <cellStyle name="20% - Accent1 12 6" xfId="247"/>
    <cellStyle name="20% - Accent1 12 6 2" xfId="248"/>
    <cellStyle name="20% - Accent1 12 6 2 2" xfId="4288"/>
    <cellStyle name="20% - Accent1 12 6 3" xfId="28588"/>
    <cellStyle name="20% - Accent1 12 6 4" xfId="4287"/>
    <cellStyle name="20% - Accent1 12 7" xfId="249"/>
    <cellStyle name="20% - Accent1 12 7 2" xfId="250"/>
    <cellStyle name="20% - Accent1 12 7 2 2" xfId="4290"/>
    <cellStyle name="20% - Accent1 12 7 3" xfId="26381"/>
    <cellStyle name="20% - Accent1 12 7 4" xfId="4289"/>
    <cellStyle name="20% - Accent1 12 8" xfId="251"/>
    <cellStyle name="20% - Accent1 12 8 2" xfId="252"/>
    <cellStyle name="20% - Accent1 12 8 2 2" xfId="4292"/>
    <cellStyle name="20% - Accent1 12 8 3" xfId="28377"/>
    <cellStyle name="20% - Accent1 12 8 4" xfId="4291"/>
    <cellStyle name="20% - Accent1 12 9" xfId="253"/>
    <cellStyle name="20% - Accent1 12 9 2" xfId="254"/>
    <cellStyle name="20% - Accent1 12 9 2 2" xfId="4294"/>
    <cellStyle name="20% - Accent1 12 9 3" xfId="27403"/>
    <cellStyle name="20% - Accent1 12 9 4" xfId="4293"/>
    <cellStyle name="20% - Accent1 13" xfId="255"/>
    <cellStyle name="20% - Accent1 13 10" xfId="41306"/>
    <cellStyle name="20% - Accent1 13 11" xfId="42357"/>
    <cellStyle name="20% - Accent1 13 12" xfId="10078"/>
    <cellStyle name="20% - Accent1 13 13" xfId="4295"/>
    <cellStyle name="20% - Accent1 13 2" xfId="256"/>
    <cellStyle name="20% - Accent1 13 2 2" xfId="257"/>
    <cellStyle name="20% - Accent1 13 2 2 2" xfId="4297"/>
    <cellStyle name="20% - Accent1 13 2 3" xfId="26851"/>
    <cellStyle name="20% - Accent1 13 2 4" xfId="4296"/>
    <cellStyle name="20% - Accent1 13 3" xfId="258"/>
    <cellStyle name="20% - Accent1 13 3 2" xfId="259"/>
    <cellStyle name="20% - Accent1 13 3 2 2" xfId="4299"/>
    <cellStyle name="20% - Accent1 13 3 3" xfId="30179"/>
    <cellStyle name="20% - Accent1 13 3 4" xfId="4298"/>
    <cellStyle name="20% - Accent1 13 4" xfId="260"/>
    <cellStyle name="20% - Accent1 13 4 2" xfId="261"/>
    <cellStyle name="20% - Accent1 13 4 2 2" xfId="4301"/>
    <cellStyle name="20% - Accent1 13 4 3" xfId="31954"/>
    <cellStyle name="20% - Accent1 13 4 4" xfId="4300"/>
    <cellStyle name="20% - Accent1 13 5" xfId="262"/>
    <cellStyle name="20% - Accent1 13 5 2" xfId="263"/>
    <cellStyle name="20% - Accent1 13 5 2 2" xfId="4303"/>
    <cellStyle name="20% - Accent1 13 5 3" xfId="33709"/>
    <cellStyle name="20% - Accent1 13 5 4" xfId="4302"/>
    <cellStyle name="20% - Accent1 13 6" xfId="264"/>
    <cellStyle name="20% - Accent1 13 6 2" xfId="265"/>
    <cellStyle name="20% - Accent1 13 6 2 2" xfId="4305"/>
    <cellStyle name="20% - Accent1 13 6 3" xfId="35422"/>
    <cellStyle name="20% - Accent1 13 6 4" xfId="4304"/>
    <cellStyle name="20% - Accent1 13 7" xfId="266"/>
    <cellStyle name="20% - Accent1 13 7 2" xfId="267"/>
    <cellStyle name="20% - Accent1 13 7 2 2" xfId="4307"/>
    <cellStyle name="20% - Accent1 13 7 3" xfId="37067"/>
    <cellStyle name="20% - Accent1 13 7 4" xfId="4306"/>
    <cellStyle name="20% - Accent1 13 8" xfId="268"/>
    <cellStyle name="20% - Accent1 13 8 2" xfId="38624"/>
    <cellStyle name="20% - Accent1 13 8 3" xfId="4308"/>
    <cellStyle name="20% - Accent1 13 9" xfId="40058"/>
    <cellStyle name="20% - Accent1 14" xfId="269"/>
    <cellStyle name="20% - Accent1 14 10" xfId="40893"/>
    <cellStyle name="20% - Accent1 14 11" xfId="41972"/>
    <cellStyle name="20% - Accent1 14 12" xfId="10142"/>
    <cellStyle name="20% - Accent1 14 13" xfId="4309"/>
    <cellStyle name="20% - Accent1 14 2" xfId="270"/>
    <cellStyle name="20% - Accent1 14 2 2" xfId="271"/>
    <cellStyle name="20% - Accent1 14 2 2 2" xfId="4311"/>
    <cellStyle name="20% - Accent1 14 2 3" xfId="26356"/>
    <cellStyle name="20% - Accent1 14 2 4" xfId="4310"/>
    <cellStyle name="20% - Accent1 14 3" xfId="272"/>
    <cellStyle name="20% - Accent1 14 3 2" xfId="273"/>
    <cellStyle name="20% - Accent1 14 3 2 2" xfId="4313"/>
    <cellStyle name="20% - Accent1 14 3 3" xfId="29687"/>
    <cellStyle name="20% - Accent1 14 3 4" xfId="4312"/>
    <cellStyle name="20% - Accent1 14 4" xfId="274"/>
    <cellStyle name="20% - Accent1 14 4 2" xfId="275"/>
    <cellStyle name="20% - Accent1 14 4 2 2" xfId="4315"/>
    <cellStyle name="20% - Accent1 14 4 3" xfId="31462"/>
    <cellStyle name="20% - Accent1 14 4 4" xfId="4314"/>
    <cellStyle name="20% - Accent1 14 5" xfId="276"/>
    <cellStyle name="20% - Accent1 14 5 2" xfId="277"/>
    <cellStyle name="20% - Accent1 14 5 2 2" xfId="4317"/>
    <cellStyle name="20% - Accent1 14 5 3" xfId="33223"/>
    <cellStyle name="20% - Accent1 14 5 4" xfId="4316"/>
    <cellStyle name="20% - Accent1 14 6" xfId="278"/>
    <cellStyle name="20% - Accent1 14 6 2" xfId="279"/>
    <cellStyle name="20% - Accent1 14 6 2 2" xfId="4319"/>
    <cellStyle name="20% - Accent1 14 6 3" xfId="34941"/>
    <cellStyle name="20% - Accent1 14 6 4" xfId="4318"/>
    <cellStyle name="20% - Accent1 14 7" xfId="280"/>
    <cellStyle name="20% - Accent1 14 7 2" xfId="281"/>
    <cellStyle name="20% - Accent1 14 7 2 2" xfId="4321"/>
    <cellStyle name="20% - Accent1 14 7 3" xfId="36594"/>
    <cellStyle name="20% - Accent1 14 7 4" xfId="4320"/>
    <cellStyle name="20% - Accent1 14 8" xfId="282"/>
    <cellStyle name="20% - Accent1 14 8 2" xfId="38168"/>
    <cellStyle name="20% - Accent1 14 8 3" xfId="4322"/>
    <cellStyle name="20% - Accent1 14 9" xfId="39621"/>
    <cellStyle name="20% - Accent1 15" xfId="283"/>
    <cellStyle name="20% - Accent1 15 10" xfId="20406"/>
    <cellStyle name="20% - Accent1 15 11" xfId="21242"/>
    <cellStyle name="20% - Accent1 15 12" xfId="22042"/>
    <cellStyle name="20% - Accent1 15 13" xfId="26745"/>
    <cellStyle name="20% - Accent1 15 14" xfId="30074"/>
    <cellStyle name="20% - Accent1 15 15" xfId="31849"/>
    <cellStyle name="20% - Accent1 15 16" xfId="33605"/>
    <cellStyle name="20% - Accent1 15 17" xfId="35318"/>
    <cellStyle name="20% - Accent1 15 18" xfId="36964"/>
    <cellStyle name="20% - Accent1 15 19" xfId="38525"/>
    <cellStyle name="20% - Accent1 15 2" xfId="284"/>
    <cellStyle name="20% - Accent1 15 2 2" xfId="285"/>
    <cellStyle name="20% - Accent1 15 2 2 2" xfId="4325"/>
    <cellStyle name="20% - Accent1 15 2 3" xfId="12956"/>
    <cellStyle name="20% - Accent1 15 2 4" xfId="4324"/>
    <cellStyle name="20% - Accent1 15 20" xfId="39965"/>
    <cellStyle name="20% - Accent1 15 21" xfId="41218"/>
    <cellStyle name="20% - Accent1 15 22" xfId="42274"/>
    <cellStyle name="20% - Accent1 15 23" xfId="10143"/>
    <cellStyle name="20% - Accent1 15 24" xfId="4323"/>
    <cellStyle name="20% - Accent1 15 3" xfId="286"/>
    <cellStyle name="20% - Accent1 15 3 2" xfId="287"/>
    <cellStyle name="20% - Accent1 15 3 2 2" xfId="4327"/>
    <cellStyle name="20% - Accent1 15 3 3" xfId="14082"/>
    <cellStyle name="20% - Accent1 15 3 4" xfId="4326"/>
    <cellStyle name="20% - Accent1 15 4" xfId="288"/>
    <cellStyle name="20% - Accent1 15 4 2" xfId="289"/>
    <cellStyle name="20% - Accent1 15 4 2 2" xfId="4329"/>
    <cellStyle name="20% - Accent1 15 4 3" xfId="15012"/>
    <cellStyle name="20% - Accent1 15 4 4" xfId="4328"/>
    <cellStyle name="20% - Accent1 15 5" xfId="290"/>
    <cellStyle name="20% - Accent1 15 5 2" xfId="291"/>
    <cellStyle name="20% - Accent1 15 5 2 2" xfId="4331"/>
    <cellStyle name="20% - Accent1 15 5 3" xfId="15939"/>
    <cellStyle name="20% - Accent1 15 5 4" xfId="4330"/>
    <cellStyle name="20% - Accent1 15 6" xfId="292"/>
    <cellStyle name="20% - Accent1 15 6 2" xfId="293"/>
    <cellStyle name="20% - Accent1 15 6 2 2" xfId="4333"/>
    <cellStyle name="20% - Accent1 15 6 3" xfId="16869"/>
    <cellStyle name="20% - Accent1 15 6 4" xfId="4332"/>
    <cellStyle name="20% - Accent1 15 7" xfId="294"/>
    <cellStyle name="20% - Accent1 15 7 2" xfId="295"/>
    <cellStyle name="20% - Accent1 15 7 2 2" xfId="4335"/>
    <cellStyle name="20% - Accent1 15 7 3" xfId="17777"/>
    <cellStyle name="20% - Accent1 15 7 4" xfId="4334"/>
    <cellStyle name="20% - Accent1 15 8" xfId="296"/>
    <cellStyle name="20% - Accent1 15 8 2" xfId="18667"/>
    <cellStyle name="20% - Accent1 15 8 3" xfId="4336"/>
    <cellStyle name="20% - Accent1 15 9" xfId="19545"/>
    <cellStyle name="20% - Accent1 16" xfId="297"/>
    <cellStyle name="20% - Accent1 16 10" xfId="20485"/>
    <cellStyle name="20% - Accent1 16 11" xfId="21321"/>
    <cellStyle name="20% - Accent1 16 12" xfId="22118"/>
    <cellStyle name="20% - Accent1 16 13" xfId="26471"/>
    <cellStyle name="20% - Accent1 16 14" xfId="29802"/>
    <cellStyle name="20% - Accent1 16 15" xfId="31577"/>
    <cellStyle name="20% - Accent1 16 16" xfId="33336"/>
    <cellStyle name="20% - Accent1 16 17" xfId="35052"/>
    <cellStyle name="20% - Accent1 16 18" xfId="36703"/>
    <cellStyle name="20% - Accent1 16 19" xfId="38272"/>
    <cellStyle name="20% - Accent1 16 2" xfId="298"/>
    <cellStyle name="20% - Accent1 16 2 2" xfId="299"/>
    <cellStyle name="20% - Accent1 16 2 2 2" xfId="4339"/>
    <cellStyle name="20% - Accent1 16 2 3" xfId="13035"/>
    <cellStyle name="20% - Accent1 16 2 4" xfId="4338"/>
    <cellStyle name="20% - Accent1 16 20" xfId="39722"/>
    <cellStyle name="20% - Accent1 16 21" xfId="40989"/>
    <cellStyle name="20% - Accent1 16 22" xfId="42063"/>
    <cellStyle name="20% - Accent1 16 23" xfId="10439"/>
    <cellStyle name="20% - Accent1 16 24" xfId="4337"/>
    <cellStyle name="20% - Accent1 16 3" xfId="300"/>
    <cellStyle name="20% - Accent1 16 3 2" xfId="301"/>
    <cellStyle name="20% - Accent1 16 3 2 2" xfId="4341"/>
    <cellStyle name="20% - Accent1 16 3 3" xfId="14161"/>
    <cellStyle name="20% - Accent1 16 3 4" xfId="4340"/>
    <cellStyle name="20% - Accent1 16 4" xfId="302"/>
    <cellStyle name="20% - Accent1 16 4 2" xfId="303"/>
    <cellStyle name="20% - Accent1 16 4 2 2" xfId="4343"/>
    <cellStyle name="20% - Accent1 16 4 3" xfId="15091"/>
    <cellStyle name="20% - Accent1 16 4 4" xfId="4342"/>
    <cellStyle name="20% - Accent1 16 5" xfId="304"/>
    <cellStyle name="20% - Accent1 16 5 2" xfId="305"/>
    <cellStyle name="20% - Accent1 16 5 2 2" xfId="4345"/>
    <cellStyle name="20% - Accent1 16 5 3" xfId="16018"/>
    <cellStyle name="20% - Accent1 16 5 4" xfId="4344"/>
    <cellStyle name="20% - Accent1 16 6" xfId="306"/>
    <cellStyle name="20% - Accent1 16 6 2" xfId="307"/>
    <cellStyle name="20% - Accent1 16 6 2 2" xfId="4347"/>
    <cellStyle name="20% - Accent1 16 6 3" xfId="16948"/>
    <cellStyle name="20% - Accent1 16 6 4" xfId="4346"/>
    <cellStyle name="20% - Accent1 16 7" xfId="308"/>
    <cellStyle name="20% - Accent1 16 7 2" xfId="309"/>
    <cellStyle name="20% - Accent1 16 7 2 2" xfId="4349"/>
    <cellStyle name="20% - Accent1 16 7 3" xfId="17856"/>
    <cellStyle name="20% - Accent1 16 7 4" xfId="4348"/>
    <cellStyle name="20% - Accent1 16 8" xfId="310"/>
    <cellStyle name="20% - Accent1 16 8 2" xfId="18746"/>
    <cellStyle name="20% - Accent1 16 8 3" xfId="4350"/>
    <cellStyle name="20% - Accent1 16 9" xfId="19624"/>
    <cellStyle name="20% - Accent1 17" xfId="311"/>
    <cellStyle name="20% - Accent1 17 10" xfId="20566"/>
    <cellStyle name="20% - Accent1 17 11" xfId="21402"/>
    <cellStyle name="20% - Accent1 17 12" xfId="22196"/>
    <cellStyle name="20% - Accent1 17 13" xfId="26861"/>
    <cellStyle name="20% - Accent1 17 14" xfId="30189"/>
    <cellStyle name="20% - Accent1 17 15" xfId="31964"/>
    <cellStyle name="20% - Accent1 17 16" xfId="33719"/>
    <cellStyle name="20% - Accent1 17 17" xfId="35432"/>
    <cellStyle name="20% - Accent1 17 18" xfId="37077"/>
    <cellStyle name="20% - Accent1 17 19" xfId="38633"/>
    <cellStyle name="20% - Accent1 17 2" xfId="312"/>
    <cellStyle name="20% - Accent1 17 2 2" xfId="313"/>
    <cellStyle name="20% - Accent1 17 2 2 2" xfId="4353"/>
    <cellStyle name="20% - Accent1 17 2 3" xfId="13116"/>
    <cellStyle name="20% - Accent1 17 2 4" xfId="4352"/>
    <cellStyle name="20% - Accent1 17 20" xfId="40067"/>
    <cellStyle name="20% - Accent1 17 21" xfId="41315"/>
    <cellStyle name="20% - Accent1 17 22" xfId="42366"/>
    <cellStyle name="20% - Accent1 17 23" xfId="10609"/>
    <cellStyle name="20% - Accent1 17 24" xfId="4351"/>
    <cellStyle name="20% - Accent1 17 3" xfId="314"/>
    <cellStyle name="20% - Accent1 17 3 2" xfId="315"/>
    <cellStyle name="20% - Accent1 17 3 2 2" xfId="4355"/>
    <cellStyle name="20% - Accent1 17 3 3" xfId="14242"/>
    <cellStyle name="20% - Accent1 17 3 4" xfId="4354"/>
    <cellStyle name="20% - Accent1 17 4" xfId="316"/>
    <cellStyle name="20% - Accent1 17 4 2" xfId="317"/>
    <cellStyle name="20% - Accent1 17 4 2 2" xfId="4357"/>
    <cellStyle name="20% - Accent1 17 4 3" xfId="15171"/>
    <cellStyle name="20% - Accent1 17 4 4" xfId="4356"/>
    <cellStyle name="20% - Accent1 17 5" xfId="318"/>
    <cellStyle name="20% - Accent1 17 5 2" xfId="319"/>
    <cellStyle name="20% - Accent1 17 5 2 2" xfId="4359"/>
    <cellStyle name="20% - Accent1 17 5 3" xfId="16099"/>
    <cellStyle name="20% - Accent1 17 5 4" xfId="4358"/>
    <cellStyle name="20% - Accent1 17 6" xfId="320"/>
    <cellStyle name="20% - Accent1 17 6 2" xfId="321"/>
    <cellStyle name="20% - Accent1 17 6 2 2" xfId="4361"/>
    <cellStyle name="20% - Accent1 17 6 3" xfId="17029"/>
    <cellStyle name="20% - Accent1 17 6 4" xfId="4360"/>
    <cellStyle name="20% - Accent1 17 7" xfId="322"/>
    <cellStyle name="20% - Accent1 17 7 2" xfId="323"/>
    <cellStyle name="20% - Accent1 17 7 2 2" xfId="4363"/>
    <cellStyle name="20% - Accent1 17 7 3" xfId="17937"/>
    <cellStyle name="20% - Accent1 17 7 4" xfId="4362"/>
    <cellStyle name="20% - Accent1 17 8" xfId="324"/>
    <cellStyle name="20% - Accent1 17 8 2" xfId="18827"/>
    <cellStyle name="20% - Accent1 17 8 3" xfId="4364"/>
    <cellStyle name="20% - Accent1 17 9" xfId="19705"/>
    <cellStyle name="20% - Accent1 18" xfId="325"/>
    <cellStyle name="20% - Accent1 18 10" xfId="20645"/>
    <cellStyle name="20% - Accent1 18 11" xfId="21482"/>
    <cellStyle name="20% - Accent1 18 12" xfId="22273"/>
    <cellStyle name="20% - Accent1 18 13" xfId="26346"/>
    <cellStyle name="20% - Accent1 18 14" xfId="29677"/>
    <cellStyle name="20% - Accent1 18 15" xfId="31452"/>
    <cellStyle name="20% - Accent1 18 16" xfId="33214"/>
    <cellStyle name="20% - Accent1 18 17" xfId="34932"/>
    <cellStyle name="20% - Accent1 18 18" xfId="36585"/>
    <cellStyle name="20% - Accent1 18 19" xfId="38159"/>
    <cellStyle name="20% - Accent1 18 2" xfId="326"/>
    <cellStyle name="20% - Accent1 18 2 2" xfId="327"/>
    <cellStyle name="20% - Accent1 18 2 2 2" xfId="4367"/>
    <cellStyle name="20% - Accent1 18 2 3" xfId="13196"/>
    <cellStyle name="20% - Accent1 18 2 4" xfId="4366"/>
    <cellStyle name="20% - Accent1 18 20" xfId="39612"/>
    <cellStyle name="20% - Accent1 18 21" xfId="40884"/>
    <cellStyle name="20% - Accent1 18 22" xfId="41963"/>
    <cellStyle name="20% - Accent1 18 23" xfId="10409"/>
    <cellStyle name="20% - Accent1 18 24" xfId="4365"/>
    <cellStyle name="20% - Accent1 18 3" xfId="328"/>
    <cellStyle name="20% - Accent1 18 3 2" xfId="329"/>
    <cellStyle name="20% - Accent1 18 3 2 2" xfId="4369"/>
    <cellStyle name="20% - Accent1 18 3 3" xfId="14322"/>
    <cellStyle name="20% - Accent1 18 3 4" xfId="4368"/>
    <cellStyle name="20% - Accent1 18 4" xfId="330"/>
    <cellStyle name="20% - Accent1 18 4 2" xfId="331"/>
    <cellStyle name="20% - Accent1 18 4 2 2" xfId="4371"/>
    <cellStyle name="20% - Accent1 18 4 3" xfId="15250"/>
    <cellStyle name="20% - Accent1 18 4 4" xfId="4370"/>
    <cellStyle name="20% - Accent1 18 5" xfId="332"/>
    <cellStyle name="20% - Accent1 18 5 2" xfId="333"/>
    <cellStyle name="20% - Accent1 18 5 2 2" xfId="4373"/>
    <cellStyle name="20% - Accent1 18 5 3" xfId="16179"/>
    <cellStyle name="20% - Accent1 18 5 4" xfId="4372"/>
    <cellStyle name="20% - Accent1 18 6" xfId="334"/>
    <cellStyle name="20% - Accent1 18 6 2" xfId="335"/>
    <cellStyle name="20% - Accent1 18 6 2 2" xfId="4375"/>
    <cellStyle name="20% - Accent1 18 6 3" xfId="17109"/>
    <cellStyle name="20% - Accent1 18 6 4" xfId="4374"/>
    <cellStyle name="20% - Accent1 18 7" xfId="336"/>
    <cellStyle name="20% - Accent1 18 7 2" xfId="337"/>
    <cellStyle name="20% - Accent1 18 7 2 2" xfId="4377"/>
    <cellStyle name="20% - Accent1 18 7 3" xfId="18017"/>
    <cellStyle name="20% - Accent1 18 7 4" xfId="4376"/>
    <cellStyle name="20% - Accent1 18 8" xfId="338"/>
    <cellStyle name="20% - Accent1 18 8 2" xfId="18907"/>
    <cellStyle name="20% - Accent1 18 8 3" xfId="4378"/>
    <cellStyle name="20% - Accent1 18 9" xfId="19785"/>
    <cellStyle name="20% - Accent1 19" xfId="339"/>
    <cellStyle name="20% - Accent1 19 10" xfId="20723"/>
    <cellStyle name="20% - Accent1 19 11" xfId="21561"/>
    <cellStyle name="20% - Accent1 19 12" xfId="22349"/>
    <cellStyle name="20% - Accent1 19 13" xfId="26758"/>
    <cellStyle name="20% - Accent1 19 14" xfId="30087"/>
    <cellStyle name="20% - Accent1 19 15" xfId="31862"/>
    <cellStyle name="20% - Accent1 19 16" xfId="33618"/>
    <cellStyle name="20% - Accent1 19 17" xfId="35331"/>
    <cellStyle name="20% - Accent1 19 18" xfId="36977"/>
    <cellStyle name="20% - Accent1 19 19" xfId="38538"/>
    <cellStyle name="20% - Accent1 19 2" xfId="340"/>
    <cellStyle name="20% - Accent1 19 2 2" xfId="341"/>
    <cellStyle name="20% - Accent1 19 2 2 2" xfId="4381"/>
    <cellStyle name="20% - Accent1 19 2 3" xfId="13275"/>
    <cellStyle name="20% - Accent1 19 2 4" xfId="4380"/>
    <cellStyle name="20% - Accent1 19 20" xfId="39977"/>
    <cellStyle name="20% - Accent1 19 21" xfId="41230"/>
    <cellStyle name="20% - Accent1 19 22" xfId="42286"/>
    <cellStyle name="20% - Accent1 19 23" xfId="11131"/>
    <cellStyle name="20% - Accent1 19 24" xfId="4379"/>
    <cellStyle name="20% - Accent1 19 3" xfId="342"/>
    <cellStyle name="20% - Accent1 19 3 2" xfId="343"/>
    <cellStyle name="20% - Accent1 19 3 2 2" xfId="4383"/>
    <cellStyle name="20% - Accent1 19 3 3" xfId="14400"/>
    <cellStyle name="20% - Accent1 19 3 4" xfId="4382"/>
    <cellStyle name="20% - Accent1 19 4" xfId="344"/>
    <cellStyle name="20% - Accent1 19 4 2" xfId="345"/>
    <cellStyle name="20% - Accent1 19 4 2 2" xfId="4385"/>
    <cellStyle name="20% - Accent1 19 4 3" xfId="15328"/>
    <cellStyle name="20% - Accent1 19 4 4" xfId="4384"/>
    <cellStyle name="20% - Accent1 19 5" xfId="346"/>
    <cellStyle name="20% - Accent1 19 5 2" xfId="347"/>
    <cellStyle name="20% - Accent1 19 5 2 2" xfId="4387"/>
    <cellStyle name="20% - Accent1 19 5 3" xfId="16258"/>
    <cellStyle name="20% - Accent1 19 5 4" xfId="4386"/>
    <cellStyle name="20% - Accent1 19 6" xfId="348"/>
    <cellStyle name="20% - Accent1 19 6 2" xfId="349"/>
    <cellStyle name="20% - Accent1 19 6 2 2" xfId="4389"/>
    <cellStyle name="20% - Accent1 19 6 3" xfId="17188"/>
    <cellStyle name="20% - Accent1 19 6 4" xfId="4388"/>
    <cellStyle name="20% - Accent1 19 7" xfId="350"/>
    <cellStyle name="20% - Accent1 19 7 2" xfId="351"/>
    <cellStyle name="20% - Accent1 19 7 2 2" xfId="4391"/>
    <cellStyle name="20% - Accent1 19 7 3" xfId="18096"/>
    <cellStyle name="20% - Accent1 19 7 4" xfId="4390"/>
    <cellStyle name="20% - Accent1 19 8" xfId="352"/>
    <cellStyle name="20% - Accent1 19 8 2" xfId="18986"/>
    <cellStyle name="20% - Accent1 19 8 3" xfId="4392"/>
    <cellStyle name="20% - Accent1 19 9" xfId="19863"/>
    <cellStyle name="20% - Accent1 2" xfId="353"/>
    <cellStyle name="20% - Accent1 2 10" xfId="354"/>
    <cellStyle name="20% - Accent1 2 10 2" xfId="11993"/>
    <cellStyle name="20% - Accent1 2 10 3" xfId="4394"/>
    <cellStyle name="20% - Accent1 2 11" xfId="12295"/>
    <cellStyle name="20% - Accent1 2 12" xfId="12425"/>
    <cellStyle name="20% - Accent1 2 13" xfId="12303"/>
    <cellStyle name="20% - Accent1 2 14" xfId="10814"/>
    <cellStyle name="20% - Accent1 2 15" xfId="15792"/>
    <cellStyle name="20% - Accent1 2 16" xfId="14791"/>
    <cellStyle name="20% - Accent1 2 17" xfId="12529"/>
    <cellStyle name="20% - Accent1 2 18" xfId="13839"/>
    <cellStyle name="20% - Accent1 2 19" xfId="12306"/>
    <cellStyle name="20% - Accent1 2 2" xfId="355"/>
    <cellStyle name="20% - Accent1 2 2 10" xfId="4395"/>
    <cellStyle name="20% - Accent1 2 2 2" xfId="356"/>
    <cellStyle name="20% - Accent1 2 2 2 2" xfId="357"/>
    <cellStyle name="20% - Accent1 2 2 2 2 2" xfId="4397"/>
    <cellStyle name="20% - Accent1 2 2 2 3" xfId="9543"/>
    <cellStyle name="20% - Accent1 2 2 2 4" xfId="4396"/>
    <cellStyle name="20% - Accent1 2 2 3" xfId="358"/>
    <cellStyle name="20% - Accent1 2 2 3 2" xfId="359"/>
    <cellStyle name="20% - Accent1 2 2 3 2 2" xfId="4399"/>
    <cellStyle name="20% - Accent1 2 2 3 3" xfId="4398"/>
    <cellStyle name="20% - Accent1 2 2 4" xfId="360"/>
    <cellStyle name="20% - Accent1 2 2 4 2" xfId="361"/>
    <cellStyle name="20% - Accent1 2 2 4 2 2" xfId="4401"/>
    <cellStyle name="20% - Accent1 2 2 4 3" xfId="4400"/>
    <cellStyle name="20% - Accent1 2 2 5" xfId="362"/>
    <cellStyle name="20% - Accent1 2 2 5 2" xfId="363"/>
    <cellStyle name="20% - Accent1 2 2 5 2 2" xfId="4403"/>
    <cellStyle name="20% - Accent1 2 2 5 3" xfId="4402"/>
    <cellStyle name="20% - Accent1 2 2 6" xfId="364"/>
    <cellStyle name="20% - Accent1 2 2 6 2" xfId="365"/>
    <cellStyle name="20% - Accent1 2 2 6 2 2" xfId="4405"/>
    <cellStyle name="20% - Accent1 2 2 6 3" xfId="4404"/>
    <cellStyle name="20% - Accent1 2 2 7" xfId="366"/>
    <cellStyle name="20% - Accent1 2 2 7 2" xfId="367"/>
    <cellStyle name="20% - Accent1 2 2 7 2 2" xfId="4407"/>
    <cellStyle name="20% - Accent1 2 2 7 3" xfId="4406"/>
    <cellStyle name="20% - Accent1 2 2 8" xfId="368"/>
    <cellStyle name="20% - Accent1 2 2 8 2" xfId="4408"/>
    <cellStyle name="20% - Accent1 2 2 9" xfId="9341"/>
    <cellStyle name="20% - Accent1 2 20" xfId="17643"/>
    <cellStyle name="20% - Accent1 2 21" xfId="21158"/>
    <cellStyle name="20% - Accent1 2 22" xfId="12766"/>
    <cellStyle name="20% - Accent1 2 23" xfId="22978"/>
    <cellStyle name="20% - Accent1 2 24" xfId="23167"/>
    <cellStyle name="20% - Accent1 2 25" xfId="28793"/>
    <cellStyle name="20% - Accent1 2 26" xfId="30581"/>
    <cellStyle name="20% - Accent1 2 27" xfId="32355"/>
    <cellStyle name="20% - Accent1 2 28" xfId="34107"/>
    <cellStyle name="20% - Accent1 2 29" xfId="35817"/>
    <cellStyle name="20% - Accent1 2 3" xfId="369"/>
    <cellStyle name="20% - Accent1 2 3 10" xfId="4409"/>
    <cellStyle name="20% - Accent1 2 3 2" xfId="370"/>
    <cellStyle name="20% - Accent1 2 3 2 2" xfId="371"/>
    <cellStyle name="20% - Accent1 2 3 2 2 2" xfId="4411"/>
    <cellStyle name="20% - Accent1 2 3 2 3" xfId="4410"/>
    <cellStyle name="20% - Accent1 2 3 3" xfId="372"/>
    <cellStyle name="20% - Accent1 2 3 3 2" xfId="373"/>
    <cellStyle name="20% - Accent1 2 3 3 2 2" xfId="4413"/>
    <cellStyle name="20% - Accent1 2 3 3 3" xfId="4412"/>
    <cellStyle name="20% - Accent1 2 3 4" xfId="374"/>
    <cellStyle name="20% - Accent1 2 3 4 2" xfId="375"/>
    <cellStyle name="20% - Accent1 2 3 4 2 2" xfId="4415"/>
    <cellStyle name="20% - Accent1 2 3 4 3" xfId="4414"/>
    <cellStyle name="20% - Accent1 2 3 5" xfId="376"/>
    <cellStyle name="20% - Accent1 2 3 5 2" xfId="377"/>
    <cellStyle name="20% - Accent1 2 3 5 2 2" xfId="4417"/>
    <cellStyle name="20% - Accent1 2 3 5 3" xfId="4416"/>
    <cellStyle name="20% - Accent1 2 3 6" xfId="378"/>
    <cellStyle name="20% - Accent1 2 3 6 2" xfId="379"/>
    <cellStyle name="20% - Accent1 2 3 6 2 2" xfId="4419"/>
    <cellStyle name="20% - Accent1 2 3 6 3" xfId="4418"/>
    <cellStyle name="20% - Accent1 2 3 7" xfId="380"/>
    <cellStyle name="20% - Accent1 2 3 7 2" xfId="381"/>
    <cellStyle name="20% - Accent1 2 3 7 2 2" xfId="4421"/>
    <cellStyle name="20% - Accent1 2 3 7 3" xfId="4420"/>
    <cellStyle name="20% - Accent1 2 3 8" xfId="382"/>
    <cellStyle name="20% - Accent1 2 3 8 2" xfId="4422"/>
    <cellStyle name="20% - Accent1 2 3 9" xfId="10296"/>
    <cellStyle name="20% - Accent1 2 30" xfId="37453"/>
    <cellStyle name="20% - Accent1 2 31" xfId="39000"/>
    <cellStyle name="20% - Accent1 2 32" xfId="40417"/>
    <cellStyle name="20% - Accent1 2 33" xfId="8688"/>
    <cellStyle name="20% - Accent1 2 34" xfId="4393"/>
    <cellStyle name="20% - Accent1 2 4" xfId="383"/>
    <cellStyle name="20% - Accent1 2 4 2" xfId="384"/>
    <cellStyle name="20% - Accent1 2 4 2 2" xfId="4424"/>
    <cellStyle name="20% - Accent1 2 4 3" xfId="10848"/>
    <cellStyle name="20% - Accent1 2 4 4" xfId="4423"/>
    <cellStyle name="20% - Accent1 2 5" xfId="385"/>
    <cellStyle name="20% - Accent1 2 5 2" xfId="386"/>
    <cellStyle name="20% - Accent1 2 5 2 2" xfId="4426"/>
    <cellStyle name="20% - Accent1 2 5 3" xfId="11186"/>
    <cellStyle name="20% - Accent1 2 5 4" xfId="4425"/>
    <cellStyle name="20% - Accent1 2 6" xfId="387"/>
    <cellStyle name="20% - Accent1 2 6 2" xfId="388"/>
    <cellStyle name="20% - Accent1 2 6 2 2" xfId="4428"/>
    <cellStyle name="20% - Accent1 2 6 3" xfId="11379"/>
    <cellStyle name="20% - Accent1 2 6 4" xfId="4427"/>
    <cellStyle name="20% - Accent1 2 7" xfId="389"/>
    <cellStyle name="20% - Accent1 2 7 2" xfId="390"/>
    <cellStyle name="20% - Accent1 2 7 2 2" xfId="4430"/>
    <cellStyle name="20% - Accent1 2 7 3" xfId="11569"/>
    <cellStyle name="20% - Accent1 2 7 4" xfId="4429"/>
    <cellStyle name="20% - Accent1 2 8" xfId="391"/>
    <cellStyle name="20% - Accent1 2 8 2" xfId="392"/>
    <cellStyle name="20% - Accent1 2 8 2 2" xfId="4432"/>
    <cellStyle name="20% - Accent1 2 8 3" xfId="11749"/>
    <cellStyle name="20% - Accent1 2 8 4" xfId="4431"/>
    <cellStyle name="20% - Accent1 2 9" xfId="393"/>
    <cellStyle name="20% - Accent1 2 9 2" xfId="394"/>
    <cellStyle name="20% - Accent1 2 9 2 2" xfId="4434"/>
    <cellStyle name="20% - Accent1 2 9 3" xfId="11932"/>
    <cellStyle name="20% - Accent1 2 9 4" xfId="4433"/>
    <cellStyle name="20% - Accent1 20" xfId="395"/>
    <cellStyle name="20% - Accent1 20 10" xfId="20803"/>
    <cellStyle name="20% - Accent1 20 11" xfId="21641"/>
    <cellStyle name="20% - Accent1 20 12" xfId="22427"/>
    <cellStyle name="20% - Accent1 20 13" xfId="26464"/>
    <cellStyle name="20% - Accent1 20 14" xfId="29795"/>
    <cellStyle name="20% - Accent1 20 15" xfId="31570"/>
    <cellStyle name="20% - Accent1 20 16" xfId="33329"/>
    <cellStyle name="20% - Accent1 20 17" xfId="35046"/>
    <cellStyle name="20% - Accent1 20 18" xfId="36697"/>
    <cellStyle name="20% - Accent1 20 19" xfId="38266"/>
    <cellStyle name="20% - Accent1 20 2" xfId="396"/>
    <cellStyle name="20% - Accent1 20 2 2" xfId="397"/>
    <cellStyle name="20% - Accent1 20 2 2 2" xfId="4437"/>
    <cellStyle name="20% - Accent1 20 2 3" xfId="13356"/>
    <cellStyle name="20% - Accent1 20 2 4" xfId="4436"/>
    <cellStyle name="20% - Accent1 20 20" xfId="39716"/>
    <cellStyle name="20% - Accent1 20 21" xfId="40983"/>
    <cellStyle name="20% - Accent1 20 22" xfId="42057"/>
    <cellStyle name="20% - Accent1 20 23" xfId="11325"/>
    <cellStyle name="20% - Accent1 20 24" xfId="4435"/>
    <cellStyle name="20% - Accent1 20 3" xfId="398"/>
    <cellStyle name="20% - Accent1 20 3 2" xfId="399"/>
    <cellStyle name="20% - Accent1 20 3 2 2" xfId="4439"/>
    <cellStyle name="20% - Accent1 20 3 3" xfId="14480"/>
    <cellStyle name="20% - Accent1 20 3 4" xfId="4438"/>
    <cellStyle name="20% - Accent1 20 4" xfId="400"/>
    <cellStyle name="20% - Accent1 20 4 2" xfId="401"/>
    <cellStyle name="20% - Accent1 20 4 2 2" xfId="4441"/>
    <cellStyle name="20% - Accent1 20 4 3" xfId="15409"/>
    <cellStyle name="20% - Accent1 20 4 4" xfId="4440"/>
    <cellStyle name="20% - Accent1 20 5" xfId="402"/>
    <cellStyle name="20% - Accent1 20 5 2" xfId="403"/>
    <cellStyle name="20% - Accent1 20 5 2 2" xfId="4443"/>
    <cellStyle name="20% - Accent1 20 5 3" xfId="16338"/>
    <cellStyle name="20% - Accent1 20 5 4" xfId="4442"/>
    <cellStyle name="20% - Accent1 20 6" xfId="404"/>
    <cellStyle name="20% - Accent1 20 6 2" xfId="405"/>
    <cellStyle name="20% - Accent1 20 6 2 2" xfId="4445"/>
    <cellStyle name="20% - Accent1 20 6 3" xfId="17268"/>
    <cellStyle name="20% - Accent1 20 6 4" xfId="4444"/>
    <cellStyle name="20% - Accent1 20 7" xfId="406"/>
    <cellStyle name="20% - Accent1 20 7 2" xfId="407"/>
    <cellStyle name="20% - Accent1 20 7 2 2" xfId="4447"/>
    <cellStyle name="20% - Accent1 20 7 3" xfId="18176"/>
    <cellStyle name="20% - Accent1 20 7 4" xfId="4446"/>
    <cellStyle name="20% - Accent1 20 8" xfId="408"/>
    <cellStyle name="20% - Accent1 20 8 2" xfId="19066"/>
    <cellStyle name="20% - Accent1 20 8 3" xfId="4448"/>
    <cellStyle name="20% - Accent1 20 9" xfId="19943"/>
    <cellStyle name="20% - Accent1 21" xfId="409"/>
    <cellStyle name="20% - Accent1 21 10" xfId="20882"/>
    <cellStyle name="20% - Accent1 21 11" xfId="21721"/>
    <cellStyle name="20% - Accent1 21 12" xfId="22505"/>
    <cellStyle name="20% - Accent1 21 13" xfId="26874"/>
    <cellStyle name="20% - Accent1 21 14" xfId="30202"/>
    <cellStyle name="20% - Accent1 21 15" xfId="31977"/>
    <cellStyle name="20% - Accent1 21 16" xfId="33732"/>
    <cellStyle name="20% - Accent1 21 17" xfId="35445"/>
    <cellStyle name="20% - Accent1 21 18" xfId="37090"/>
    <cellStyle name="20% - Accent1 21 19" xfId="38646"/>
    <cellStyle name="20% - Accent1 21 2" xfId="410"/>
    <cellStyle name="20% - Accent1 21 2 2" xfId="411"/>
    <cellStyle name="20% - Accent1 21 2 2 2" xfId="4451"/>
    <cellStyle name="20% - Accent1 21 2 3" xfId="13436"/>
    <cellStyle name="20% - Accent1 21 2 4" xfId="4450"/>
    <cellStyle name="20% - Accent1 21 20" xfId="40080"/>
    <cellStyle name="20% - Accent1 21 21" xfId="41327"/>
    <cellStyle name="20% - Accent1 21 22" xfId="42378"/>
    <cellStyle name="20% - Accent1 21 23" xfId="11517"/>
    <cellStyle name="20% - Accent1 21 24" xfId="4449"/>
    <cellStyle name="20% - Accent1 21 3" xfId="412"/>
    <cellStyle name="20% - Accent1 21 3 2" xfId="413"/>
    <cellStyle name="20% - Accent1 21 3 2 2" xfId="4453"/>
    <cellStyle name="20% - Accent1 21 3 3" xfId="14560"/>
    <cellStyle name="20% - Accent1 21 3 4" xfId="4452"/>
    <cellStyle name="20% - Accent1 21 4" xfId="414"/>
    <cellStyle name="20% - Accent1 21 4 2" xfId="415"/>
    <cellStyle name="20% - Accent1 21 4 2 2" xfId="4455"/>
    <cellStyle name="20% - Accent1 21 4 3" xfId="15487"/>
    <cellStyle name="20% - Accent1 21 4 4" xfId="4454"/>
    <cellStyle name="20% - Accent1 21 5" xfId="416"/>
    <cellStyle name="20% - Accent1 21 5 2" xfId="417"/>
    <cellStyle name="20% - Accent1 21 5 2 2" xfId="4457"/>
    <cellStyle name="20% - Accent1 21 5 3" xfId="16418"/>
    <cellStyle name="20% - Accent1 21 5 4" xfId="4456"/>
    <cellStyle name="20% - Accent1 21 6" xfId="418"/>
    <cellStyle name="20% - Accent1 21 6 2" xfId="419"/>
    <cellStyle name="20% - Accent1 21 6 2 2" xfId="4459"/>
    <cellStyle name="20% - Accent1 21 6 3" xfId="17348"/>
    <cellStyle name="20% - Accent1 21 6 4" xfId="4458"/>
    <cellStyle name="20% - Accent1 21 7" xfId="420"/>
    <cellStyle name="20% - Accent1 21 7 2" xfId="421"/>
    <cellStyle name="20% - Accent1 21 7 2 2" xfId="4461"/>
    <cellStyle name="20% - Accent1 21 7 3" xfId="18256"/>
    <cellStyle name="20% - Accent1 21 7 4" xfId="4460"/>
    <cellStyle name="20% - Accent1 21 8" xfId="422"/>
    <cellStyle name="20% - Accent1 21 8 2" xfId="19146"/>
    <cellStyle name="20% - Accent1 21 8 3" xfId="4462"/>
    <cellStyle name="20% - Accent1 21 9" xfId="20023"/>
    <cellStyle name="20% - Accent1 22" xfId="423"/>
    <cellStyle name="20% - Accent1 22 10" xfId="20960"/>
    <cellStyle name="20% - Accent1 22 11" xfId="21801"/>
    <cellStyle name="20% - Accent1 22 12" xfId="22583"/>
    <cellStyle name="20% - Accent1 22 13" xfId="26333"/>
    <cellStyle name="20% - Accent1 22 14" xfId="29664"/>
    <cellStyle name="20% - Accent1 22 15" xfId="31439"/>
    <cellStyle name="20% - Accent1 22 16" xfId="33201"/>
    <cellStyle name="20% - Accent1 22 17" xfId="34919"/>
    <cellStyle name="20% - Accent1 22 18" xfId="36572"/>
    <cellStyle name="20% - Accent1 22 19" xfId="38146"/>
    <cellStyle name="20% - Accent1 22 2" xfId="424"/>
    <cellStyle name="20% - Accent1 22 2 2" xfId="425"/>
    <cellStyle name="20% - Accent1 22 2 2 2" xfId="4465"/>
    <cellStyle name="20% - Accent1 22 2 3" xfId="13516"/>
    <cellStyle name="20% - Accent1 22 2 4" xfId="4464"/>
    <cellStyle name="20% - Accent1 22 20" xfId="39599"/>
    <cellStyle name="20% - Accent1 22 21" xfId="40872"/>
    <cellStyle name="20% - Accent1 22 22" xfId="41951"/>
    <cellStyle name="20% - Accent1 22 23" xfId="10759"/>
    <cellStyle name="20% - Accent1 22 24" xfId="4463"/>
    <cellStyle name="20% - Accent1 22 3" xfId="426"/>
    <cellStyle name="20% - Accent1 22 3 2" xfId="427"/>
    <cellStyle name="20% - Accent1 22 3 2 2" xfId="4467"/>
    <cellStyle name="20% - Accent1 22 3 3" xfId="14639"/>
    <cellStyle name="20% - Accent1 22 3 4" xfId="4466"/>
    <cellStyle name="20% - Accent1 22 4" xfId="428"/>
    <cellStyle name="20% - Accent1 22 4 2" xfId="429"/>
    <cellStyle name="20% - Accent1 22 4 2 2" xfId="4469"/>
    <cellStyle name="20% - Accent1 22 4 3" xfId="15567"/>
    <cellStyle name="20% - Accent1 22 4 4" xfId="4468"/>
    <cellStyle name="20% - Accent1 22 5" xfId="430"/>
    <cellStyle name="20% - Accent1 22 5 2" xfId="431"/>
    <cellStyle name="20% - Accent1 22 5 2 2" xfId="4471"/>
    <cellStyle name="20% - Accent1 22 5 3" xfId="16498"/>
    <cellStyle name="20% - Accent1 22 5 4" xfId="4470"/>
    <cellStyle name="20% - Accent1 22 6" xfId="432"/>
    <cellStyle name="20% - Accent1 22 6 2" xfId="433"/>
    <cellStyle name="20% - Accent1 22 6 2 2" xfId="4473"/>
    <cellStyle name="20% - Accent1 22 6 3" xfId="17428"/>
    <cellStyle name="20% - Accent1 22 6 4" xfId="4472"/>
    <cellStyle name="20% - Accent1 22 7" xfId="434"/>
    <cellStyle name="20% - Accent1 22 7 2" xfId="435"/>
    <cellStyle name="20% - Accent1 22 7 2 2" xfId="4475"/>
    <cellStyle name="20% - Accent1 22 7 3" xfId="18336"/>
    <cellStyle name="20% - Accent1 22 7 4" xfId="4474"/>
    <cellStyle name="20% - Accent1 22 8" xfId="436"/>
    <cellStyle name="20% - Accent1 22 8 2" xfId="19226"/>
    <cellStyle name="20% - Accent1 22 8 3" xfId="4476"/>
    <cellStyle name="20% - Accent1 22 9" xfId="20102"/>
    <cellStyle name="20% - Accent1 23" xfId="437"/>
    <cellStyle name="20% - Accent1 23 10" xfId="21032"/>
    <cellStyle name="20% - Accent1 23 11" xfId="21870"/>
    <cellStyle name="20% - Accent1 23 12" xfId="22651"/>
    <cellStyle name="20% - Accent1 23 13" xfId="11983"/>
    <cellStyle name="20% - Accent1 23 14" xfId="4477"/>
    <cellStyle name="20% - Accent1 23 2" xfId="438"/>
    <cellStyle name="20% - Accent1 23 2 2" xfId="439"/>
    <cellStyle name="20% - Accent1 23 2 2 2" xfId="4479"/>
    <cellStyle name="20% - Accent1 23 2 3" xfId="13596"/>
    <cellStyle name="20% - Accent1 23 2 4" xfId="4478"/>
    <cellStyle name="20% - Accent1 23 3" xfId="440"/>
    <cellStyle name="20% - Accent1 23 3 2" xfId="441"/>
    <cellStyle name="20% - Accent1 23 3 2 2" xfId="4481"/>
    <cellStyle name="20% - Accent1 23 3 3" xfId="14715"/>
    <cellStyle name="20% - Accent1 23 3 4" xfId="4480"/>
    <cellStyle name="20% - Accent1 23 4" xfId="442"/>
    <cellStyle name="20% - Accent1 23 4 2" xfId="443"/>
    <cellStyle name="20% - Accent1 23 4 2 2" xfId="4483"/>
    <cellStyle name="20% - Accent1 23 4 3" xfId="15644"/>
    <cellStyle name="20% - Accent1 23 4 4" xfId="4482"/>
    <cellStyle name="20% - Accent1 23 5" xfId="444"/>
    <cellStyle name="20% - Accent1 23 5 2" xfId="445"/>
    <cellStyle name="20% - Accent1 23 5 2 2" xfId="4485"/>
    <cellStyle name="20% - Accent1 23 5 3" xfId="16575"/>
    <cellStyle name="20% - Accent1 23 5 4" xfId="4484"/>
    <cellStyle name="20% - Accent1 23 6" xfId="446"/>
    <cellStyle name="20% - Accent1 23 6 2" xfId="447"/>
    <cellStyle name="20% - Accent1 23 6 2 2" xfId="4487"/>
    <cellStyle name="20% - Accent1 23 6 3" xfId="17503"/>
    <cellStyle name="20% - Accent1 23 6 4" xfId="4486"/>
    <cellStyle name="20% - Accent1 23 7" xfId="448"/>
    <cellStyle name="20% - Accent1 23 7 2" xfId="449"/>
    <cellStyle name="20% - Accent1 23 7 2 2" xfId="4489"/>
    <cellStyle name="20% - Accent1 23 7 3" xfId="18409"/>
    <cellStyle name="20% - Accent1 23 7 4" xfId="4488"/>
    <cellStyle name="20% - Accent1 23 8" xfId="450"/>
    <cellStyle name="20% - Accent1 23 8 2" xfId="19296"/>
    <cellStyle name="20% - Accent1 23 8 3" xfId="4490"/>
    <cellStyle name="20% - Accent1 23 9" xfId="20172"/>
    <cellStyle name="20% - Accent1 24" xfId="451"/>
    <cellStyle name="20% - Accent1 24 10" xfId="21091"/>
    <cellStyle name="20% - Accent1 24 11" xfId="21926"/>
    <cellStyle name="20% - Accent1 24 12" xfId="22707"/>
    <cellStyle name="20% - Accent1 24 13" xfId="12698"/>
    <cellStyle name="20% - Accent1 24 14" xfId="4491"/>
    <cellStyle name="20% - Accent1 24 2" xfId="452"/>
    <cellStyle name="20% - Accent1 24 2 2" xfId="453"/>
    <cellStyle name="20% - Accent1 24 2 2 2" xfId="4493"/>
    <cellStyle name="20% - Accent1 24 2 3" xfId="13676"/>
    <cellStyle name="20% - Accent1 24 2 4" xfId="4492"/>
    <cellStyle name="20% - Accent1 24 3" xfId="454"/>
    <cellStyle name="20% - Accent1 24 3 2" xfId="455"/>
    <cellStyle name="20% - Accent1 24 3 2 2" xfId="4495"/>
    <cellStyle name="20% - Accent1 24 3 3" xfId="14788"/>
    <cellStyle name="20% - Accent1 24 3 4" xfId="4494"/>
    <cellStyle name="20% - Accent1 24 4" xfId="456"/>
    <cellStyle name="20% - Accent1 24 4 2" xfId="457"/>
    <cellStyle name="20% - Accent1 24 4 2 2" xfId="4497"/>
    <cellStyle name="20% - Accent1 24 4 3" xfId="15716"/>
    <cellStyle name="20% - Accent1 24 4 4" xfId="4496"/>
    <cellStyle name="20% - Accent1 24 5" xfId="458"/>
    <cellStyle name="20% - Accent1 24 5 2" xfId="459"/>
    <cellStyle name="20% - Accent1 24 5 2 2" xfId="4499"/>
    <cellStyle name="20% - Accent1 24 5 3" xfId="16647"/>
    <cellStyle name="20% - Accent1 24 5 4" xfId="4498"/>
    <cellStyle name="20% - Accent1 24 6" xfId="460"/>
    <cellStyle name="20% - Accent1 24 6 2" xfId="461"/>
    <cellStyle name="20% - Accent1 24 6 2 2" xfId="4501"/>
    <cellStyle name="20% - Accent1 24 6 3" xfId="17576"/>
    <cellStyle name="20% - Accent1 24 6 4" xfId="4500"/>
    <cellStyle name="20% - Accent1 24 7" xfId="462"/>
    <cellStyle name="20% - Accent1 24 7 2" xfId="463"/>
    <cellStyle name="20% - Accent1 24 7 2 2" xfId="4503"/>
    <cellStyle name="20% - Accent1 24 7 3" xfId="18478"/>
    <cellStyle name="20% - Accent1 24 7 4" xfId="4502"/>
    <cellStyle name="20% - Accent1 24 8" xfId="464"/>
    <cellStyle name="20% - Accent1 24 8 2" xfId="19362"/>
    <cellStyle name="20% - Accent1 24 8 3" xfId="4504"/>
    <cellStyle name="20% - Accent1 24 9" xfId="20237"/>
    <cellStyle name="20% - Accent1 25" xfId="465"/>
    <cellStyle name="20% - Accent1 25 10" xfId="4505"/>
    <cellStyle name="20% - Accent1 25 2" xfId="466"/>
    <cellStyle name="20% - Accent1 25 2 2" xfId="467"/>
    <cellStyle name="20% - Accent1 25 2 2 2" xfId="4507"/>
    <cellStyle name="20% - Accent1 25 2 3" xfId="4506"/>
    <cellStyle name="20% - Accent1 25 3" xfId="468"/>
    <cellStyle name="20% - Accent1 25 3 2" xfId="469"/>
    <cellStyle name="20% - Accent1 25 3 2 2" xfId="4509"/>
    <cellStyle name="20% - Accent1 25 3 3" xfId="4508"/>
    <cellStyle name="20% - Accent1 25 4" xfId="470"/>
    <cellStyle name="20% - Accent1 25 4 2" xfId="471"/>
    <cellStyle name="20% - Accent1 25 4 2 2" xfId="4511"/>
    <cellStyle name="20% - Accent1 25 4 3" xfId="4510"/>
    <cellStyle name="20% - Accent1 25 5" xfId="472"/>
    <cellStyle name="20% - Accent1 25 5 2" xfId="473"/>
    <cellStyle name="20% - Accent1 25 5 2 2" xfId="4513"/>
    <cellStyle name="20% - Accent1 25 5 3" xfId="4512"/>
    <cellStyle name="20% - Accent1 25 6" xfId="474"/>
    <cellStyle name="20% - Accent1 25 6 2" xfId="475"/>
    <cellStyle name="20% - Accent1 25 6 2 2" xfId="4515"/>
    <cellStyle name="20% - Accent1 25 6 3" xfId="4514"/>
    <cellStyle name="20% - Accent1 25 7" xfId="476"/>
    <cellStyle name="20% - Accent1 25 7 2" xfId="477"/>
    <cellStyle name="20% - Accent1 25 7 2 2" xfId="4517"/>
    <cellStyle name="20% - Accent1 25 7 3" xfId="4516"/>
    <cellStyle name="20% - Accent1 25 8" xfId="478"/>
    <cellStyle name="20% - Accent1 25 8 2" xfId="4518"/>
    <cellStyle name="20% - Accent1 25 9" xfId="13746"/>
    <cellStyle name="20% - Accent1 26" xfId="479"/>
    <cellStyle name="20% - Accent1 26 10" xfId="4519"/>
    <cellStyle name="20% - Accent1 26 2" xfId="480"/>
    <cellStyle name="20% - Accent1 26 2 2" xfId="481"/>
    <cellStyle name="20% - Accent1 26 2 2 2" xfId="4521"/>
    <cellStyle name="20% - Accent1 26 2 3" xfId="4520"/>
    <cellStyle name="20% - Accent1 26 3" xfId="482"/>
    <cellStyle name="20% - Accent1 26 3 2" xfId="483"/>
    <cellStyle name="20% - Accent1 26 3 2 2" xfId="4523"/>
    <cellStyle name="20% - Accent1 26 3 3" xfId="4522"/>
    <cellStyle name="20% - Accent1 26 4" xfId="484"/>
    <cellStyle name="20% - Accent1 26 4 2" xfId="485"/>
    <cellStyle name="20% - Accent1 26 4 2 2" xfId="4525"/>
    <cellStyle name="20% - Accent1 26 4 3" xfId="4524"/>
    <cellStyle name="20% - Accent1 26 5" xfId="486"/>
    <cellStyle name="20% - Accent1 26 5 2" xfId="487"/>
    <cellStyle name="20% - Accent1 26 5 2 2" xfId="4527"/>
    <cellStyle name="20% - Accent1 26 5 3" xfId="4526"/>
    <cellStyle name="20% - Accent1 26 6" xfId="488"/>
    <cellStyle name="20% - Accent1 26 6 2" xfId="489"/>
    <cellStyle name="20% - Accent1 26 6 2 2" xfId="4529"/>
    <cellStyle name="20% - Accent1 26 6 3" xfId="4528"/>
    <cellStyle name="20% - Accent1 26 7" xfId="490"/>
    <cellStyle name="20% - Accent1 26 7 2" xfId="491"/>
    <cellStyle name="20% - Accent1 26 7 2 2" xfId="4531"/>
    <cellStyle name="20% - Accent1 26 7 3" xfId="4530"/>
    <cellStyle name="20% - Accent1 26 8" xfId="492"/>
    <cellStyle name="20% - Accent1 26 8 2" xfId="4532"/>
    <cellStyle name="20% - Accent1 26 9" xfId="13804"/>
    <cellStyle name="20% - Accent1 27" xfId="493"/>
    <cellStyle name="20% - Accent1 27 10" xfId="4533"/>
    <cellStyle name="20% - Accent1 27 2" xfId="494"/>
    <cellStyle name="20% - Accent1 27 2 2" xfId="495"/>
    <cellStyle name="20% - Accent1 27 2 2 2" xfId="4535"/>
    <cellStyle name="20% - Accent1 27 2 3" xfId="4534"/>
    <cellStyle name="20% - Accent1 27 3" xfId="496"/>
    <cellStyle name="20% - Accent1 27 3 2" xfId="497"/>
    <cellStyle name="20% - Accent1 27 3 2 2" xfId="4537"/>
    <cellStyle name="20% - Accent1 27 3 3" xfId="4536"/>
    <cellStyle name="20% - Accent1 27 4" xfId="498"/>
    <cellStyle name="20% - Accent1 27 4 2" xfId="499"/>
    <cellStyle name="20% - Accent1 27 4 2 2" xfId="4539"/>
    <cellStyle name="20% - Accent1 27 4 3" xfId="4538"/>
    <cellStyle name="20% - Accent1 27 5" xfId="500"/>
    <cellStyle name="20% - Accent1 27 5 2" xfId="501"/>
    <cellStyle name="20% - Accent1 27 5 2 2" xfId="4541"/>
    <cellStyle name="20% - Accent1 27 5 3" xfId="4540"/>
    <cellStyle name="20% - Accent1 27 6" xfId="502"/>
    <cellStyle name="20% - Accent1 27 6 2" xfId="503"/>
    <cellStyle name="20% - Accent1 27 6 2 2" xfId="4543"/>
    <cellStyle name="20% - Accent1 27 6 3" xfId="4542"/>
    <cellStyle name="20% - Accent1 27 7" xfId="504"/>
    <cellStyle name="20% - Accent1 27 7 2" xfId="505"/>
    <cellStyle name="20% - Accent1 27 7 2 2" xfId="4545"/>
    <cellStyle name="20% - Accent1 27 7 3" xfId="4544"/>
    <cellStyle name="20% - Accent1 27 8" xfId="506"/>
    <cellStyle name="20% - Accent1 27 8 2" xfId="4546"/>
    <cellStyle name="20% - Accent1 27 9" xfId="12017"/>
    <cellStyle name="20% - Accent1 28" xfId="507"/>
    <cellStyle name="20% - Accent1 28 10" xfId="4547"/>
    <cellStyle name="20% - Accent1 28 2" xfId="508"/>
    <cellStyle name="20% - Accent1 28 2 2" xfId="509"/>
    <cellStyle name="20% - Accent1 28 2 2 2" xfId="4549"/>
    <cellStyle name="20% - Accent1 28 2 3" xfId="4548"/>
    <cellStyle name="20% - Accent1 28 3" xfId="510"/>
    <cellStyle name="20% - Accent1 28 3 2" xfId="511"/>
    <cellStyle name="20% - Accent1 28 3 2 2" xfId="4551"/>
    <cellStyle name="20% - Accent1 28 3 3" xfId="4550"/>
    <cellStyle name="20% - Accent1 28 4" xfId="512"/>
    <cellStyle name="20% - Accent1 28 4 2" xfId="513"/>
    <cellStyle name="20% - Accent1 28 4 2 2" xfId="4553"/>
    <cellStyle name="20% - Accent1 28 4 3" xfId="4552"/>
    <cellStyle name="20% - Accent1 28 5" xfId="514"/>
    <cellStyle name="20% - Accent1 28 5 2" xfId="515"/>
    <cellStyle name="20% - Accent1 28 5 2 2" xfId="4555"/>
    <cellStyle name="20% - Accent1 28 5 3" xfId="4554"/>
    <cellStyle name="20% - Accent1 28 6" xfId="516"/>
    <cellStyle name="20% - Accent1 28 6 2" xfId="517"/>
    <cellStyle name="20% - Accent1 28 6 2 2" xfId="4557"/>
    <cellStyle name="20% - Accent1 28 6 3" xfId="4556"/>
    <cellStyle name="20% - Accent1 28 7" xfId="518"/>
    <cellStyle name="20% - Accent1 28 7 2" xfId="519"/>
    <cellStyle name="20% - Accent1 28 7 2 2" xfId="4559"/>
    <cellStyle name="20% - Accent1 28 7 3" xfId="4558"/>
    <cellStyle name="20% - Accent1 28 8" xfId="520"/>
    <cellStyle name="20% - Accent1 28 8 2" xfId="4560"/>
    <cellStyle name="20% - Accent1 28 9" xfId="14250"/>
    <cellStyle name="20% - Accent1 29" xfId="521"/>
    <cellStyle name="20% - Accent1 29 10" xfId="4561"/>
    <cellStyle name="20% - Accent1 29 2" xfId="522"/>
    <cellStyle name="20% - Accent1 29 2 2" xfId="523"/>
    <cellStyle name="20% - Accent1 29 2 2 2" xfId="4563"/>
    <cellStyle name="20% - Accent1 29 2 3" xfId="4562"/>
    <cellStyle name="20% - Accent1 29 3" xfId="524"/>
    <cellStyle name="20% - Accent1 29 3 2" xfId="525"/>
    <cellStyle name="20% - Accent1 29 3 2 2" xfId="4565"/>
    <cellStyle name="20% - Accent1 29 3 3" xfId="4564"/>
    <cellStyle name="20% - Accent1 29 4" xfId="526"/>
    <cellStyle name="20% - Accent1 29 4 2" xfId="527"/>
    <cellStyle name="20% - Accent1 29 4 2 2" xfId="4567"/>
    <cellStyle name="20% - Accent1 29 4 3" xfId="4566"/>
    <cellStyle name="20% - Accent1 29 5" xfId="528"/>
    <cellStyle name="20% - Accent1 29 5 2" xfId="529"/>
    <cellStyle name="20% - Accent1 29 5 2 2" xfId="4569"/>
    <cellStyle name="20% - Accent1 29 5 3" xfId="4568"/>
    <cellStyle name="20% - Accent1 29 6" xfId="530"/>
    <cellStyle name="20% - Accent1 29 6 2" xfId="531"/>
    <cellStyle name="20% - Accent1 29 6 2 2" xfId="4571"/>
    <cellStyle name="20% - Accent1 29 6 3" xfId="4570"/>
    <cellStyle name="20% - Accent1 29 7" xfId="532"/>
    <cellStyle name="20% - Accent1 29 7 2" xfId="533"/>
    <cellStyle name="20% - Accent1 29 7 2 2" xfId="4573"/>
    <cellStyle name="20% - Accent1 29 7 3" xfId="4572"/>
    <cellStyle name="20% - Accent1 29 8" xfId="534"/>
    <cellStyle name="20% - Accent1 29 8 2" xfId="4574"/>
    <cellStyle name="20% - Accent1 29 9" xfId="15020"/>
    <cellStyle name="20% - Accent1 3" xfId="535"/>
    <cellStyle name="20% - Accent1 3 10" xfId="536"/>
    <cellStyle name="20% - Accent1 3 10 2" xfId="4576"/>
    <cellStyle name="20% - Accent1 3 11" xfId="8830"/>
    <cellStyle name="20% - Accent1 3 12" xfId="4575"/>
    <cellStyle name="20% - Accent1 3 2" xfId="537"/>
    <cellStyle name="20% - Accent1 3 2 2" xfId="538"/>
    <cellStyle name="20% - Accent1 3 2 2 2" xfId="539"/>
    <cellStyle name="20% - Accent1 3 2 2 2 2" xfId="4579"/>
    <cellStyle name="20% - Accent1 3 2 2 3" xfId="4578"/>
    <cellStyle name="20% - Accent1 3 2 3" xfId="540"/>
    <cellStyle name="20% - Accent1 3 2 3 2" xfId="541"/>
    <cellStyle name="20% - Accent1 3 2 3 2 2" xfId="4581"/>
    <cellStyle name="20% - Accent1 3 2 3 3" xfId="4580"/>
    <cellStyle name="20% - Accent1 3 2 4" xfId="542"/>
    <cellStyle name="20% - Accent1 3 2 4 2" xfId="543"/>
    <cellStyle name="20% - Accent1 3 2 4 2 2" xfId="4583"/>
    <cellStyle name="20% - Accent1 3 2 4 3" xfId="4582"/>
    <cellStyle name="20% - Accent1 3 2 5" xfId="544"/>
    <cellStyle name="20% - Accent1 3 2 5 2" xfId="545"/>
    <cellStyle name="20% - Accent1 3 2 5 2 2" xfId="4585"/>
    <cellStyle name="20% - Accent1 3 2 5 3" xfId="4584"/>
    <cellStyle name="20% - Accent1 3 2 6" xfId="546"/>
    <cellStyle name="20% - Accent1 3 2 6 2" xfId="547"/>
    <cellStyle name="20% - Accent1 3 2 6 2 2" xfId="4587"/>
    <cellStyle name="20% - Accent1 3 2 6 3" xfId="4586"/>
    <cellStyle name="20% - Accent1 3 2 7" xfId="548"/>
    <cellStyle name="20% - Accent1 3 2 7 2" xfId="549"/>
    <cellStyle name="20% - Accent1 3 2 7 2 2" xfId="4589"/>
    <cellStyle name="20% - Accent1 3 2 7 3" xfId="4588"/>
    <cellStyle name="20% - Accent1 3 2 8" xfId="550"/>
    <cellStyle name="20% - Accent1 3 2 8 2" xfId="4590"/>
    <cellStyle name="20% - Accent1 3 2 9" xfId="4577"/>
    <cellStyle name="20% - Accent1 3 3" xfId="551"/>
    <cellStyle name="20% - Accent1 3 3 2" xfId="552"/>
    <cellStyle name="20% - Accent1 3 3 2 2" xfId="553"/>
    <cellStyle name="20% - Accent1 3 3 2 2 2" xfId="4593"/>
    <cellStyle name="20% - Accent1 3 3 2 3" xfId="4592"/>
    <cellStyle name="20% - Accent1 3 3 3" xfId="554"/>
    <cellStyle name="20% - Accent1 3 3 3 2" xfId="555"/>
    <cellStyle name="20% - Accent1 3 3 3 2 2" xfId="4595"/>
    <cellStyle name="20% - Accent1 3 3 3 3" xfId="4594"/>
    <cellStyle name="20% - Accent1 3 3 4" xfId="556"/>
    <cellStyle name="20% - Accent1 3 3 4 2" xfId="557"/>
    <cellStyle name="20% - Accent1 3 3 4 2 2" xfId="4597"/>
    <cellStyle name="20% - Accent1 3 3 4 3" xfId="4596"/>
    <cellStyle name="20% - Accent1 3 3 5" xfId="558"/>
    <cellStyle name="20% - Accent1 3 3 5 2" xfId="559"/>
    <cellStyle name="20% - Accent1 3 3 5 2 2" xfId="4599"/>
    <cellStyle name="20% - Accent1 3 3 5 3" xfId="4598"/>
    <cellStyle name="20% - Accent1 3 3 6" xfId="560"/>
    <cellStyle name="20% - Accent1 3 3 6 2" xfId="561"/>
    <cellStyle name="20% - Accent1 3 3 6 2 2" xfId="4601"/>
    <cellStyle name="20% - Accent1 3 3 6 3" xfId="4600"/>
    <cellStyle name="20% - Accent1 3 3 7" xfId="562"/>
    <cellStyle name="20% - Accent1 3 3 7 2" xfId="563"/>
    <cellStyle name="20% - Accent1 3 3 7 2 2" xfId="4603"/>
    <cellStyle name="20% - Accent1 3 3 7 3" xfId="4602"/>
    <cellStyle name="20% - Accent1 3 3 8" xfId="564"/>
    <cellStyle name="20% - Accent1 3 3 8 2" xfId="4604"/>
    <cellStyle name="20% - Accent1 3 3 9" xfId="4591"/>
    <cellStyle name="20% - Accent1 3 4" xfId="565"/>
    <cellStyle name="20% - Accent1 3 4 2" xfId="566"/>
    <cellStyle name="20% - Accent1 3 4 2 2" xfId="4606"/>
    <cellStyle name="20% - Accent1 3 4 3" xfId="4605"/>
    <cellStyle name="20% - Accent1 3 5" xfId="567"/>
    <cellStyle name="20% - Accent1 3 5 2" xfId="568"/>
    <cellStyle name="20% - Accent1 3 5 2 2" xfId="4608"/>
    <cellStyle name="20% - Accent1 3 5 3" xfId="4607"/>
    <cellStyle name="20% - Accent1 3 6" xfId="569"/>
    <cellStyle name="20% - Accent1 3 6 2" xfId="570"/>
    <cellStyle name="20% - Accent1 3 6 2 2" xfId="4610"/>
    <cellStyle name="20% - Accent1 3 6 3" xfId="4609"/>
    <cellStyle name="20% - Accent1 3 7" xfId="571"/>
    <cellStyle name="20% - Accent1 3 7 2" xfId="572"/>
    <cellStyle name="20% - Accent1 3 7 2 2" xfId="4612"/>
    <cellStyle name="20% - Accent1 3 7 3" xfId="4611"/>
    <cellStyle name="20% - Accent1 3 8" xfId="573"/>
    <cellStyle name="20% - Accent1 3 8 2" xfId="574"/>
    <cellStyle name="20% - Accent1 3 8 2 2" xfId="4614"/>
    <cellStyle name="20% - Accent1 3 8 3" xfId="4613"/>
    <cellStyle name="20% - Accent1 3 9" xfId="575"/>
    <cellStyle name="20% - Accent1 3 9 2" xfId="576"/>
    <cellStyle name="20% - Accent1 3 9 2 2" xfId="4616"/>
    <cellStyle name="20% - Accent1 3 9 3" xfId="4615"/>
    <cellStyle name="20% - Accent1 30" xfId="577"/>
    <cellStyle name="20% - Accent1 30 10" xfId="4617"/>
    <cellStyle name="20% - Accent1 30 2" xfId="578"/>
    <cellStyle name="20% - Accent1 30 2 2" xfId="579"/>
    <cellStyle name="20% - Accent1 30 2 2 2" xfId="4619"/>
    <cellStyle name="20% - Accent1 30 2 3" xfId="4618"/>
    <cellStyle name="20% - Accent1 30 3" xfId="580"/>
    <cellStyle name="20% - Accent1 30 3 2" xfId="581"/>
    <cellStyle name="20% - Accent1 30 3 2 2" xfId="4621"/>
    <cellStyle name="20% - Accent1 30 3 3" xfId="4620"/>
    <cellStyle name="20% - Accent1 30 4" xfId="582"/>
    <cellStyle name="20% - Accent1 30 4 2" xfId="583"/>
    <cellStyle name="20% - Accent1 30 4 2 2" xfId="4623"/>
    <cellStyle name="20% - Accent1 30 4 3" xfId="4622"/>
    <cellStyle name="20% - Accent1 30 5" xfId="584"/>
    <cellStyle name="20% - Accent1 30 5 2" xfId="585"/>
    <cellStyle name="20% - Accent1 30 5 2 2" xfId="4625"/>
    <cellStyle name="20% - Accent1 30 5 3" xfId="4624"/>
    <cellStyle name="20% - Accent1 30 6" xfId="586"/>
    <cellStyle name="20% - Accent1 30 6 2" xfId="587"/>
    <cellStyle name="20% - Accent1 30 6 2 2" xfId="4627"/>
    <cellStyle name="20% - Accent1 30 6 3" xfId="4626"/>
    <cellStyle name="20% - Accent1 30 7" xfId="588"/>
    <cellStyle name="20% - Accent1 30 7 2" xfId="589"/>
    <cellStyle name="20% - Accent1 30 7 2 2" xfId="4629"/>
    <cellStyle name="20% - Accent1 30 7 3" xfId="4628"/>
    <cellStyle name="20% - Accent1 30 8" xfId="590"/>
    <cellStyle name="20% - Accent1 30 8 2" xfId="4630"/>
    <cellStyle name="20% - Accent1 30 9" xfId="16187"/>
    <cellStyle name="20% - Accent1 31" xfId="591"/>
    <cellStyle name="20% - Accent1 31 10" xfId="4631"/>
    <cellStyle name="20% - Accent1 31 2" xfId="592"/>
    <cellStyle name="20% - Accent1 31 2 2" xfId="593"/>
    <cellStyle name="20% - Accent1 31 2 2 2" xfId="4633"/>
    <cellStyle name="20% - Accent1 31 2 3" xfId="4632"/>
    <cellStyle name="20% - Accent1 31 3" xfId="594"/>
    <cellStyle name="20% - Accent1 31 3 2" xfId="595"/>
    <cellStyle name="20% - Accent1 31 3 2 2" xfId="4635"/>
    <cellStyle name="20% - Accent1 31 3 3" xfId="4634"/>
    <cellStyle name="20% - Accent1 31 4" xfId="596"/>
    <cellStyle name="20% - Accent1 31 4 2" xfId="597"/>
    <cellStyle name="20% - Accent1 31 4 2 2" xfId="4637"/>
    <cellStyle name="20% - Accent1 31 4 3" xfId="4636"/>
    <cellStyle name="20% - Accent1 31 5" xfId="598"/>
    <cellStyle name="20% - Accent1 31 5 2" xfId="599"/>
    <cellStyle name="20% - Accent1 31 5 2 2" xfId="4639"/>
    <cellStyle name="20% - Accent1 31 5 3" xfId="4638"/>
    <cellStyle name="20% - Accent1 31 6" xfId="600"/>
    <cellStyle name="20% - Accent1 31 6 2" xfId="601"/>
    <cellStyle name="20% - Accent1 31 6 2 2" xfId="4641"/>
    <cellStyle name="20% - Accent1 31 6 3" xfId="4640"/>
    <cellStyle name="20% - Accent1 31 7" xfId="602"/>
    <cellStyle name="20% - Accent1 31 7 2" xfId="603"/>
    <cellStyle name="20% - Accent1 31 7 2 2" xfId="4643"/>
    <cellStyle name="20% - Accent1 31 7 3" xfId="4642"/>
    <cellStyle name="20% - Accent1 31 8" xfId="604"/>
    <cellStyle name="20% - Accent1 31 8 2" xfId="4644"/>
    <cellStyle name="20% - Accent1 31 9" xfId="17117"/>
    <cellStyle name="20% - Accent1 32" xfId="605"/>
    <cellStyle name="20% - Accent1 32 10" xfId="4645"/>
    <cellStyle name="20% - Accent1 32 2" xfId="606"/>
    <cellStyle name="20% - Accent1 32 2 2" xfId="607"/>
    <cellStyle name="20% - Accent1 32 2 2 2" xfId="4647"/>
    <cellStyle name="20% - Accent1 32 2 3" xfId="4646"/>
    <cellStyle name="20% - Accent1 32 3" xfId="608"/>
    <cellStyle name="20% - Accent1 32 3 2" xfId="609"/>
    <cellStyle name="20% - Accent1 32 3 2 2" xfId="4649"/>
    <cellStyle name="20% - Accent1 32 3 3" xfId="4648"/>
    <cellStyle name="20% - Accent1 32 4" xfId="610"/>
    <cellStyle name="20% - Accent1 32 4 2" xfId="611"/>
    <cellStyle name="20% - Accent1 32 4 2 2" xfId="4651"/>
    <cellStyle name="20% - Accent1 32 4 3" xfId="4650"/>
    <cellStyle name="20% - Accent1 32 5" xfId="612"/>
    <cellStyle name="20% - Accent1 32 5 2" xfId="613"/>
    <cellStyle name="20% - Accent1 32 5 2 2" xfId="4653"/>
    <cellStyle name="20% - Accent1 32 5 3" xfId="4652"/>
    <cellStyle name="20% - Accent1 32 6" xfId="614"/>
    <cellStyle name="20% - Accent1 32 6 2" xfId="615"/>
    <cellStyle name="20% - Accent1 32 6 2 2" xfId="4655"/>
    <cellStyle name="20% - Accent1 32 6 3" xfId="4654"/>
    <cellStyle name="20% - Accent1 32 7" xfId="616"/>
    <cellStyle name="20% - Accent1 32 7 2" xfId="617"/>
    <cellStyle name="20% - Accent1 32 7 2 2" xfId="4657"/>
    <cellStyle name="20% - Accent1 32 7 3" xfId="4656"/>
    <cellStyle name="20% - Accent1 32 8" xfId="618"/>
    <cellStyle name="20% - Accent1 32 8 2" xfId="4658"/>
    <cellStyle name="20% - Accent1 32 9" xfId="18025"/>
    <cellStyle name="20% - Accent1 33" xfId="619"/>
    <cellStyle name="20% - Accent1 33 2" xfId="620"/>
    <cellStyle name="20% - Accent1 33 2 2" xfId="4660"/>
    <cellStyle name="20% - Accent1 33 3" xfId="18915"/>
    <cellStyle name="20% - Accent1 33 4" xfId="4659"/>
    <cellStyle name="20% - Accent1 34" xfId="621"/>
    <cellStyle name="20% - Accent1 34 2" xfId="622"/>
    <cellStyle name="20% - Accent1 34 2 2" xfId="4662"/>
    <cellStyle name="20% - Accent1 34 3" xfId="19713"/>
    <cellStyle name="20% - Accent1 34 4" xfId="4661"/>
    <cellStyle name="20% - Accent1 35" xfId="623"/>
    <cellStyle name="20% - Accent1 35 2" xfId="624"/>
    <cellStyle name="20% - Accent1 35 2 2" xfId="4664"/>
    <cellStyle name="20% - Accent1 35 3" xfId="20494"/>
    <cellStyle name="20% - Accent1 35 4" xfId="4663"/>
    <cellStyle name="20% - Accent1 36" xfId="625"/>
    <cellStyle name="20% - Accent1 36 2" xfId="626"/>
    <cellStyle name="20% - Accent1 36 2 2" xfId="4666"/>
    <cellStyle name="20% - Accent1 36 3" xfId="21490"/>
    <cellStyle name="20% - Accent1 36 4" xfId="4665"/>
    <cellStyle name="20% - Accent1 37" xfId="627"/>
    <cellStyle name="20% - Accent1 37 2" xfId="628"/>
    <cellStyle name="20% - Accent1 37 2 2" xfId="4668"/>
    <cellStyle name="20% - Accent1 37 3" xfId="22769"/>
    <cellStyle name="20% - Accent1 37 4" xfId="4667"/>
    <cellStyle name="20% - Accent1 38" xfId="629"/>
    <cellStyle name="20% - Accent1 38 2" xfId="630"/>
    <cellStyle name="20% - Accent1 38 2 2" xfId="4670"/>
    <cellStyle name="20% - Accent1 38 3" xfId="26286"/>
    <cellStyle name="20% - Accent1 38 4" xfId="4669"/>
    <cellStyle name="20% - Accent1 39" xfId="631"/>
    <cellStyle name="20% - Accent1 39 2" xfId="29077"/>
    <cellStyle name="20% - Accent1 39 3" xfId="4671"/>
    <cellStyle name="20% - Accent1 4" xfId="632"/>
    <cellStyle name="20% - Accent1 4 10" xfId="633"/>
    <cellStyle name="20% - Accent1 4 10 2" xfId="4673"/>
    <cellStyle name="20% - Accent1 4 11" xfId="8921"/>
    <cellStyle name="20% - Accent1 4 12" xfId="4672"/>
    <cellStyle name="20% - Accent1 4 2" xfId="634"/>
    <cellStyle name="20% - Accent1 4 2 2" xfId="635"/>
    <cellStyle name="20% - Accent1 4 2 2 2" xfId="636"/>
    <cellStyle name="20% - Accent1 4 2 2 2 2" xfId="4676"/>
    <cellStyle name="20% - Accent1 4 2 2 3" xfId="4675"/>
    <cellStyle name="20% - Accent1 4 2 3" xfId="637"/>
    <cellStyle name="20% - Accent1 4 2 3 2" xfId="638"/>
    <cellStyle name="20% - Accent1 4 2 3 2 2" xfId="4678"/>
    <cellStyle name="20% - Accent1 4 2 3 3" xfId="4677"/>
    <cellStyle name="20% - Accent1 4 2 4" xfId="639"/>
    <cellStyle name="20% - Accent1 4 2 4 2" xfId="640"/>
    <cellStyle name="20% - Accent1 4 2 4 2 2" xfId="4680"/>
    <cellStyle name="20% - Accent1 4 2 4 3" xfId="4679"/>
    <cellStyle name="20% - Accent1 4 2 5" xfId="641"/>
    <cellStyle name="20% - Accent1 4 2 5 2" xfId="642"/>
    <cellStyle name="20% - Accent1 4 2 5 2 2" xfId="4682"/>
    <cellStyle name="20% - Accent1 4 2 5 3" xfId="4681"/>
    <cellStyle name="20% - Accent1 4 2 6" xfId="643"/>
    <cellStyle name="20% - Accent1 4 2 6 2" xfId="644"/>
    <cellStyle name="20% - Accent1 4 2 6 2 2" xfId="4684"/>
    <cellStyle name="20% - Accent1 4 2 6 3" xfId="4683"/>
    <cellStyle name="20% - Accent1 4 2 7" xfId="645"/>
    <cellStyle name="20% - Accent1 4 2 7 2" xfId="646"/>
    <cellStyle name="20% - Accent1 4 2 7 2 2" xfId="4686"/>
    <cellStyle name="20% - Accent1 4 2 7 3" xfId="4685"/>
    <cellStyle name="20% - Accent1 4 2 8" xfId="647"/>
    <cellStyle name="20% - Accent1 4 2 8 2" xfId="4687"/>
    <cellStyle name="20% - Accent1 4 2 9" xfId="4674"/>
    <cellStyle name="20% - Accent1 4 3" xfId="648"/>
    <cellStyle name="20% - Accent1 4 3 2" xfId="649"/>
    <cellStyle name="20% - Accent1 4 3 2 2" xfId="650"/>
    <cellStyle name="20% - Accent1 4 3 2 2 2" xfId="4690"/>
    <cellStyle name="20% - Accent1 4 3 2 3" xfId="4689"/>
    <cellStyle name="20% - Accent1 4 3 3" xfId="651"/>
    <cellStyle name="20% - Accent1 4 3 3 2" xfId="652"/>
    <cellStyle name="20% - Accent1 4 3 3 2 2" xfId="4692"/>
    <cellStyle name="20% - Accent1 4 3 3 3" xfId="4691"/>
    <cellStyle name="20% - Accent1 4 3 4" xfId="653"/>
    <cellStyle name="20% - Accent1 4 3 4 2" xfId="654"/>
    <cellStyle name="20% - Accent1 4 3 4 2 2" xfId="4694"/>
    <cellStyle name="20% - Accent1 4 3 4 3" xfId="4693"/>
    <cellStyle name="20% - Accent1 4 3 5" xfId="655"/>
    <cellStyle name="20% - Accent1 4 3 5 2" xfId="656"/>
    <cellStyle name="20% - Accent1 4 3 5 2 2" xfId="4696"/>
    <cellStyle name="20% - Accent1 4 3 5 3" xfId="4695"/>
    <cellStyle name="20% - Accent1 4 3 6" xfId="657"/>
    <cellStyle name="20% - Accent1 4 3 6 2" xfId="658"/>
    <cellStyle name="20% - Accent1 4 3 6 2 2" xfId="4698"/>
    <cellStyle name="20% - Accent1 4 3 6 3" xfId="4697"/>
    <cellStyle name="20% - Accent1 4 3 7" xfId="659"/>
    <cellStyle name="20% - Accent1 4 3 7 2" xfId="660"/>
    <cellStyle name="20% - Accent1 4 3 7 2 2" xfId="4700"/>
    <cellStyle name="20% - Accent1 4 3 7 3" xfId="4699"/>
    <cellStyle name="20% - Accent1 4 3 8" xfId="661"/>
    <cellStyle name="20% - Accent1 4 3 8 2" xfId="4701"/>
    <cellStyle name="20% - Accent1 4 3 9" xfId="4688"/>
    <cellStyle name="20% - Accent1 4 4" xfId="662"/>
    <cellStyle name="20% - Accent1 4 4 2" xfId="663"/>
    <cellStyle name="20% - Accent1 4 4 2 2" xfId="4703"/>
    <cellStyle name="20% - Accent1 4 4 3" xfId="4702"/>
    <cellStyle name="20% - Accent1 4 5" xfId="664"/>
    <cellStyle name="20% - Accent1 4 5 2" xfId="665"/>
    <cellStyle name="20% - Accent1 4 5 2 2" xfId="4705"/>
    <cellStyle name="20% - Accent1 4 5 3" xfId="4704"/>
    <cellStyle name="20% - Accent1 4 6" xfId="666"/>
    <cellStyle name="20% - Accent1 4 6 2" xfId="667"/>
    <cellStyle name="20% - Accent1 4 6 2 2" xfId="4707"/>
    <cellStyle name="20% - Accent1 4 6 3" xfId="4706"/>
    <cellStyle name="20% - Accent1 4 7" xfId="668"/>
    <cellStyle name="20% - Accent1 4 7 2" xfId="669"/>
    <cellStyle name="20% - Accent1 4 7 2 2" xfId="4709"/>
    <cellStyle name="20% - Accent1 4 7 3" xfId="4708"/>
    <cellStyle name="20% - Accent1 4 8" xfId="670"/>
    <cellStyle name="20% - Accent1 4 8 2" xfId="671"/>
    <cellStyle name="20% - Accent1 4 8 2 2" xfId="4711"/>
    <cellStyle name="20% - Accent1 4 8 3" xfId="4710"/>
    <cellStyle name="20% - Accent1 4 9" xfId="672"/>
    <cellStyle name="20% - Accent1 4 9 2" xfId="673"/>
    <cellStyle name="20% - Accent1 4 9 2 2" xfId="4713"/>
    <cellStyle name="20% - Accent1 4 9 3" xfId="4712"/>
    <cellStyle name="20% - Accent1 40" xfId="674"/>
    <cellStyle name="20% - Accent1 40 2" xfId="30862"/>
    <cellStyle name="20% - Accent1 40 3" xfId="4714"/>
    <cellStyle name="20% - Accent1 41" xfId="675"/>
    <cellStyle name="20% - Accent1 41 2" xfId="32634"/>
    <cellStyle name="20% - Accent1 41 3" xfId="4715"/>
    <cellStyle name="20% - Accent1 42" xfId="676"/>
    <cellStyle name="20% - Accent1 42 2" xfId="34375"/>
    <cellStyle name="20% - Accent1 42 3" xfId="4716"/>
    <cellStyle name="20% - Accent1 43" xfId="677"/>
    <cellStyle name="20% - Accent1 43 2" xfId="36063"/>
    <cellStyle name="20% - Accent1 43 3" xfId="4717"/>
    <cellStyle name="20% - Accent1 44" xfId="678"/>
    <cellStyle name="20% - Accent1 44 2" xfId="37680"/>
    <cellStyle name="20% - Accent1 44 3" xfId="4718"/>
    <cellStyle name="20% - Accent1 45" xfId="679"/>
    <cellStyle name="20% - Accent1 45 2" xfId="39198"/>
    <cellStyle name="20% - Accent1 45 3" xfId="4719"/>
    <cellStyle name="20% - Accent1 46" xfId="680"/>
    <cellStyle name="20% - Accent1 46 2" xfId="40577"/>
    <cellStyle name="20% - Accent1 46 3" xfId="4720"/>
    <cellStyle name="20% - Accent1 47" xfId="681"/>
    <cellStyle name="20% - Accent1 47 2" xfId="42573"/>
    <cellStyle name="20% - Accent1 47 3" xfId="4721"/>
    <cellStyle name="20% - Accent1 48" xfId="682"/>
    <cellStyle name="20% - Accent1 48 2" xfId="42703"/>
    <cellStyle name="20% - Accent1 48 3" xfId="4722"/>
    <cellStyle name="20% - Accent1 49" xfId="683"/>
    <cellStyle name="20% - Accent1 49 2" xfId="42747"/>
    <cellStyle name="20% - Accent1 49 3" xfId="4723"/>
    <cellStyle name="20% - Accent1 5" xfId="684"/>
    <cellStyle name="20% - Accent1 5 10" xfId="685"/>
    <cellStyle name="20% - Accent1 5 10 2" xfId="4725"/>
    <cellStyle name="20% - Accent1 5 11" xfId="8999"/>
    <cellStyle name="20% - Accent1 5 12" xfId="4724"/>
    <cellStyle name="20% - Accent1 5 2" xfId="686"/>
    <cellStyle name="20% - Accent1 5 2 2" xfId="687"/>
    <cellStyle name="20% - Accent1 5 2 2 2" xfId="688"/>
    <cellStyle name="20% - Accent1 5 2 2 2 2" xfId="4728"/>
    <cellStyle name="20% - Accent1 5 2 2 3" xfId="4727"/>
    <cellStyle name="20% - Accent1 5 2 3" xfId="689"/>
    <cellStyle name="20% - Accent1 5 2 3 2" xfId="690"/>
    <cellStyle name="20% - Accent1 5 2 3 2 2" xfId="4730"/>
    <cellStyle name="20% - Accent1 5 2 3 3" xfId="4729"/>
    <cellStyle name="20% - Accent1 5 2 4" xfId="691"/>
    <cellStyle name="20% - Accent1 5 2 4 2" xfId="692"/>
    <cellStyle name="20% - Accent1 5 2 4 2 2" xfId="4732"/>
    <cellStyle name="20% - Accent1 5 2 4 3" xfId="4731"/>
    <cellStyle name="20% - Accent1 5 2 5" xfId="693"/>
    <cellStyle name="20% - Accent1 5 2 5 2" xfId="694"/>
    <cellStyle name="20% - Accent1 5 2 5 2 2" xfId="4734"/>
    <cellStyle name="20% - Accent1 5 2 5 3" xfId="4733"/>
    <cellStyle name="20% - Accent1 5 2 6" xfId="695"/>
    <cellStyle name="20% - Accent1 5 2 6 2" xfId="696"/>
    <cellStyle name="20% - Accent1 5 2 6 2 2" xfId="4736"/>
    <cellStyle name="20% - Accent1 5 2 6 3" xfId="4735"/>
    <cellStyle name="20% - Accent1 5 2 7" xfId="697"/>
    <cellStyle name="20% - Accent1 5 2 7 2" xfId="698"/>
    <cellStyle name="20% - Accent1 5 2 7 2 2" xfId="4738"/>
    <cellStyle name="20% - Accent1 5 2 7 3" xfId="4737"/>
    <cellStyle name="20% - Accent1 5 2 8" xfId="699"/>
    <cellStyle name="20% - Accent1 5 2 8 2" xfId="4739"/>
    <cellStyle name="20% - Accent1 5 2 9" xfId="4726"/>
    <cellStyle name="20% - Accent1 5 3" xfId="700"/>
    <cellStyle name="20% - Accent1 5 3 2" xfId="701"/>
    <cellStyle name="20% - Accent1 5 3 2 2" xfId="702"/>
    <cellStyle name="20% - Accent1 5 3 2 2 2" xfId="4742"/>
    <cellStyle name="20% - Accent1 5 3 2 3" xfId="4741"/>
    <cellStyle name="20% - Accent1 5 3 3" xfId="703"/>
    <cellStyle name="20% - Accent1 5 3 3 2" xfId="704"/>
    <cellStyle name="20% - Accent1 5 3 3 2 2" xfId="4744"/>
    <cellStyle name="20% - Accent1 5 3 3 3" xfId="4743"/>
    <cellStyle name="20% - Accent1 5 3 4" xfId="705"/>
    <cellStyle name="20% - Accent1 5 3 4 2" xfId="706"/>
    <cellStyle name="20% - Accent1 5 3 4 2 2" xfId="4746"/>
    <cellStyle name="20% - Accent1 5 3 4 3" xfId="4745"/>
    <cellStyle name="20% - Accent1 5 3 5" xfId="707"/>
    <cellStyle name="20% - Accent1 5 3 5 2" xfId="708"/>
    <cellStyle name="20% - Accent1 5 3 5 2 2" xfId="4748"/>
    <cellStyle name="20% - Accent1 5 3 5 3" xfId="4747"/>
    <cellStyle name="20% - Accent1 5 3 6" xfId="709"/>
    <cellStyle name="20% - Accent1 5 3 6 2" xfId="710"/>
    <cellStyle name="20% - Accent1 5 3 6 2 2" xfId="4750"/>
    <cellStyle name="20% - Accent1 5 3 6 3" xfId="4749"/>
    <cellStyle name="20% - Accent1 5 3 7" xfId="711"/>
    <cellStyle name="20% - Accent1 5 3 7 2" xfId="712"/>
    <cellStyle name="20% - Accent1 5 3 7 2 2" xfId="4752"/>
    <cellStyle name="20% - Accent1 5 3 7 3" xfId="4751"/>
    <cellStyle name="20% - Accent1 5 3 8" xfId="713"/>
    <cellStyle name="20% - Accent1 5 3 8 2" xfId="4753"/>
    <cellStyle name="20% - Accent1 5 3 9" xfId="4740"/>
    <cellStyle name="20% - Accent1 5 4" xfId="714"/>
    <cellStyle name="20% - Accent1 5 4 2" xfId="715"/>
    <cellStyle name="20% - Accent1 5 4 2 2" xfId="4755"/>
    <cellStyle name="20% - Accent1 5 4 3" xfId="4754"/>
    <cellStyle name="20% - Accent1 5 5" xfId="716"/>
    <cellStyle name="20% - Accent1 5 5 2" xfId="717"/>
    <cellStyle name="20% - Accent1 5 5 2 2" xfId="4757"/>
    <cellStyle name="20% - Accent1 5 5 3" xfId="4756"/>
    <cellStyle name="20% - Accent1 5 6" xfId="718"/>
    <cellStyle name="20% - Accent1 5 6 2" xfId="719"/>
    <cellStyle name="20% - Accent1 5 6 2 2" xfId="4759"/>
    <cellStyle name="20% - Accent1 5 6 3" xfId="4758"/>
    <cellStyle name="20% - Accent1 5 7" xfId="720"/>
    <cellStyle name="20% - Accent1 5 7 2" xfId="721"/>
    <cellStyle name="20% - Accent1 5 7 2 2" xfId="4761"/>
    <cellStyle name="20% - Accent1 5 7 3" xfId="4760"/>
    <cellStyle name="20% - Accent1 5 8" xfId="722"/>
    <cellStyle name="20% - Accent1 5 8 2" xfId="723"/>
    <cellStyle name="20% - Accent1 5 8 2 2" xfId="4763"/>
    <cellStyle name="20% - Accent1 5 8 3" xfId="4762"/>
    <cellStyle name="20% - Accent1 5 9" xfId="724"/>
    <cellStyle name="20% - Accent1 5 9 2" xfId="725"/>
    <cellStyle name="20% - Accent1 5 9 2 2" xfId="4765"/>
    <cellStyle name="20% - Accent1 5 9 3" xfId="4764"/>
    <cellStyle name="20% - Accent1 50" xfId="726"/>
    <cellStyle name="20% - Accent1 50 2" xfId="42789"/>
    <cellStyle name="20% - Accent1 50 3" xfId="4766"/>
    <cellStyle name="20% - Accent1 51" xfId="727"/>
    <cellStyle name="20% - Accent1 51 2" xfId="42830"/>
    <cellStyle name="20% - Accent1 51 3" xfId="4767"/>
    <cellStyle name="20% - Accent1 52" xfId="728"/>
    <cellStyle name="20% - Accent1 52 2" xfId="42871"/>
    <cellStyle name="20% - Accent1 52 3" xfId="4768"/>
    <cellStyle name="20% - Accent1 53" xfId="729"/>
    <cellStyle name="20% - Accent1 53 2" xfId="42911"/>
    <cellStyle name="20% - Accent1 53 3" xfId="4769"/>
    <cellStyle name="20% - Accent1 54" xfId="730"/>
    <cellStyle name="20% - Accent1 54 2" xfId="42951"/>
    <cellStyle name="20% - Accent1 54 3" xfId="4770"/>
    <cellStyle name="20% - Accent1 55" xfId="731"/>
    <cellStyle name="20% - Accent1 55 2" xfId="42988"/>
    <cellStyle name="20% - Accent1 55 3" xfId="4771"/>
    <cellStyle name="20% - Accent1 56" xfId="732"/>
    <cellStyle name="20% - Accent1 56 2" xfId="43025"/>
    <cellStyle name="20% - Accent1 56 3" xfId="4772"/>
    <cellStyle name="20% - Accent1 57" xfId="733"/>
    <cellStyle name="20% - Accent1 57 2" xfId="43059"/>
    <cellStyle name="20% - Accent1 57 3" xfId="4773"/>
    <cellStyle name="20% - Accent1 58" xfId="734"/>
    <cellStyle name="20% - Accent1 58 2" xfId="43091"/>
    <cellStyle name="20% - Accent1 58 3" xfId="4774"/>
    <cellStyle name="20% - Accent1 59" xfId="735"/>
    <cellStyle name="20% - Accent1 59 2" xfId="43114"/>
    <cellStyle name="20% - Accent1 59 3" xfId="4775"/>
    <cellStyle name="20% - Accent1 6" xfId="736"/>
    <cellStyle name="20% - Accent1 6 10" xfId="737"/>
    <cellStyle name="20% - Accent1 6 10 2" xfId="4777"/>
    <cellStyle name="20% - Accent1 6 11" xfId="9072"/>
    <cellStyle name="20% - Accent1 6 12" xfId="4776"/>
    <cellStyle name="20% - Accent1 6 2" xfId="738"/>
    <cellStyle name="20% - Accent1 6 2 2" xfId="739"/>
    <cellStyle name="20% - Accent1 6 2 2 2" xfId="740"/>
    <cellStyle name="20% - Accent1 6 2 2 2 2" xfId="4780"/>
    <cellStyle name="20% - Accent1 6 2 2 3" xfId="4779"/>
    <cellStyle name="20% - Accent1 6 2 3" xfId="741"/>
    <cellStyle name="20% - Accent1 6 2 3 2" xfId="742"/>
    <cellStyle name="20% - Accent1 6 2 3 2 2" xfId="4782"/>
    <cellStyle name="20% - Accent1 6 2 3 3" xfId="4781"/>
    <cellStyle name="20% - Accent1 6 2 4" xfId="743"/>
    <cellStyle name="20% - Accent1 6 2 4 2" xfId="744"/>
    <cellStyle name="20% - Accent1 6 2 4 2 2" xfId="4784"/>
    <cellStyle name="20% - Accent1 6 2 4 3" xfId="4783"/>
    <cellStyle name="20% - Accent1 6 2 5" xfId="745"/>
    <cellStyle name="20% - Accent1 6 2 5 2" xfId="746"/>
    <cellStyle name="20% - Accent1 6 2 5 2 2" xfId="4786"/>
    <cellStyle name="20% - Accent1 6 2 5 3" xfId="4785"/>
    <cellStyle name="20% - Accent1 6 2 6" xfId="747"/>
    <cellStyle name="20% - Accent1 6 2 6 2" xfId="748"/>
    <cellStyle name="20% - Accent1 6 2 6 2 2" xfId="4788"/>
    <cellStyle name="20% - Accent1 6 2 6 3" xfId="4787"/>
    <cellStyle name="20% - Accent1 6 2 7" xfId="749"/>
    <cellStyle name="20% - Accent1 6 2 7 2" xfId="750"/>
    <cellStyle name="20% - Accent1 6 2 7 2 2" xfId="4790"/>
    <cellStyle name="20% - Accent1 6 2 7 3" xfId="4789"/>
    <cellStyle name="20% - Accent1 6 2 8" xfId="751"/>
    <cellStyle name="20% - Accent1 6 2 8 2" xfId="4791"/>
    <cellStyle name="20% - Accent1 6 2 9" xfId="4778"/>
    <cellStyle name="20% - Accent1 6 3" xfId="752"/>
    <cellStyle name="20% - Accent1 6 3 2" xfId="753"/>
    <cellStyle name="20% - Accent1 6 3 2 2" xfId="754"/>
    <cellStyle name="20% - Accent1 6 3 2 2 2" xfId="4794"/>
    <cellStyle name="20% - Accent1 6 3 2 3" xfId="4793"/>
    <cellStyle name="20% - Accent1 6 3 3" xfId="755"/>
    <cellStyle name="20% - Accent1 6 3 3 2" xfId="756"/>
    <cellStyle name="20% - Accent1 6 3 3 2 2" xfId="4796"/>
    <cellStyle name="20% - Accent1 6 3 3 3" xfId="4795"/>
    <cellStyle name="20% - Accent1 6 3 4" xfId="757"/>
    <cellStyle name="20% - Accent1 6 3 4 2" xfId="758"/>
    <cellStyle name="20% - Accent1 6 3 4 2 2" xfId="4798"/>
    <cellStyle name="20% - Accent1 6 3 4 3" xfId="4797"/>
    <cellStyle name="20% - Accent1 6 3 5" xfId="759"/>
    <cellStyle name="20% - Accent1 6 3 5 2" xfId="760"/>
    <cellStyle name="20% - Accent1 6 3 5 2 2" xfId="4800"/>
    <cellStyle name="20% - Accent1 6 3 5 3" xfId="4799"/>
    <cellStyle name="20% - Accent1 6 3 6" xfId="761"/>
    <cellStyle name="20% - Accent1 6 3 6 2" xfId="762"/>
    <cellStyle name="20% - Accent1 6 3 6 2 2" xfId="4802"/>
    <cellStyle name="20% - Accent1 6 3 6 3" xfId="4801"/>
    <cellStyle name="20% - Accent1 6 3 7" xfId="763"/>
    <cellStyle name="20% - Accent1 6 3 7 2" xfId="764"/>
    <cellStyle name="20% - Accent1 6 3 7 2 2" xfId="4804"/>
    <cellStyle name="20% - Accent1 6 3 7 3" xfId="4803"/>
    <cellStyle name="20% - Accent1 6 3 8" xfId="765"/>
    <cellStyle name="20% - Accent1 6 3 8 2" xfId="4805"/>
    <cellStyle name="20% - Accent1 6 3 9" xfId="4792"/>
    <cellStyle name="20% - Accent1 6 4" xfId="766"/>
    <cellStyle name="20% - Accent1 6 4 2" xfId="767"/>
    <cellStyle name="20% - Accent1 6 4 2 2" xfId="4807"/>
    <cellStyle name="20% - Accent1 6 4 3" xfId="4806"/>
    <cellStyle name="20% - Accent1 6 5" xfId="768"/>
    <cellStyle name="20% - Accent1 6 5 2" xfId="769"/>
    <cellStyle name="20% - Accent1 6 5 2 2" xfId="4809"/>
    <cellStyle name="20% - Accent1 6 5 3" xfId="4808"/>
    <cellStyle name="20% - Accent1 6 6" xfId="770"/>
    <cellStyle name="20% - Accent1 6 6 2" xfId="771"/>
    <cellStyle name="20% - Accent1 6 6 2 2" xfId="4811"/>
    <cellStyle name="20% - Accent1 6 6 3" xfId="4810"/>
    <cellStyle name="20% - Accent1 6 7" xfId="772"/>
    <cellStyle name="20% - Accent1 6 7 2" xfId="773"/>
    <cellStyle name="20% - Accent1 6 7 2 2" xfId="4813"/>
    <cellStyle name="20% - Accent1 6 7 3" xfId="4812"/>
    <cellStyle name="20% - Accent1 6 8" xfId="774"/>
    <cellStyle name="20% - Accent1 6 8 2" xfId="775"/>
    <cellStyle name="20% - Accent1 6 8 2 2" xfId="4815"/>
    <cellStyle name="20% - Accent1 6 8 3" xfId="4814"/>
    <cellStyle name="20% - Accent1 6 9" xfId="776"/>
    <cellStyle name="20% - Accent1 6 9 2" xfId="777"/>
    <cellStyle name="20% - Accent1 6 9 2 2" xfId="4817"/>
    <cellStyle name="20% - Accent1 6 9 3" xfId="4816"/>
    <cellStyle name="20% - Accent1 60" xfId="778"/>
    <cellStyle name="20% - Accent1 60 2" xfId="43124"/>
    <cellStyle name="20% - Accent1 60 3" xfId="4818"/>
    <cellStyle name="20% - Accent1 61" xfId="779"/>
    <cellStyle name="20% - Accent1 61 2" xfId="43200"/>
    <cellStyle name="20% - Accent1 61 3" xfId="4819"/>
    <cellStyle name="20% - Accent1 62" xfId="780"/>
    <cellStyle name="20% - Accent1 62 2" xfId="8612"/>
    <cellStyle name="20% - Accent1 62 3" xfId="4820"/>
    <cellStyle name="20% - Accent1 63" xfId="781"/>
    <cellStyle name="20% - Accent1 63 2" xfId="4821"/>
    <cellStyle name="20% - Accent1 64" xfId="782"/>
    <cellStyle name="20% - Accent1 64 2" xfId="4822"/>
    <cellStyle name="20% - Accent1 65" xfId="783"/>
    <cellStyle name="20% - Accent1 65 2" xfId="4823"/>
    <cellStyle name="20% - Accent1 66" xfId="784"/>
    <cellStyle name="20% - Accent1 66 2" xfId="4824"/>
    <cellStyle name="20% - Accent1 67" xfId="785"/>
    <cellStyle name="20% - Accent1 67 2" xfId="4825"/>
    <cellStyle name="20% - Accent1 68" xfId="786"/>
    <cellStyle name="20% - Accent1 68 2" xfId="4826"/>
    <cellStyle name="20% - Accent1 69" xfId="787"/>
    <cellStyle name="20% - Accent1 69 2" xfId="4827"/>
    <cellStyle name="20% - Accent1 7" xfId="788"/>
    <cellStyle name="20% - Accent1 7 10" xfId="789"/>
    <cellStyle name="20% - Accent1 7 10 2" xfId="4829"/>
    <cellStyle name="20% - Accent1 7 11" xfId="9129"/>
    <cellStyle name="20% - Accent1 7 12" xfId="4828"/>
    <cellStyle name="20% - Accent1 7 2" xfId="790"/>
    <cellStyle name="20% - Accent1 7 2 2" xfId="791"/>
    <cellStyle name="20% - Accent1 7 2 2 2" xfId="792"/>
    <cellStyle name="20% - Accent1 7 2 2 2 2" xfId="4832"/>
    <cellStyle name="20% - Accent1 7 2 2 3" xfId="4831"/>
    <cellStyle name="20% - Accent1 7 2 3" xfId="793"/>
    <cellStyle name="20% - Accent1 7 2 3 2" xfId="794"/>
    <cellStyle name="20% - Accent1 7 2 3 2 2" xfId="4834"/>
    <cellStyle name="20% - Accent1 7 2 3 3" xfId="4833"/>
    <cellStyle name="20% - Accent1 7 2 4" xfId="795"/>
    <cellStyle name="20% - Accent1 7 2 4 2" xfId="796"/>
    <cellStyle name="20% - Accent1 7 2 4 2 2" xfId="4836"/>
    <cellStyle name="20% - Accent1 7 2 4 3" xfId="4835"/>
    <cellStyle name="20% - Accent1 7 2 5" xfId="797"/>
    <cellStyle name="20% - Accent1 7 2 5 2" xfId="798"/>
    <cellStyle name="20% - Accent1 7 2 5 2 2" xfId="4838"/>
    <cellStyle name="20% - Accent1 7 2 5 3" xfId="4837"/>
    <cellStyle name="20% - Accent1 7 2 6" xfId="799"/>
    <cellStyle name="20% - Accent1 7 2 6 2" xfId="800"/>
    <cellStyle name="20% - Accent1 7 2 6 2 2" xfId="4840"/>
    <cellStyle name="20% - Accent1 7 2 6 3" xfId="4839"/>
    <cellStyle name="20% - Accent1 7 2 7" xfId="801"/>
    <cellStyle name="20% - Accent1 7 2 7 2" xfId="802"/>
    <cellStyle name="20% - Accent1 7 2 7 2 2" xfId="4842"/>
    <cellStyle name="20% - Accent1 7 2 7 3" xfId="4841"/>
    <cellStyle name="20% - Accent1 7 2 8" xfId="803"/>
    <cellStyle name="20% - Accent1 7 2 8 2" xfId="4843"/>
    <cellStyle name="20% - Accent1 7 2 9" xfId="4830"/>
    <cellStyle name="20% - Accent1 7 3" xfId="804"/>
    <cellStyle name="20% - Accent1 7 3 2" xfId="805"/>
    <cellStyle name="20% - Accent1 7 3 2 2" xfId="806"/>
    <cellStyle name="20% - Accent1 7 3 2 2 2" xfId="4846"/>
    <cellStyle name="20% - Accent1 7 3 2 3" xfId="4845"/>
    <cellStyle name="20% - Accent1 7 3 3" xfId="807"/>
    <cellStyle name="20% - Accent1 7 3 3 2" xfId="808"/>
    <cellStyle name="20% - Accent1 7 3 3 2 2" xfId="4848"/>
    <cellStyle name="20% - Accent1 7 3 3 3" xfId="4847"/>
    <cellStyle name="20% - Accent1 7 3 4" xfId="809"/>
    <cellStyle name="20% - Accent1 7 3 4 2" xfId="810"/>
    <cellStyle name="20% - Accent1 7 3 4 2 2" xfId="4850"/>
    <cellStyle name="20% - Accent1 7 3 4 3" xfId="4849"/>
    <cellStyle name="20% - Accent1 7 3 5" xfId="811"/>
    <cellStyle name="20% - Accent1 7 3 5 2" xfId="812"/>
    <cellStyle name="20% - Accent1 7 3 5 2 2" xfId="4852"/>
    <cellStyle name="20% - Accent1 7 3 5 3" xfId="4851"/>
    <cellStyle name="20% - Accent1 7 3 6" xfId="813"/>
    <cellStyle name="20% - Accent1 7 3 6 2" xfId="814"/>
    <cellStyle name="20% - Accent1 7 3 6 2 2" xfId="4854"/>
    <cellStyle name="20% - Accent1 7 3 6 3" xfId="4853"/>
    <cellStyle name="20% - Accent1 7 3 7" xfId="815"/>
    <cellStyle name="20% - Accent1 7 3 7 2" xfId="816"/>
    <cellStyle name="20% - Accent1 7 3 7 2 2" xfId="4856"/>
    <cellStyle name="20% - Accent1 7 3 7 3" xfId="4855"/>
    <cellStyle name="20% - Accent1 7 3 8" xfId="817"/>
    <cellStyle name="20% - Accent1 7 3 8 2" xfId="4857"/>
    <cellStyle name="20% - Accent1 7 3 9" xfId="4844"/>
    <cellStyle name="20% - Accent1 7 4" xfId="818"/>
    <cellStyle name="20% - Accent1 7 4 2" xfId="819"/>
    <cellStyle name="20% - Accent1 7 4 2 2" xfId="4859"/>
    <cellStyle name="20% - Accent1 7 4 3" xfId="4858"/>
    <cellStyle name="20% - Accent1 7 5" xfId="820"/>
    <cellStyle name="20% - Accent1 7 5 2" xfId="821"/>
    <cellStyle name="20% - Accent1 7 5 2 2" xfId="4861"/>
    <cellStyle name="20% - Accent1 7 5 3" xfId="4860"/>
    <cellStyle name="20% - Accent1 7 6" xfId="822"/>
    <cellStyle name="20% - Accent1 7 6 2" xfId="823"/>
    <cellStyle name="20% - Accent1 7 6 2 2" xfId="4863"/>
    <cellStyle name="20% - Accent1 7 6 3" xfId="4862"/>
    <cellStyle name="20% - Accent1 7 7" xfId="824"/>
    <cellStyle name="20% - Accent1 7 7 2" xfId="825"/>
    <cellStyle name="20% - Accent1 7 7 2 2" xfId="4865"/>
    <cellStyle name="20% - Accent1 7 7 3" xfId="4864"/>
    <cellStyle name="20% - Accent1 7 8" xfId="826"/>
    <cellStyle name="20% - Accent1 7 8 2" xfId="827"/>
    <cellStyle name="20% - Accent1 7 8 2 2" xfId="4867"/>
    <cellStyle name="20% - Accent1 7 8 3" xfId="4866"/>
    <cellStyle name="20% - Accent1 7 9" xfId="828"/>
    <cellStyle name="20% - Accent1 7 9 2" xfId="829"/>
    <cellStyle name="20% - Accent1 7 9 2 2" xfId="4869"/>
    <cellStyle name="20% - Accent1 7 9 3" xfId="4868"/>
    <cellStyle name="20% - Accent1 70" xfId="830"/>
    <cellStyle name="20% - Accent1 70 2" xfId="4870"/>
    <cellStyle name="20% - Accent1 71" xfId="831"/>
    <cellStyle name="20% - Accent1 71 2" xfId="4871"/>
    <cellStyle name="20% - Accent1 72" xfId="832"/>
    <cellStyle name="20% - Accent1 72 2" xfId="4872"/>
    <cellStyle name="20% - Accent1 73" xfId="833"/>
    <cellStyle name="20% - Accent1 73 2" xfId="4873"/>
    <cellStyle name="20% - Accent1 74" xfId="834"/>
    <cellStyle name="20% - Accent1 74 2" xfId="4874"/>
    <cellStyle name="20% - Accent1 75" xfId="835"/>
    <cellStyle name="20% - Accent1 75 2" xfId="4875"/>
    <cellStyle name="20% - Accent1 76" xfId="836"/>
    <cellStyle name="20% - Accent1 76 2" xfId="4876"/>
    <cellStyle name="20% - Accent1 77" xfId="837"/>
    <cellStyle name="20% - Accent1 77 2" xfId="4877"/>
    <cellStyle name="20% - Accent1 78" xfId="838"/>
    <cellStyle name="20% - Accent1 78 2" xfId="4878"/>
    <cellStyle name="20% - Accent1 79" xfId="839"/>
    <cellStyle name="20% - Accent1 79 2" xfId="4879"/>
    <cellStyle name="20% - Accent1 8" xfId="840"/>
    <cellStyle name="20% - Accent1 8 10" xfId="841"/>
    <cellStyle name="20% - Accent1 8 10 2" xfId="4881"/>
    <cellStyle name="20% - Accent1 8 11" xfId="9241"/>
    <cellStyle name="20% - Accent1 8 12" xfId="4880"/>
    <cellStyle name="20% - Accent1 8 2" xfId="842"/>
    <cellStyle name="20% - Accent1 8 2 2" xfId="843"/>
    <cellStyle name="20% - Accent1 8 2 2 2" xfId="844"/>
    <cellStyle name="20% - Accent1 8 2 2 2 2" xfId="4884"/>
    <cellStyle name="20% - Accent1 8 2 2 3" xfId="4883"/>
    <cellStyle name="20% - Accent1 8 2 3" xfId="845"/>
    <cellStyle name="20% - Accent1 8 2 3 2" xfId="846"/>
    <cellStyle name="20% - Accent1 8 2 3 2 2" xfId="4886"/>
    <cellStyle name="20% - Accent1 8 2 3 3" xfId="4885"/>
    <cellStyle name="20% - Accent1 8 2 4" xfId="847"/>
    <cellStyle name="20% - Accent1 8 2 4 2" xfId="848"/>
    <cellStyle name="20% - Accent1 8 2 4 2 2" xfId="4888"/>
    <cellStyle name="20% - Accent1 8 2 4 3" xfId="4887"/>
    <cellStyle name="20% - Accent1 8 2 5" xfId="849"/>
    <cellStyle name="20% - Accent1 8 2 5 2" xfId="850"/>
    <cellStyle name="20% - Accent1 8 2 5 2 2" xfId="4890"/>
    <cellStyle name="20% - Accent1 8 2 5 3" xfId="4889"/>
    <cellStyle name="20% - Accent1 8 2 6" xfId="851"/>
    <cellStyle name="20% - Accent1 8 2 6 2" xfId="852"/>
    <cellStyle name="20% - Accent1 8 2 6 2 2" xfId="4892"/>
    <cellStyle name="20% - Accent1 8 2 6 3" xfId="4891"/>
    <cellStyle name="20% - Accent1 8 2 7" xfId="853"/>
    <cellStyle name="20% - Accent1 8 2 7 2" xfId="854"/>
    <cellStyle name="20% - Accent1 8 2 7 2 2" xfId="4894"/>
    <cellStyle name="20% - Accent1 8 2 7 3" xfId="4893"/>
    <cellStyle name="20% - Accent1 8 2 8" xfId="855"/>
    <cellStyle name="20% - Accent1 8 2 8 2" xfId="4895"/>
    <cellStyle name="20% - Accent1 8 2 9" xfId="4882"/>
    <cellStyle name="20% - Accent1 8 3" xfId="856"/>
    <cellStyle name="20% - Accent1 8 3 2" xfId="857"/>
    <cellStyle name="20% - Accent1 8 3 2 2" xfId="858"/>
    <cellStyle name="20% - Accent1 8 3 2 2 2" xfId="4898"/>
    <cellStyle name="20% - Accent1 8 3 2 3" xfId="4897"/>
    <cellStyle name="20% - Accent1 8 3 3" xfId="859"/>
    <cellStyle name="20% - Accent1 8 3 3 2" xfId="860"/>
    <cellStyle name="20% - Accent1 8 3 3 2 2" xfId="4900"/>
    <cellStyle name="20% - Accent1 8 3 3 3" xfId="4899"/>
    <cellStyle name="20% - Accent1 8 3 4" xfId="861"/>
    <cellStyle name="20% - Accent1 8 3 4 2" xfId="862"/>
    <cellStyle name="20% - Accent1 8 3 4 2 2" xfId="4902"/>
    <cellStyle name="20% - Accent1 8 3 4 3" xfId="4901"/>
    <cellStyle name="20% - Accent1 8 3 5" xfId="863"/>
    <cellStyle name="20% - Accent1 8 3 5 2" xfId="864"/>
    <cellStyle name="20% - Accent1 8 3 5 2 2" xfId="4904"/>
    <cellStyle name="20% - Accent1 8 3 5 3" xfId="4903"/>
    <cellStyle name="20% - Accent1 8 3 6" xfId="865"/>
    <cellStyle name="20% - Accent1 8 3 6 2" xfId="866"/>
    <cellStyle name="20% - Accent1 8 3 6 2 2" xfId="4906"/>
    <cellStyle name="20% - Accent1 8 3 6 3" xfId="4905"/>
    <cellStyle name="20% - Accent1 8 3 7" xfId="867"/>
    <cellStyle name="20% - Accent1 8 3 7 2" xfId="868"/>
    <cellStyle name="20% - Accent1 8 3 7 2 2" xfId="4908"/>
    <cellStyle name="20% - Accent1 8 3 7 3" xfId="4907"/>
    <cellStyle name="20% - Accent1 8 3 8" xfId="869"/>
    <cellStyle name="20% - Accent1 8 3 8 2" xfId="4909"/>
    <cellStyle name="20% - Accent1 8 3 9" xfId="4896"/>
    <cellStyle name="20% - Accent1 8 4" xfId="870"/>
    <cellStyle name="20% - Accent1 8 4 2" xfId="871"/>
    <cellStyle name="20% - Accent1 8 4 2 2" xfId="4911"/>
    <cellStyle name="20% - Accent1 8 4 3" xfId="4910"/>
    <cellStyle name="20% - Accent1 8 5" xfId="872"/>
    <cellStyle name="20% - Accent1 8 5 2" xfId="873"/>
    <cellStyle name="20% - Accent1 8 5 2 2" xfId="4913"/>
    <cellStyle name="20% - Accent1 8 5 3" xfId="4912"/>
    <cellStyle name="20% - Accent1 8 6" xfId="874"/>
    <cellStyle name="20% - Accent1 8 6 2" xfId="875"/>
    <cellStyle name="20% - Accent1 8 6 2 2" xfId="4915"/>
    <cellStyle name="20% - Accent1 8 6 3" xfId="4914"/>
    <cellStyle name="20% - Accent1 8 7" xfId="876"/>
    <cellStyle name="20% - Accent1 8 7 2" xfId="877"/>
    <cellStyle name="20% - Accent1 8 7 2 2" xfId="4917"/>
    <cellStyle name="20% - Accent1 8 7 3" xfId="4916"/>
    <cellStyle name="20% - Accent1 8 8" xfId="878"/>
    <cellStyle name="20% - Accent1 8 8 2" xfId="879"/>
    <cellStyle name="20% - Accent1 8 8 2 2" xfId="4919"/>
    <cellStyle name="20% - Accent1 8 8 3" xfId="4918"/>
    <cellStyle name="20% - Accent1 8 9" xfId="880"/>
    <cellStyle name="20% - Accent1 8 9 2" xfId="881"/>
    <cellStyle name="20% - Accent1 8 9 2 2" xfId="4921"/>
    <cellStyle name="20% - Accent1 8 9 3" xfId="4920"/>
    <cellStyle name="20% - Accent1 80" xfId="882"/>
    <cellStyle name="20% - Accent1 80 2" xfId="4922"/>
    <cellStyle name="20% - Accent1 81" xfId="883"/>
    <cellStyle name="20% - Accent1 81 2" xfId="4923"/>
    <cellStyle name="20% - Accent1 82" xfId="884"/>
    <cellStyle name="20% - Accent1 82 2" xfId="4924"/>
    <cellStyle name="20% - Accent1 83" xfId="885"/>
    <cellStyle name="20% - Accent1 83 2" xfId="4925"/>
    <cellStyle name="20% - Accent1 84" xfId="886"/>
    <cellStyle name="20% - Accent1 84 2" xfId="4926"/>
    <cellStyle name="20% - Accent1 85" xfId="887"/>
    <cellStyle name="20% - Accent1 85 2" xfId="4927"/>
    <cellStyle name="20% - Accent1 86" xfId="888"/>
    <cellStyle name="20% - Accent1 86 2" xfId="4928"/>
    <cellStyle name="20% - Accent1 87" xfId="889"/>
    <cellStyle name="20% - Accent1 87 2" xfId="4929"/>
    <cellStyle name="20% - Accent1 88" xfId="890"/>
    <cellStyle name="20% - Accent1 88 2" xfId="4930"/>
    <cellStyle name="20% - Accent1 89" xfId="891"/>
    <cellStyle name="20% - Accent1 89 2" xfId="4931"/>
    <cellStyle name="20% - Accent1 9" xfId="892"/>
    <cellStyle name="20% - Accent1 9 10" xfId="893"/>
    <cellStyle name="20% - Accent1 9 10 2" xfId="4933"/>
    <cellStyle name="20% - Accent1 9 11" xfId="9753"/>
    <cellStyle name="20% - Accent1 9 12" xfId="4932"/>
    <cellStyle name="20% - Accent1 9 2" xfId="894"/>
    <cellStyle name="20% - Accent1 9 2 2" xfId="895"/>
    <cellStyle name="20% - Accent1 9 2 2 2" xfId="896"/>
    <cellStyle name="20% - Accent1 9 2 2 2 2" xfId="4936"/>
    <cellStyle name="20% - Accent1 9 2 2 3" xfId="4935"/>
    <cellStyle name="20% - Accent1 9 2 3" xfId="897"/>
    <cellStyle name="20% - Accent1 9 2 3 2" xfId="898"/>
    <cellStyle name="20% - Accent1 9 2 3 2 2" xfId="4938"/>
    <cellStyle name="20% - Accent1 9 2 3 3" xfId="4937"/>
    <cellStyle name="20% - Accent1 9 2 4" xfId="899"/>
    <cellStyle name="20% - Accent1 9 2 4 2" xfId="900"/>
    <cellStyle name="20% - Accent1 9 2 4 2 2" xfId="4940"/>
    <cellStyle name="20% - Accent1 9 2 4 3" xfId="4939"/>
    <cellStyle name="20% - Accent1 9 2 5" xfId="901"/>
    <cellStyle name="20% - Accent1 9 2 5 2" xfId="902"/>
    <cellStyle name="20% - Accent1 9 2 5 2 2" xfId="4942"/>
    <cellStyle name="20% - Accent1 9 2 5 3" xfId="4941"/>
    <cellStyle name="20% - Accent1 9 2 6" xfId="903"/>
    <cellStyle name="20% - Accent1 9 2 6 2" xfId="904"/>
    <cellStyle name="20% - Accent1 9 2 6 2 2" xfId="4944"/>
    <cellStyle name="20% - Accent1 9 2 6 3" xfId="4943"/>
    <cellStyle name="20% - Accent1 9 2 7" xfId="905"/>
    <cellStyle name="20% - Accent1 9 2 7 2" xfId="906"/>
    <cellStyle name="20% - Accent1 9 2 7 2 2" xfId="4946"/>
    <cellStyle name="20% - Accent1 9 2 7 3" xfId="4945"/>
    <cellStyle name="20% - Accent1 9 2 8" xfId="907"/>
    <cellStyle name="20% - Accent1 9 2 8 2" xfId="4947"/>
    <cellStyle name="20% - Accent1 9 2 9" xfId="4934"/>
    <cellStyle name="20% - Accent1 9 3" xfId="908"/>
    <cellStyle name="20% - Accent1 9 3 2" xfId="909"/>
    <cellStyle name="20% - Accent1 9 3 2 2" xfId="910"/>
    <cellStyle name="20% - Accent1 9 3 2 2 2" xfId="4950"/>
    <cellStyle name="20% - Accent1 9 3 2 3" xfId="4949"/>
    <cellStyle name="20% - Accent1 9 3 3" xfId="911"/>
    <cellStyle name="20% - Accent1 9 3 3 2" xfId="912"/>
    <cellStyle name="20% - Accent1 9 3 3 2 2" xfId="4952"/>
    <cellStyle name="20% - Accent1 9 3 3 3" xfId="4951"/>
    <cellStyle name="20% - Accent1 9 3 4" xfId="913"/>
    <cellStyle name="20% - Accent1 9 3 4 2" xfId="914"/>
    <cellStyle name="20% - Accent1 9 3 4 2 2" xfId="4954"/>
    <cellStyle name="20% - Accent1 9 3 4 3" xfId="4953"/>
    <cellStyle name="20% - Accent1 9 3 5" xfId="915"/>
    <cellStyle name="20% - Accent1 9 3 5 2" xfId="916"/>
    <cellStyle name="20% - Accent1 9 3 5 2 2" xfId="4956"/>
    <cellStyle name="20% - Accent1 9 3 5 3" xfId="4955"/>
    <cellStyle name="20% - Accent1 9 3 6" xfId="917"/>
    <cellStyle name="20% - Accent1 9 3 6 2" xfId="918"/>
    <cellStyle name="20% - Accent1 9 3 6 2 2" xfId="4958"/>
    <cellStyle name="20% - Accent1 9 3 6 3" xfId="4957"/>
    <cellStyle name="20% - Accent1 9 3 7" xfId="919"/>
    <cellStyle name="20% - Accent1 9 3 7 2" xfId="920"/>
    <cellStyle name="20% - Accent1 9 3 7 2 2" xfId="4960"/>
    <cellStyle name="20% - Accent1 9 3 7 3" xfId="4959"/>
    <cellStyle name="20% - Accent1 9 3 8" xfId="921"/>
    <cellStyle name="20% - Accent1 9 3 8 2" xfId="4961"/>
    <cellStyle name="20% - Accent1 9 3 9" xfId="4948"/>
    <cellStyle name="20% - Accent1 9 4" xfId="922"/>
    <cellStyle name="20% - Accent1 9 4 2" xfId="923"/>
    <cellStyle name="20% - Accent1 9 4 2 2" xfId="4963"/>
    <cellStyle name="20% - Accent1 9 4 3" xfId="4962"/>
    <cellStyle name="20% - Accent1 9 5" xfId="924"/>
    <cellStyle name="20% - Accent1 9 5 2" xfId="925"/>
    <cellStyle name="20% - Accent1 9 5 2 2" xfId="4965"/>
    <cellStyle name="20% - Accent1 9 5 3" xfId="4964"/>
    <cellStyle name="20% - Accent1 9 6" xfId="926"/>
    <cellStyle name="20% - Accent1 9 6 2" xfId="927"/>
    <cellStyle name="20% - Accent1 9 6 2 2" xfId="4967"/>
    <cellStyle name="20% - Accent1 9 6 3" xfId="4966"/>
    <cellStyle name="20% - Accent1 9 7" xfId="928"/>
    <cellStyle name="20% - Accent1 9 7 2" xfId="929"/>
    <cellStyle name="20% - Accent1 9 7 2 2" xfId="4969"/>
    <cellStyle name="20% - Accent1 9 7 3" xfId="4968"/>
    <cellStyle name="20% - Accent1 9 8" xfId="930"/>
    <cellStyle name="20% - Accent1 9 8 2" xfId="931"/>
    <cellStyle name="20% - Accent1 9 8 2 2" xfId="4971"/>
    <cellStyle name="20% - Accent1 9 8 3" xfId="4970"/>
    <cellStyle name="20% - Accent1 9 9" xfId="932"/>
    <cellStyle name="20% - Accent1 9 9 2" xfId="933"/>
    <cellStyle name="20% - Accent1 9 9 2 2" xfId="4973"/>
    <cellStyle name="20% - Accent1 9 9 3" xfId="4972"/>
    <cellStyle name="20% - Accent1 90" xfId="934"/>
    <cellStyle name="20% - Accent1 90 2" xfId="4974"/>
    <cellStyle name="20% - Accent1 91" xfId="3943"/>
    <cellStyle name="20% - Accent1 92" xfId="4168"/>
    <cellStyle name="20% - Accent1 93" xfId="128"/>
    <cellStyle name="20% - Accent2" xfId="24" builtinId="34" customBuiltin="1"/>
    <cellStyle name="20% - Accent2 10" xfId="936"/>
    <cellStyle name="20% - Accent2 10 10" xfId="937"/>
    <cellStyle name="20% - Accent2 10 10 2" xfId="4977"/>
    <cellStyle name="20% - Accent2 10 11" xfId="9838"/>
    <cellStyle name="20% - Accent2 10 12" xfId="4976"/>
    <cellStyle name="20% - Accent2 10 2" xfId="938"/>
    <cellStyle name="20% - Accent2 10 2 2" xfId="939"/>
    <cellStyle name="20% - Accent2 10 2 2 2" xfId="940"/>
    <cellStyle name="20% - Accent2 10 2 2 2 2" xfId="4980"/>
    <cellStyle name="20% - Accent2 10 2 2 3" xfId="4979"/>
    <cellStyle name="20% - Accent2 10 2 3" xfId="941"/>
    <cellStyle name="20% - Accent2 10 2 3 2" xfId="942"/>
    <cellStyle name="20% - Accent2 10 2 3 2 2" xfId="4982"/>
    <cellStyle name="20% - Accent2 10 2 3 3" xfId="4981"/>
    <cellStyle name="20% - Accent2 10 2 4" xfId="943"/>
    <cellStyle name="20% - Accent2 10 2 4 2" xfId="944"/>
    <cellStyle name="20% - Accent2 10 2 4 2 2" xfId="4984"/>
    <cellStyle name="20% - Accent2 10 2 4 3" xfId="4983"/>
    <cellStyle name="20% - Accent2 10 2 5" xfId="945"/>
    <cellStyle name="20% - Accent2 10 2 5 2" xfId="946"/>
    <cellStyle name="20% - Accent2 10 2 5 2 2" xfId="4986"/>
    <cellStyle name="20% - Accent2 10 2 5 3" xfId="4985"/>
    <cellStyle name="20% - Accent2 10 2 6" xfId="947"/>
    <cellStyle name="20% - Accent2 10 2 6 2" xfId="948"/>
    <cellStyle name="20% - Accent2 10 2 6 2 2" xfId="4988"/>
    <cellStyle name="20% - Accent2 10 2 6 3" xfId="4987"/>
    <cellStyle name="20% - Accent2 10 2 7" xfId="949"/>
    <cellStyle name="20% - Accent2 10 2 7 2" xfId="950"/>
    <cellStyle name="20% - Accent2 10 2 7 2 2" xfId="4990"/>
    <cellStyle name="20% - Accent2 10 2 7 3" xfId="4989"/>
    <cellStyle name="20% - Accent2 10 2 8" xfId="951"/>
    <cellStyle name="20% - Accent2 10 2 8 2" xfId="4991"/>
    <cellStyle name="20% - Accent2 10 2 9" xfId="4978"/>
    <cellStyle name="20% - Accent2 10 3" xfId="952"/>
    <cellStyle name="20% - Accent2 10 3 2" xfId="953"/>
    <cellStyle name="20% - Accent2 10 3 2 2" xfId="954"/>
    <cellStyle name="20% - Accent2 10 3 2 2 2" xfId="4994"/>
    <cellStyle name="20% - Accent2 10 3 2 3" xfId="4993"/>
    <cellStyle name="20% - Accent2 10 3 3" xfId="955"/>
    <cellStyle name="20% - Accent2 10 3 3 2" xfId="956"/>
    <cellStyle name="20% - Accent2 10 3 3 2 2" xfId="4996"/>
    <cellStyle name="20% - Accent2 10 3 3 3" xfId="4995"/>
    <cellStyle name="20% - Accent2 10 3 4" xfId="957"/>
    <cellStyle name="20% - Accent2 10 3 4 2" xfId="958"/>
    <cellStyle name="20% - Accent2 10 3 4 2 2" xfId="4998"/>
    <cellStyle name="20% - Accent2 10 3 4 3" xfId="4997"/>
    <cellStyle name="20% - Accent2 10 3 5" xfId="959"/>
    <cellStyle name="20% - Accent2 10 3 5 2" xfId="960"/>
    <cellStyle name="20% - Accent2 10 3 5 2 2" xfId="5000"/>
    <cellStyle name="20% - Accent2 10 3 5 3" xfId="4999"/>
    <cellStyle name="20% - Accent2 10 3 6" xfId="961"/>
    <cellStyle name="20% - Accent2 10 3 6 2" xfId="962"/>
    <cellStyle name="20% - Accent2 10 3 6 2 2" xfId="5002"/>
    <cellStyle name="20% - Accent2 10 3 6 3" xfId="5001"/>
    <cellStyle name="20% - Accent2 10 3 7" xfId="963"/>
    <cellStyle name="20% - Accent2 10 3 7 2" xfId="964"/>
    <cellStyle name="20% - Accent2 10 3 7 2 2" xfId="5004"/>
    <cellStyle name="20% - Accent2 10 3 7 3" xfId="5003"/>
    <cellStyle name="20% - Accent2 10 3 8" xfId="965"/>
    <cellStyle name="20% - Accent2 10 3 8 2" xfId="5005"/>
    <cellStyle name="20% - Accent2 10 3 9" xfId="4992"/>
    <cellStyle name="20% - Accent2 10 4" xfId="966"/>
    <cellStyle name="20% - Accent2 10 4 2" xfId="967"/>
    <cellStyle name="20% - Accent2 10 4 2 2" xfId="5007"/>
    <cellStyle name="20% - Accent2 10 4 3" xfId="5006"/>
    <cellStyle name="20% - Accent2 10 5" xfId="968"/>
    <cellStyle name="20% - Accent2 10 5 2" xfId="969"/>
    <cellStyle name="20% - Accent2 10 5 2 2" xfId="5009"/>
    <cellStyle name="20% - Accent2 10 5 3" xfId="5008"/>
    <cellStyle name="20% - Accent2 10 6" xfId="970"/>
    <cellStyle name="20% - Accent2 10 6 2" xfId="971"/>
    <cellStyle name="20% - Accent2 10 6 2 2" xfId="5011"/>
    <cellStyle name="20% - Accent2 10 6 3" xfId="5010"/>
    <cellStyle name="20% - Accent2 10 7" xfId="972"/>
    <cellStyle name="20% - Accent2 10 7 2" xfId="973"/>
    <cellStyle name="20% - Accent2 10 7 2 2" xfId="5013"/>
    <cellStyle name="20% - Accent2 10 7 3" xfId="5012"/>
    <cellStyle name="20% - Accent2 10 8" xfId="974"/>
    <cellStyle name="20% - Accent2 10 8 2" xfId="975"/>
    <cellStyle name="20% - Accent2 10 8 2 2" xfId="5015"/>
    <cellStyle name="20% - Accent2 10 8 3" xfId="5014"/>
    <cellStyle name="20% - Accent2 10 9" xfId="976"/>
    <cellStyle name="20% - Accent2 10 9 2" xfId="977"/>
    <cellStyle name="20% - Accent2 10 9 2 2" xfId="5017"/>
    <cellStyle name="20% - Accent2 10 9 3" xfId="5016"/>
    <cellStyle name="20% - Accent2 11" xfId="978"/>
    <cellStyle name="20% - Accent2 11 10" xfId="979"/>
    <cellStyle name="20% - Accent2 11 10 2" xfId="34467"/>
    <cellStyle name="20% - Accent2 11 10 3" xfId="5019"/>
    <cellStyle name="20% - Accent2 11 11" xfId="36149"/>
    <cellStyle name="20% - Accent2 11 12" xfId="9919"/>
    <cellStyle name="20% - Accent2 11 13" xfId="5018"/>
    <cellStyle name="20% - Accent2 11 2" xfId="980"/>
    <cellStyle name="20% - Accent2 11 2 10" xfId="5020"/>
    <cellStyle name="20% - Accent2 11 2 2" xfId="981"/>
    <cellStyle name="20% - Accent2 11 2 2 2" xfId="982"/>
    <cellStyle name="20% - Accent2 11 2 2 2 2" xfId="5022"/>
    <cellStyle name="20% - Accent2 11 2 2 3" xfId="5021"/>
    <cellStyle name="20% - Accent2 11 2 3" xfId="983"/>
    <cellStyle name="20% - Accent2 11 2 3 2" xfId="984"/>
    <cellStyle name="20% - Accent2 11 2 3 2 2" xfId="5024"/>
    <cellStyle name="20% - Accent2 11 2 3 3" xfId="5023"/>
    <cellStyle name="20% - Accent2 11 2 4" xfId="985"/>
    <cellStyle name="20% - Accent2 11 2 4 2" xfId="986"/>
    <cellStyle name="20% - Accent2 11 2 4 2 2" xfId="5026"/>
    <cellStyle name="20% - Accent2 11 2 4 3" xfId="5025"/>
    <cellStyle name="20% - Accent2 11 2 5" xfId="987"/>
    <cellStyle name="20% - Accent2 11 2 5 2" xfId="988"/>
    <cellStyle name="20% - Accent2 11 2 5 2 2" xfId="5028"/>
    <cellStyle name="20% - Accent2 11 2 5 3" xfId="5027"/>
    <cellStyle name="20% - Accent2 11 2 6" xfId="989"/>
    <cellStyle name="20% - Accent2 11 2 6 2" xfId="990"/>
    <cellStyle name="20% - Accent2 11 2 6 2 2" xfId="5030"/>
    <cellStyle name="20% - Accent2 11 2 6 3" xfId="5029"/>
    <cellStyle name="20% - Accent2 11 2 7" xfId="991"/>
    <cellStyle name="20% - Accent2 11 2 7 2" xfId="992"/>
    <cellStyle name="20% - Accent2 11 2 7 2 2" xfId="5032"/>
    <cellStyle name="20% - Accent2 11 2 7 3" xfId="5031"/>
    <cellStyle name="20% - Accent2 11 2 8" xfId="993"/>
    <cellStyle name="20% - Accent2 11 2 8 2" xfId="5033"/>
    <cellStyle name="20% - Accent2 11 2 9" xfId="23711"/>
    <cellStyle name="20% - Accent2 11 3" xfId="994"/>
    <cellStyle name="20% - Accent2 11 3 10" xfId="5034"/>
    <cellStyle name="20% - Accent2 11 3 2" xfId="995"/>
    <cellStyle name="20% - Accent2 11 3 2 2" xfId="996"/>
    <cellStyle name="20% - Accent2 11 3 2 2 2" xfId="5036"/>
    <cellStyle name="20% - Accent2 11 3 2 3" xfId="5035"/>
    <cellStyle name="20% - Accent2 11 3 3" xfId="997"/>
    <cellStyle name="20% - Accent2 11 3 3 2" xfId="998"/>
    <cellStyle name="20% - Accent2 11 3 3 2 2" xfId="5038"/>
    <cellStyle name="20% - Accent2 11 3 3 3" xfId="5037"/>
    <cellStyle name="20% - Accent2 11 3 4" xfId="999"/>
    <cellStyle name="20% - Accent2 11 3 4 2" xfId="1000"/>
    <cellStyle name="20% - Accent2 11 3 4 2 2" xfId="5040"/>
    <cellStyle name="20% - Accent2 11 3 4 3" xfId="5039"/>
    <cellStyle name="20% - Accent2 11 3 5" xfId="1001"/>
    <cellStyle name="20% - Accent2 11 3 5 2" xfId="1002"/>
    <cellStyle name="20% - Accent2 11 3 5 2 2" xfId="5042"/>
    <cellStyle name="20% - Accent2 11 3 5 3" xfId="5041"/>
    <cellStyle name="20% - Accent2 11 3 6" xfId="1003"/>
    <cellStyle name="20% - Accent2 11 3 6 2" xfId="1004"/>
    <cellStyle name="20% - Accent2 11 3 6 2 2" xfId="5044"/>
    <cellStyle name="20% - Accent2 11 3 6 3" xfId="5043"/>
    <cellStyle name="20% - Accent2 11 3 7" xfId="1005"/>
    <cellStyle name="20% - Accent2 11 3 7 2" xfId="1006"/>
    <cellStyle name="20% - Accent2 11 3 7 2 2" xfId="5046"/>
    <cellStyle name="20% - Accent2 11 3 7 3" xfId="5045"/>
    <cellStyle name="20% - Accent2 11 3 8" xfId="1007"/>
    <cellStyle name="20% - Accent2 11 3 8 2" xfId="5047"/>
    <cellStyle name="20% - Accent2 11 3 9" xfId="27131"/>
    <cellStyle name="20% - Accent2 11 4" xfId="1008"/>
    <cellStyle name="20% - Accent2 11 4 2" xfId="1009"/>
    <cellStyle name="20% - Accent2 11 4 2 2" xfId="5049"/>
    <cellStyle name="20% - Accent2 11 4 3" xfId="27120"/>
    <cellStyle name="20% - Accent2 11 4 4" xfId="5048"/>
    <cellStyle name="20% - Accent2 11 5" xfId="1010"/>
    <cellStyle name="20% - Accent2 11 5 2" xfId="1011"/>
    <cellStyle name="20% - Accent2 11 5 2 2" xfId="5051"/>
    <cellStyle name="20% - Accent2 11 5 3" xfId="27075"/>
    <cellStyle name="20% - Accent2 11 5 4" xfId="5050"/>
    <cellStyle name="20% - Accent2 11 6" xfId="1012"/>
    <cellStyle name="20% - Accent2 11 6 2" xfId="1013"/>
    <cellStyle name="20% - Accent2 11 6 2 2" xfId="5053"/>
    <cellStyle name="20% - Accent2 11 6 3" xfId="22846"/>
    <cellStyle name="20% - Accent2 11 6 4" xfId="5052"/>
    <cellStyle name="20% - Accent2 11 7" xfId="1014"/>
    <cellStyle name="20% - Accent2 11 7 2" xfId="1015"/>
    <cellStyle name="20% - Accent2 11 7 2 2" xfId="5055"/>
    <cellStyle name="20% - Accent2 11 7 3" xfId="29176"/>
    <cellStyle name="20% - Accent2 11 7 4" xfId="5054"/>
    <cellStyle name="20% - Accent2 11 8" xfId="1016"/>
    <cellStyle name="20% - Accent2 11 8 2" xfId="1017"/>
    <cellStyle name="20% - Accent2 11 8 2 2" xfId="5057"/>
    <cellStyle name="20% - Accent2 11 8 3" xfId="30960"/>
    <cellStyle name="20% - Accent2 11 8 4" xfId="5056"/>
    <cellStyle name="20% - Accent2 11 9" xfId="1018"/>
    <cellStyle name="20% - Accent2 11 9 2" xfId="1019"/>
    <cellStyle name="20% - Accent2 11 9 2 2" xfId="5059"/>
    <cellStyle name="20% - Accent2 11 9 3" xfId="32731"/>
    <cellStyle name="20% - Accent2 11 9 4" xfId="5058"/>
    <cellStyle name="20% - Accent2 12" xfId="1020"/>
    <cellStyle name="20% - Accent2 12 10" xfId="1021"/>
    <cellStyle name="20% - Accent2 12 10 2" xfId="35796"/>
    <cellStyle name="20% - Accent2 12 10 3" xfId="5061"/>
    <cellStyle name="20% - Accent2 12 11" xfId="37432"/>
    <cellStyle name="20% - Accent2 12 12" xfId="9998"/>
    <cellStyle name="20% - Accent2 12 13" xfId="5060"/>
    <cellStyle name="20% - Accent2 12 2" xfId="1022"/>
    <cellStyle name="20% - Accent2 12 2 10" xfId="5062"/>
    <cellStyle name="20% - Accent2 12 2 2" xfId="1023"/>
    <cellStyle name="20% - Accent2 12 2 2 2" xfId="1024"/>
    <cellStyle name="20% - Accent2 12 2 2 2 2" xfId="5064"/>
    <cellStyle name="20% - Accent2 12 2 2 3" xfId="5063"/>
    <cellStyle name="20% - Accent2 12 2 3" xfId="1025"/>
    <cellStyle name="20% - Accent2 12 2 3 2" xfId="1026"/>
    <cellStyle name="20% - Accent2 12 2 3 2 2" xfId="5066"/>
    <cellStyle name="20% - Accent2 12 2 3 3" xfId="5065"/>
    <cellStyle name="20% - Accent2 12 2 4" xfId="1027"/>
    <cellStyle name="20% - Accent2 12 2 4 2" xfId="1028"/>
    <cellStyle name="20% - Accent2 12 2 4 2 2" xfId="5068"/>
    <cellStyle name="20% - Accent2 12 2 4 3" xfId="5067"/>
    <cellStyle name="20% - Accent2 12 2 5" xfId="1029"/>
    <cellStyle name="20% - Accent2 12 2 5 2" xfId="1030"/>
    <cellStyle name="20% - Accent2 12 2 5 2 2" xfId="5070"/>
    <cellStyle name="20% - Accent2 12 2 5 3" xfId="5069"/>
    <cellStyle name="20% - Accent2 12 2 6" xfId="1031"/>
    <cellStyle name="20% - Accent2 12 2 6 2" xfId="1032"/>
    <cellStyle name="20% - Accent2 12 2 6 2 2" xfId="5072"/>
    <cellStyle name="20% - Accent2 12 2 6 3" xfId="5071"/>
    <cellStyle name="20% - Accent2 12 2 7" xfId="1033"/>
    <cellStyle name="20% - Accent2 12 2 7 2" xfId="1034"/>
    <cellStyle name="20% - Accent2 12 2 7 2 2" xfId="5074"/>
    <cellStyle name="20% - Accent2 12 2 7 3" xfId="5073"/>
    <cellStyle name="20% - Accent2 12 2 8" xfId="1035"/>
    <cellStyle name="20% - Accent2 12 2 8 2" xfId="5075"/>
    <cellStyle name="20% - Accent2 12 2 9" xfId="24868"/>
    <cellStyle name="20% - Accent2 12 3" xfId="1036"/>
    <cellStyle name="20% - Accent2 12 3 10" xfId="5076"/>
    <cellStyle name="20% - Accent2 12 3 2" xfId="1037"/>
    <cellStyle name="20% - Accent2 12 3 2 2" xfId="1038"/>
    <cellStyle name="20% - Accent2 12 3 2 2 2" xfId="5078"/>
    <cellStyle name="20% - Accent2 12 3 2 3" xfId="5077"/>
    <cellStyle name="20% - Accent2 12 3 3" xfId="1039"/>
    <cellStyle name="20% - Accent2 12 3 3 2" xfId="1040"/>
    <cellStyle name="20% - Accent2 12 3 3 2 2" xfId="5080"/>
    <cellStyle name="20% - Accent2 12 3 3 3" xfId="5079"/>
    <cellStyle name="20% - Accent2 12 3 4" xfId="1041"/>
    <cellStyle name="20% - Accent2 12 3 4 2" xfId="1042"/>
    <cellStyle name="20% - Accent2 12 3 4 2 2" xfId="5082"/>
    <cellStyle name="20% - Accent2 12 3 4 3" xfId="5081"/>
    <cellStyle name="20% - Accent2 12 3 5" xfId="1043"/>
    <cellStyle name="20% - Accent2 12 3 5 2" xfId="1044"/>
    <cellStyle name="20% - Accent2 12 3 5 2 2" xfId="5084"/>
    <cellStyle name="20% - Accent2 12 3 5 3" xfId="5083"/>
    <cellStyle name="20% - Accent2 12 3 6" xfId="1045"/>
    <cellStyle name="20% - Accent2 12 3 6 2" xfId="1046"/>
    <cellStyle name="20% - Accent2 12 3 6 2 2" xfId="5086"/>
    <cellStyle name="20% - Accent2 12 3 6 3" xfId="5085"/>
    <cellStyle name="20% - Accent2 12 3 7" xfId="1047"/>
    <cellStyle name="20% - Accent2 12 3 7 2" xfId="1048"/>
    <cellStyle name="20% - Accent2 12 3 7 2 2" xfId="5088"/>
    <cellStyle name="20% - Accent2 12 3 7 3" xfId="5087"/>
    <cellStyle name="20% - Accent2 12 3 8" xfId="1049"/>
    <cellStyle name="20% - Accent2 12 3 8 2" xfId="5089"/>
    <cellStyle name="20% - Accent2 12 3 9" xfId="28256"/>
    <cellStyle name="20% - Accent2 12 4" xfId="1050"/>
    <cellStyle name="20% - Accent2 12 4 2" xfId="1051"/>
    <cellStyle name="20% - Accent2 12 4 2 2" xfId="5091"/>
    <cellStyle name="20% - Accent2 12 4 3" xfId="27519"/>
    <cellStyle name="20% - Accent2 12 4 4" xfId="5090"/>
    <cellStyle name="20% - Accent2 12 5" xfId="1052"/>
    <cellStyle name="20% - Accent2 12 5 2" xfId="1053"/>
    <cellStyle name="20% - Accent2 12 5 2 2" xfId="5093"/>
    <cellStyle name="20% - Accent2 12 5 3" xfId="22887"/>
    <cellStyle name="20% - Accent2 12 5 4" xfId="5092"/>
    <cellStyle name="20% - Accent2 12 6" xfId="1054"/>
    <cellStyle name="20% - Accent2 12 6 2" xfId="1055"/>
    <cellStyle name="20% - Accent2 12 6 2 2" xfId="5095"/>
    <cellStyle name="20% - Accent2 12 6 3" xfId="28772"/>
    <cellStyle name="20% - Accent2 12 6 4" xfId="5094"/>
    <cellStyle name="20% - Accent2 12 7" xfId="1056"/>
    <cellStyle name="20% - Accent2 12 7 2" xfId="1057"/>
    <cellStyle name="20% - Accent2 12 7 2 2" xfId="5097"/>
    <cellStyle name="20% - Accent2 12 7 3" xfId="30560"/>
    <cellStyle name="20% - Accent2 12 7 4" xfId="5096"/>
    <cellStyle name="20% - Accent2 12 8" xfId="1058"/>
    <cellStyle name="20% - Accent2 12 8 2" xfId="1059"/>
    <cellStyle name="20% - Accent2 12 8 2 2" xfId="5099"/>
    <cellStyle name="20% - Accent2 12 8 3" xfId="32334"/>
    <cellStyle name="20% - Accent2 12 8 4" xfId="5098"/>
    <cellStyle name="20% - Accent2 12 9" xfId="1060"/>
    <cellStyle name="20% - Accent2 12 9 2" xfId="1061"/>
    <cellStyle name="20% - Accent2 12 9 2 2" xfId="5101"/>
    <cellStyle name="20% - Accent2 12 9 3" xfId="34086"/>
    <cellStyle name="20% - Accent2 12 9 4" xfId="5100"/>
    <cellStyle name="20% - Accent2 13" xfId="1062"/>
    <cellStyle name="20% - Accent2 13 10" xfId="41305"/>
    <cellStyle name="20% - Accent2 13 11" xfId="42356"/>
    <cellStyle name="20% - Accent2 13 12" xfId="10077"/>
    <cellStyle name="20% - Accent2 13 13" xfId="5102"/>
    <cellStyle name="20% - Accent2 13 2" xfId="1063"/>
    <cellStyle name="20% - Accent2 13 2 2" xfId="1064"/>
    <cellStyle name="20% - Accent2 13 2 2 2" xfId="5104"/>
    <cellStyle name="20% - Accent2 13 2 3" xfId="26850"/>
    <cellStyle name="20% - Accent2 13 2 4" xfId="5103"/>
    <cellStyle name="20% - Accent2 13 3" xfId="1065"/>
    <cellStyle name="20% - Accent2 13 3 2" xfId="1066"/>
    <cellStyle name="20% - Accent2 13 3 2 2" xfId="5106"/>
    <cellStyle name="20% - Accent2 13 3 3" xfId="30178"/>
    <cellStyle name="20% - Accent2 13 3 4" xfId="5105"/>
    <cellStyle name="20% - Accent2 13 4" xfId="1067"/>
    <cellStyle name="20% - Accent2 13 4 2" xfId="1068"/>
    <cellStyle name="20% - Accent2 13 4 2 2" xfId="5108"/>
    <cellStyle name="20% - Accent2 13 4 3" xfId="31953"/>
    <cellStyle name="20% - Accent2 13 4 4" xfId="5107"/>
    <cellStyle name="20% - Accent2 13 5" xfId="1069"/>
    <cellStyle name="20% - Accent2 13 5 2" xfId="1070"/>
    <cellStyle name="20% - Accent2 13 5 2 2" xfId="5110"/>
    <cellStyle name="20% - Accent2 13 5 3" xfId="33708"/>
    <cellStyle name="20% - Accent2 13 5 4" xfId="5109"/>
    <cellStyle name="20% - Accent2 13 6" xfId="1071"/>
    <cellStyle name="20% - Accent2 13 6 2" xfId="1072"/>
    <cellStyle name="20% - Accent2 13 6 2 2" xfId="5112"/>
    <cellStyle name="20% - Accent2 13 6 3" xfId="35421"/>
    <cellStyle name="20% - Accent2 13 6 4" xfId="5111"/>
    <cellStyle name="20% - Accent2 13 7" xfId="1073"/>
    <cellStyle name="20% - Accent2 13 7 2" xfId="1074"/>
    <cellStyle name="20% - Accent2 13 7 2 2" xfId="5114"/>
    <cellStyle name="20% - Accent2 13 7 3" xfId="37066"/>
    <cellStyle name="20% - Accent2 13 7 4" xfId="5113"/>
    <cellStyle name="20% - Accent2 13 8" xfId="1075"/>
    <cellStyle name="20% - Accent2 13 8 2" xfId="38623"/>
    <cellStyle name="20% - Accent2 13 8 3" xfId="5115"/>
    <cellStyle name="20% - Accent2 13 9" xfId="40057"/>
    <cellStyle name="20% - Accent2 14" xfId="1076"/>
    <cellStyle name="20% - Accent2 14 10" xfId="40894"/>
    <cellStyle name="20% - Accent2 14 11" xfId="41973"/>
    <cellStyle name="20% - Accent2 14 12" xfId="10141"/>
    <cellStyle name="20% - Accent2 14 13" xfId="5116"/>
    <cellStyle name="20% - Accent2 14 2" xfId="1077"/>
    <cellStyle name="20% - Accent2 14 2 2" xfId="1078"/>
    <cellStyle name="20% - Accent2 14 2 2 2" xfId="5118"/>
    <cellStyle name="20% - Accent2 14 2 3" xfId="26357"/>
    <cellStyle name="20% - Accent2 14 2 4" xfId="5117"/>
    <cellStyle name="20% - Accent2 14 3" xfId="1079"/>
    <cellStyle name="20% - Accent2 14 3 2" xfId="1080"/>
    <cellStyle name="20% - Accent2 14 3 2 2" xfId="5120"/>
    <cellStyle name="20% - Accent2 14 3 3" xfId="29688"/>
    <cellStyle name="20% - Accent2 14 3 4" xfId="5119"/>
    <cellStyle name="20% - Accent2 14 4" xfId="1081"/>
    <cellStyle name="20% - Accent2 14 4 2" xfId="1082"/>
    <cellStyle name="20% - Accent2 14 4 2 2" xfId="5122"/>
    <cellStyle name="20% - Accent2 14 4 3" xfId="31463"/>
    <cellStyle name="20% - Accent2 14 4 4" xfId="5121"/>
    <cellStyle name="20% - Accent2 14 5" xfId="1083"/>
    <cellStyle name="20% - Accent2 14 5 2" xfId="1084"/>
    <cellStyle name="20% - Accent2 14 5 2 2" xfId="5124"/>
    <cellStyle name="20% - Accent2 14 5 3" xfId="33224"/>
    <cellStyle name="20% - Accent2 14 5 4" xfId="5123"/>
    <cellStyle name="20% - Accent2 14 6" xfId="1085"/>
    <cellStyle name="20% - Accent2 14 6 2" xfId="1086"/>
    <cellStyle name="20% - Accent2 14 6 2 2" xfId="5126"/>
    <cellStyle name="20% - Accent2 14 6 3" xfId="34942"/>
    <cellStyle name="20% - Accent2 14 6 4" xfId="5125"/>
    <cellStyle name="20% - Accent2 14 7" xfId="1087"/>
    <cellStyle name="20% - Accent2 14 7 2" xfId="1088"/>
    <cellStyle name="20% - Accent2 14 7 2 2" xfId="5128"/>
    <cellStyle name="20% - Accent2 14 7 3" xfId="36595"/>
    <cellStyle name="20% - Accent2 14 7 4" xfId="5127"/>
    <cellStyle name="20% - Accent2 14 8" xfId="1089"/>
    <cellStyle name="20% - Accent2 14 8 2" xfId="38169"/>
    <cellStyle name="20% - Accent2 14 8 3" xfId="5129"/>
    <cellStyle name="20% - Accent2 14 9" xfId="39622"/>
    <cellStyle name="20% - Accent2 15" xfId="1090"/>
    <cellStyle name="20% - Accent2 15 10" xfId="20405"/>
    <cellStyle name="20% - Accent2 15 11" xfId="21241"/>
    <cellStyle name="20% - Accent2 15 12" xfId="22041"/>
    <cellStyle name="20% - Accent2 15 13" xfId="26744"/>
    <cellStyle name="20% - Accent2 15 14" xfId="30073"/>
    <cellStyle name="20% - Accent2 15 15" xfId="31848"/>
    <cellStyle name="20% - Accent2 15 16" xfId="33604"/>
    <cellStyle name="20% - Accent2 15 17" xfId="35317"/>
    <cellStyle name="20% - Accent2 15 18" xfId="36963"/>
    <cellStyle name="20% - Accent2 15 19" xfId="38524"/>
    <cellStyle name="20% - Accent2 15 2" xfId="1091"/>
    <cellStyle name="20% - Accent2 15 2 2" xfId="1092"/>
    <cellStyle name="20% - Accent2 15 2 2 2" xfId="5132"/>
    <cellStyle name="20% - Accent2 15 2 3" xfId="12955"/>
    <cellStyle name="20% - Accent2 15 2 4" xfId="5131"/>
    <cellStyle name="20% - Accent2 15 20" xfId="39964"/>
    <cellStyle name="20% - Accent2 15 21" xfId="41217"/>
    <cellStyle name="20% - Accent2 15 22" xfId="42273"/>
    <cellStyle name="20% - Accent2 15 23" xfId="10081"/>
    <cellStyle name="20% - Accent2 15 24" xfId="5130"/>
    <cellStyle name="20% - Accent2 15 3" xfId="1093"/>
    <cellStyle name="20% - Accent2 15 3 2" xfId="1094"/>
    <cellStyle name="20% - Accent2 15 3 2 2" xfId="5134"/>
    <cellStyle name="20% - Accent2 15 3 3" xfId="14081"/>
    <cellStyle name="20% - Accent2 15 3 4" xfId="5133"/>
    <cellStyle name="20% - Accent2 15 4" xfId="1095"/>
    <cellStyle name="20% - Accent2 15 4 2" xfId="1096"/>
    <cellStyle name="20% - Accent2 15 4 2 2" xfId="5136"/>
    <cellStyle name="20% - Accent2 15 4 3" xfId="15011"/>
    <cellStyle name="20% - Accent2 15 4 4" xfId="5135"/>
    <cellStyle name="20% - Accent2 15 5" xfId="1097"/>
    <cellStyle name="20% - Accent2 15 5 2" xfId="1098"/>
    <cellStyle name="20% - Accent2 15 5 2 2" xfId="5138"/>
    <cellStyle name="20% - Accent2 15 5 3" xfId="15938"/>
    <cellStyle name="20% - Accent2 15 5 4" xfId="5137"/>
    <cellStyle name="20% - Accent2 15 6" xfId="1099"/>
    <cellStyle name="20% - Accent2 15 6 2" xfId="1100"/>
    <cellStyle name="20% - Accent2 15 6 2 2" xfId="5140"/>
    <cellStyle name="20% - Accent2 15 6 3" xfId="16868"/>
    <cellStyle name="20% - Accent2 15 6 4" xfId="5139"/>
    <cellStyle name="20% - Accent2 15 7" xfId="1101"/>
    <cellStyle name="20% - Accent2 15 7 2" xfId="1102"/>
    <cellStyle name="20% - Accent2 15 7 2 2" xfId="5142"/>
    <cellStyle name="20% - Accent2 15 7 3" xfId="17776"/>
    <cellStyle name="20% - Accent2 15 7 4" xfId="5141"/>
    <cellStyle name="20% - Accent2 15 8" xfId="1103"/>
    <cellStyle name="20% - Accent2 15 8 2" xfId="18666"/>
    <cellStyle name="20% - Accent2 15 8 3" xfId="5143"/>
    <cellStyle name="20% - Accent2 15 9" xfId="19544"/>
    <cellStyle name="20% - Accent2 16" xfId="1104"/>
    <cellStyle name="20% - Accent2 16 10" xfId="20484"/>
    <cellStyle name="20% - Accent2 16 11" xfId="21320"/>
    <cellStyle name="20% - Accent2 16 12" xfId="22117"/>
    <cellStyle name="20% - Accent2 16 13" xfId="26472"/>
    <cellStyle name="20% - Accent2 16 14" xfId="29803"/>
    <cellStyle name="20% - Accent2 16 15" xfId="31578"/>
    <cellStyle name="20% - Accent2 16 16" xfId="33337"/>
    <cellStyle name="20% - Accent2 16 17" xfId="35053"/>
    <cellStyle name="20% - Accent2 16 18" xfId="36704"/>
    <cellStyle name="20% - Accent2 16 19" xfId="38273"/>
    <cellStyle name="20% - Accent2 16 2" xfId="1105"/>
    <cellStyle name="20% - Accent2 16 2 2" xfId="1106"/>
    <cellStyle name="20% - Accent2 16 2 2 2" xfId="5146"/>
    <cellStyle name="20% - Accent2 16 2 3" xfId="13034"/>
    <cellStyle name="20% - Accent2 16 2 4" xfId="5145"/>
    <cellStyle name="20% - Accent2 16 20" xfId="39723"/>
    <cellStyle name="20% - Accent2 16 21" xfId="40990"/>
    <cellStyle name="20% - Accent2 16 22" xfId="42064"/>
    <cellStyle name="20% - Accent2 16 23" xfId="11269"/>
    <cellStyle name="20% - Accent2 16 24" xfId="5144"/>
    <cellStyle name="20% - Accent2 16 3" xfId="1107"/>
    <cellStyle name="20% - Accent2 16 3 2" xfId="1108"/>
    <cellStyle name="20% - Accent2 16 3 2 2" xfId="5148"/>
    <cellStyle name="20% - Accent2 16 3 3" xfId="14160"/>
    <cellStyle name="20% - Accent2 16 3 4" xfId="5147"/>
    <cellStyle name="20% - Accent2 16 4" xfId="1109"/>
    <cellStyle name="20% - Accent2 16 4 2" xfId="1110"/>
    <cellStyle name="20% - Accent2 16 4 2 2" xfId="5150"/>
    <cellStyle name="20% - Accent2 16 4 3" xfId="15090"/>
    <cellStyle name="20% - Accent2 16 4 4" xfId="5149"/>
    <cellStyle name="20% - Accent2 16 5" xfId="1111"/>
    <cellStyle name="20% - Accent2 16 5 2" xfId="1112"/>
    <cellStyle name="20% - Accent2 16 5 2 2" xfId="5152"/>
    <cellStyle name="20% - Accent2 16 5 3" xfId="16017"/>
    <cellStyle name="20% - Accent2 16 5 4" xfId="5151"/>
    <cellStyle name="20% - Accent2 16 6" xfId="1113"/>
    <cellStyle name="20% - Accent2 16 6 2" xfId="1114"/>
    <cellStyle name="20% - Accent2 16 6 2 2" xfId="5154"/>
    <cellStyle name="20% - Accent2 16 6 3" xfId="16947"/>
    <cellStyle name="20% - Accent2 16 6 4" xfId="5153"/>
    <cellStyle name="20% - Accent2 16 7" xfId="1115"/>
    <cellStyle name="20% - Accent2 16 7 2" xfId="1116"/>
    <cellStyle name="20% - Accent2 16 7 2 2" xfId="5156"/>
    <cellStyle name="20% - Accent2 16 7 3" xfId="17855"/>
    <cellStyle name="20% - Accent2 16 7 4" xfId="5155"/>
    <cellStyle name="20% - Accent2 16 8" xfId="1117"/>
    <cellStyle name="20% - Accent2 16 8 2" xfId="18745"/>
    <cellStyle name="20% - Accent2 16 8 3" xfId="5157"/>
    <cellStyle name="20% - Accent2 16 9" xfId="19623"/>
    <cellStyle name="20% - Accent2 17" xfId="1118"/>
    <cellStyle name="20% - Accent2 17 10" xfId="20565"/>
    <cellStyle name="20% - Accent2 17 11" xfId="21401"/>
    <cellStyle name="20% - Accent2 17 12" xfId="22195"/>
    <cellStyle name="20% - Accent2 17 13" xfId="26860"/>
    <cellStyle name="20% - Accent2 17 14" xfId="30188"/>
    <cellStyle name="20% - Accent2 17 15" xfId="31963"/>
    <cellStyle name="20% - Accent2 17 16" xfId="33718"/>
    <cellStyle name="20% - Accent2 17 17" xfId="35431"/>
    <cellStyle name="20% - Accent2 17 18" xfId="37076"/>
    <cellStyle name="20% - Accent2 17 19" xfId="38632"/>
    <cellStyle name="20% - Accent2 17 2" xfId="1119"/>
    <cellStyle name="20% - Accent2 17 2 2" xfId="1120"/>
    <cellStyle name="20% - Accent2 17 2 2 2" xfId="5160"/>
    <cellStyle name="20% - Accent2 17 2 3" xfId="13115"/>
    <cellStyle name="20% - Accent2 17 2 4" xfId="5159"/>
    <cellStyle name="20% - Accent2 17 20" xfId="40066"/>
    <cellStyle name="20% - Accent2 17 21" xfId="41314"/>
    <cellStyle name="20% - Accent2 17 22" xfId="42365"/>
    <cellStyle name="20% - Accent2 17 23" xfId="11460"/>
    <cellStyle name="20% - Accent2 17 24" xfId="5158"/>
    <cellStyle name="20% - Accent2 17 3" xfId="1121"/>
    <cellStyle name="20% - Accent2 17 3 2" xfId="1122"/>
    <cellStyle name="20% - Accent2 17 3 2 2" xfId="5162"/>
    <cellStyle name="20% - Accent2 17 3 3" xfId="14241"/>
    <cellStyle name="20% - Accent2 17 3 4" xfId="5161"/>
    <cellStyle name="20% - Accent2 17 4" xfId="1123"/>
    <cellStyle name="20% - Accent2 17 4 2" xfId="1124"/>
    <cellStyle name="20% - Accent2 17 4 2 2" xfId="5164"/>
    <cellStyle name="20% - Accent2 17 4 3" xfId="15170"/>
    <cellStyle name="20% - Accent2 17 4 4" xfId="5163"/>
    <cellStyle name="20% - Accent2 17 5" xfId="1125"/>
    <cellStyle name="20% - Accent2 17 5 2" xfId="1126"/>
    <cellStyle name="20% - Accent2 17 5 2 2" xfId="5166"/>
    <cellStyle name="20% - Accent2 17 5 3" xfId="16098"/>
    <cellStyle name="20% - Accent2 17 5 4" xfId="5165"/>
    <cellStyle name="20% - Accent2 17 6" xfId="1127"/>
    <cellStyle name="20% - Accent2 17 6 2" xfId="1128"/>
    <cellStyle name="20% - Accent2 17 6 2 2" xfId="5168"/>
    <cellStyle name="20% - Accent2 17 6 3" xfId="17028"/>
    <cellStyle name="20% - Accent2 17 6 4" xfId="5167"/>
    <cellStyle name="20% - Accent2 17 7" xfId="1129"/>
    <cellStyle name="20% - Accent2 17 7 2" xfId="1130"/>
    <cellStyle name="20% - Accent2 17 7 2 2" xfId="5170"/>
    <cellStyle name="20% - Accent2 17 7 3" xfId="17936"/>
    <cellStyle name="20% - Accent2 17 7 4" xfId="5169"/>
    <cellStyle name="20% - Accent2 17 8" xfId="1131"/>
    <cellStyle name="20% - Accent2 17 8 2" xfId="18826"/>
    <cellStyle name="20% - Accent2 17 8 3" xfId="5171"/>
    <cellStyle name="20% - Accent2 17 9" xfId="19704"/>
    <cellStyle name="20% - Accent2 18" xfId="1132"/>
    <cellStyle name="20% - Accent2 18 10" xfId="20644"/>
    <cellStyle name="20% - Accent2 18 11" xfId="21481"/>
    <cellStyle name="20% - Accent2 18 12" xfId="22272"/>
    <cellStyle name="20% - Accent2 18 13" xfId="26347"/>
    <cellStyle name="20% - Accent2 18 14" xfId="29678"/>
    <cellStyle name="20% - Accent2 18 15" xfId="31453"/>
    <cellStyle name="20% - Accent2 18 16" xfId="33215"/>
    <cellStyle name="20% - Accent2 18 17" xfId="34933"/>
    <cellStyle name="20% - Accent2 18 18" xfId="36586"/>
    <cellStyle name="20% - Accent2 18 19" xfId="38160"/>
    <cellStyle name="20% - Accent2 18 2" xfId="1133"/>
    <cellStyle name="20% - Accent2 18 2 2" xfId="1134"/>
    <cellStyle name="20% - Accent2 18 2 2 2" xfId="5174"/>
    <cellStyle name="20% - Accent2 18 2 3" xfId="13195"/>
    <cellStyle name="20% - Accent2 18 2 4" xfId="5173"/>
    <cellStyle name="20% - Accent2 18 20" xfId="39613"/>
    <cellStyle name="20% - Accent2 18 21" xfId="40885"/>
    <cellStyle name="20% - Accent2 18 22" xfId="41964"/>
    <cellStyle name="20% - Accent2 18 23" xfId="11646"/>
    <cellStyle name="20% - Accent2 18 24" xfId="5172"/>
    <cellStyle name="20% - Accent2 18 3" xfId="1135"/>
    <cellStyle name="20% - Accent2 18 3 2" xfId="1136"/>
    <cellStyle name="20% - Accent2 18 3 2 2" xfId="5176"/>
    <cellStyle name="20% - Accent2 18 3 3" xfId="14321"/>
    <cellStyle name="20% - Accent2 18 3 4" xfId="5175"/>
    <cellStyle name="20% - Accent2 18 4" xfId="1137"/>
    <cellStyle name="20% - Accent2 18 4 2" xfId="1138"/>
    <cellStyle name="20% - Accent2 18 4 2 2" xfId="5178"/>
    <cellStyle name="20% - Accent2 18 4 3" xfId="15249"/>
    <cellStyle name="20% - Accent2 18 4 4" xfId="5177"/>
    <cellStyle name="20% - Accent2 18 5" xfId="1139"/>
    <cellStyle name="20% - Accent2 18 5 2" xfId="1140"/>
    <cellStyle name="20% - Accent2 18 5 2 2" xfId="5180"/>
    <cellStyle name="20% - Accent2 18 5 3" xfId="16178"/>
    <cellStyle name="20% - Accent2 18 5 4" xfId="5179"/>
    <cellStyle name="20% - Accent2 18 6" xfId="1141"/>
    <cellStyle name="20% - Accent2 18 6 2" xfId="1142"/>
    <cellStyle name="20% - Accent2 18 6 2 2" xfId="5182"/>
    <cellStyle name="20% - Accent2 18 6 3" xfId="17108"/>
    <cellStyle name="20% - Accent2 18 6 4" xfId="5181"/>
    <cellStyle name="20% - Accent2 18 7" xfId="1143"/>
    <cellStyle name="20% - Accent2 18 7 2" xfId="1144"/>
    <cellStyle name="20% - Accent2 18 7 2 2" xfId="5184"/>
    <cellStyle name="20% - Accent2 18 7 3" xfId="18016"/>
    <cellStyle name="20% - Accent2 18 7 4" xfId="5183"/>
    <cellStyle name="20% - Accent2 18 8" xfId="1145"/>
    <cellStyle name="20% - Accent2 18 8 2" xfId="18906"/>
    <cellStyle name="20% - Accent2 18 8 3" xfId="5185"/>
    <cellStyle name="20% - Accent2 18 9" xfId="19784"/>
    <cellStyle name="20% - Accent2 19" xfId="1146"/>
    <cellStyle name="20% - Accent2 19 10" xfId="20722"/>
    <cellStyle name="20% - Accent2 19 11" xfId="21560"/>
    <cellStyle name="20% - Accent2 19 12" xfId="22348"/>
    <cellStyle name="20% - Accent2 19 13" xfId="26757"/>
    <cellStyle name="20% - Accent2 19 14" xfId="30086"/>
    <cellStyle name="20% - Accent2 19 15" xfId="31861"/>
    <cellStyle name="20% - Accent2 19 16" xfId="33617"/>
    <cellStyle name="20% - Accent2 19 17" xfId="35330"/>
    <cellStyle name="20% - Accent2 19 18" xfId="36976"/>
    <cellStyle name="20% - Accent2 19 19" xfId="38537"/>
    <cellStyle name="20% - Accent2 19 2" xfId="1147"/>
    <cellStyle name="20% - Accent2 19 2 2" xfId="1148"/>
    <cellStyle name="20% - Accent2 19 2 2 2" xfId="5188"/>
    <cellStyle name="20% - Accent2 19 2 3" xfId="13274"/>
    <cellStyle name="20% - Accent2 19 2 4" xfId="5187"/>
    <cellStyle name="20% - Accent2 19 20" xfId="39976"/>
    <cellStyle name="20% - Accent2 19 21" xfId="41229"/>
    <cellStyle name="20% - Accent2 19 22" xfId="42285"/>
    <cellStyle name="20% - Accent2 19 23" xfId="11829"/>
    <cellStyle name="20% - Accent2 19 24" xfId="5186"/>
    <cellStyle name="20% - Accent2 19 3" xfId="1149"/>
    <cellStyle name="20% - Accent2 19 3 2" xfId="1150"/>
    <cellStyle name="20% - Accent2 19 3 2 2" xfId="5190"/>
    <cellStyle name="20% - Accent2 19 3 3" xfId="14399"/>
    <cellStyle name="20% - Accent2 19 3 4" xfId="5189"/>
    <cellStyle name="20% - Accent2 19 4" xfId="1151"/>
    <cellStyle name="20% - Accent2 19 4 2" xfId="1152"/>
    <cellStyle name="20% - Accent2 19 4 2 2" xfId="5192"/>
    <cellStyle name="20% - Accent2 19 4 3" xfId="15327"/>
    <cellStyle name="20% - Accent2 19 4 4" xfId="5191"/>
    <cellStyle name="20% - Accent2 19 5" xfId="1153"/>
    <cellStyle name="20% - Accent2 19 5 2" xfId="1154"/>
    <cellStyle name="20% - Accent2 19 5 2 2" xfId="5194"/>
    <cellStyle name="20% - Accent2 19 5 3" xfId="16257"/>
    <cellStyle name="20% - Accent2 19 5 4" xfId="5193"/>
    <cellStyle name="20% - Accent2 19 6" xfId="1155"/>
    <cellStyle name="20% - Accent2 19 6 2" xfId="1156"/>
    <cellStyle name="20% - Accent2 19 6 2 2" xfId="5196"/>
    <cellStyle name="20% - Accent2 19 6 3" xfId="17187"/>
    <cellStyle name="20% - Accent2 19 6 4" xfId="5195"/>
    <cellStyle name="20% - Accent2 19 7" xfId="1157"/>
    <cellStyle name="20% - Accent2 19 7 2" xfId="1158"/>
    <cellStyle name="20% - Accent2 19 7 2 2" xfId="5198"/>
    <cellStyle name="20% - Accent2 19 7 3" xfId="18095"/>
    <cellStyle name="20% - Accent2 19 7 4" xfId="5197"/>
    <cellStyle name="20% - Accent2 19 8" xfId="1159"/>
    <cellStyle name="20% - Accent2 19 8 2" xfId="18985"/>
    <cellStyle name="20% - Accent2 19 8 3" xfId="5199"/>
    <cellStyle name="20% - Accent2 19 9" xfId="19862"/>
    <cellStyle name="20% - Accent2 2" xfId="1160"/>
    <cellStyle name="20% - Accent2 2 10" xfId="1161"/>
    <cellStyle name="20% - Accent2 2 10 2" xfId="12023"/>
    <cellStyle name="20% - Accent2 2 10 3" xfId="5201"/>
    <cellStyle name="20% - Accent2 2 11" xfId="12208"/>
    <cellStyle name="20% - Accent2 2 12" xfId="12037"/>
    <cellStyle name="20% - Accent2 2 13" xfId="12570"/>
    <cellStyle name="20% - Accent2 2 14" xfId="14902"/>
    <cellStyle name="20% - Accent2 2 15" xfId="14979"/>
    <cellStyle name="20% - Accent2 2 16" xfId="12397"/>
    <cellStyle name="20% - Accent2 2 17" xfId="15725"/>
    <cellStyle name="20% - Accent2 2 18" xfId="13934"/>
    <cellStyle name="20% - Accent2 2 19" xfId="16728"/>
    <cellStyle name="20% - Accent2 2 2" xfId="1162"/>
    <cellStyle name="20% - Accent2 2 2 10" xfId="5202"/>
    <cellStyle name="20% - Accent2 2 2 2" xfId="1163"/>
    <cellStyle name="20% - Accent2 2 2 2 2" xfId="1164"/>
    <cellStyle name="20% - Accent2 2 2 2 2 2" xfId="5204"/>
    <cellStyle name="20% - Accent2 2 2 2 3" xfId="9544"/>
    <cellStyle name="20% - Accent2 2 2 2 4" xfId="5203"/>
    <cellStyle name="20% - Accent2 2 2 3" xfId="1165"/>
    <cellStyle name="20% - Accent2 2 2 3 2" xfId="1166"/>
    <cellStyle name="20% - Accent2 2 2 3 2 2" xfId="5206"/>
    <cellStyle name="20% - Accent2 2 2 3 3" xfId="5205"/>
    <cellStyle name="20% - Accent2 2 2 4" xfId="1167"/>
    <cellStyle name="20% - Accent2 2 2 4 2" xfId="1168"/>
    <cellStyle name="20% - Accent2 2 2 4 2 2" xfId="5208"/>
    <cellStyle name="20% - Accent2 2 2 4 3" xfId="5207"/>
    <cellStyle name="20% - Accent2 2 2 5" xfId="1169"/>
    <cellStyle name="20% - Accent2 2 2 5 2" xfId="1170"/>
    <cellStyle name="20% - Accent2 2 2 5 2 2" xfId="5210"/>
    <cellStyle name="20% - Accent2 2 2 5 3" xfId="5209"/>
    <cellStyle name="20% - Accent2 2 2 6" xfId="1171"/>
    <cellStyle name="20% - Accent2 2 2 6 2" xfId="1172"/>
    <cellStyle name="20% - Accent2 2 2 6 2 2" xfId="5212"/>
    <cellStyle name="20% - Accent2 2 2 6 3" xfId="5211"/>
    <cellStyle name="20% - Accent2 2 2 7" xfId="1173"/>
    <cellStyle name="20% - Accent2 2 2 7 2" xfId="1174"/>
    <cellStyle name="20% - Accent2 2 2 7 2 2" xfId="5214"/>
    <cellStyle name="20% - Accent2 2 2 7 3" xfId="5213"/>
    <cellStyle name="20% - Accent2 2 2 8" xfId="1175"/>
    <cellStyle name="20% - Accent2 2 2 8 2" xfId="5215"/>
    <cellStyle name="20% - Accent2 2 2 9" xfId="9342"/>
    <cellStyle name="20% - Accent2 2 20" xfId="20312"/>
    <cellStyle name="20% - Accent2 2 21" xfId="21138"/>
    <cellStyle name="20% - Accent2 2 22" xfId="11066"/>
    <cellStyle name="20% - Accent2 2 23" xfId="22979"/>
    <cellStyle name="20% - Accent2 2 24" xfId="23688"/>
    <cellStyle name="20% - Accent2 2 25" xfId="28777"/>
    <cellStyle name="20% - Accent2 2 26" xfId="30565"/>
    <cellStyle name="20% - Accent2 2 27" xfId="32339"/>
    <cellStyle name="20% - Accent2 2 28" xfId="34091"/>
    <cellStyle name="20% - Accent2 2 29" xfId="35801"/>
    <cellStyle name="20% - Accent2 2 3" xfId="1176"/>
    <cellStyle name="20% - Accent2 2 3 10" xfId="5216"/>
    <cellStyle name="20% - Accent2 2 3 2" xfId="1177"/>
    <cellStyle name="20% - Accent2 2 3 2 2" xfId="1178"/>
    <cellStyle name="20% - Accent2 2 3 2 2 2" xfId="5218"/>
    <cellStyle name="20% - Accent2 2 3 2 3" xfId="5217"/>
    <cellStyle name="20% - Accent2 2 3 3" xfId="1179"/>
    <cellStyle name="20% - Accent2 2 3 3 2" xfId="1180"/>
    <cellStyle name="20% - Accent2 2 3 3 2 2" xfId="5220"/>
    <cellStyle name="20% - Accent2 2 3 3 3" xfId="5219"/>
    <cellStyle name="20% - Accent2 2 3 4" xfId="1181"/>
    <cellStyle name="20% - Accent2 2 3 4 2" xfId="1182"/>
    <cellStyle name="20% - Accent2 2 3 4 2 2" xfId="5222"/>
    <cellStyle name="20% - Accent2 2 3 4 3" xfId="5221"/>
    <cellStyle name="20% - Accent2 2 3 5" xfId="1183"/>
    <cellStyle name="20% - Accent2 2 3 5 2" xfId="1184"/>
    <cellStyle name="20% - Accent2 2 3 5 2 2" xfId="5224"/>
    <cellStyle name="20% - Accent2 2 3 5 3" xfId="5223"/>
    <cellStyle name="20% - Accent2 2 3 6" xfId="1185"/>
    <cellStyle name="20% - Accent2 2 3 6 2" xfId="1186"/>
    <cellStyle name="20% - Accent2 2 3 6 2 2" xfId="5226"/>
    <cellStyle name="20% - Accent2 2 3 6 3" xfId="5225"/>
    <cellStyle name="20% - Accent2 2 3 7" xfId="1187"/>
    <cellStyle name="20% - Accent2 2 3 7 2" xfId="1188"/>
    <cellStyle name="20% - Accent2 2 3 7 2 2" xfId="5228"/>
    <cellStyle name="20% - Accent2 2 3 7 3" xfId="5227"/>
    <cellStyle name="20% - Accent2 2 3 8" xfId="1189"/>
    <cellStyle name="20% - Accent2 2 3 8 2" xfId="5229"/>
    <cellStyle name="20% - Accent2 2 3 9" xfId="10297"/>
    <cellStyle name="20% - Accent2 2 30" xfId="37437"/>
    <cellStyle name="20% - Accent2 2 31" xfId="38984"/>
    <cellStyle name="20% - Accent2 2 32" xfId="40401"/>
    <cellStyle name="20% - Accent2 2 33" xfId="8689"/>
    <cellStyle name="20% - Accent2 2 34" xfId="5200"/>
    <cellStyle name="20% - Accent2 2 4" xfId="1190"/>
    <cellStyle name="20% - Accent2 2 4 2" xfId="1191"/>
    <cellStyle name="20% - Accent2 2 4 2 2" xfId="5231"/>
    <cellStyle name="20% - Accent2 2 4 3" xfId="10776"/>
    <cellStyle name="20% - Accent2 2 4 4" xfId="5230"/>
    <cellStyle name="20% - Accent2 2 5" xfId="1192"/>
    <cellStyle name="20% - Accent2 2 5 2" xfId="1193"/>
    <cellStyle name="20% - Accent2 2 5 2 2" xfId="5233"/>
    <cellStyle name="20% - Accent2 2 5 3" xfId="11017"/>
    <cellStyle name="20% - Accent2 2 5 4" xfId="5232"/>
    <cellStyle name="20% - Accent2 2 6" xfId="1194"/>
    <cellStyle name="20% - Accent2 2 6 2" xfId="1195"/>
    <cellStyle name="20% - Accent2 2 6 2 2" xfId="5235"/>
    <cellStyle name="20% - Accent2 2 6 3" xfId="10817"/>
    <cellStyle name="20% - Accent2 2 6 4" xfId="5234"/>
    <cellStyle name="20% - Accent2 2 7" xfId="1196"/>
    <cellStyle name="20% - Accent2 2 7 2" xfId="1197"/>
    <cellStyle name="20% - Accent2 2 7 2 2" xfId="5237"/>
    <cellStyle name="20% - Accent2 2 7 3" xfId="10527"/>
    <cellStyle name="20% - Accent2 2 7 4" xfId="5236"/>
    <cellStyle name="20% - Accent2 2 8" xfId="1198"/>
    <cellStyle name="20% - Accent2 2 8 2" xfId="1199"/>
    <cellStyle name="20% - Accent2 2 8 2 2" xfId="5239"/>
    <cellStyle name="20% - Accent2 2 8 3" xfId="10749"/>
    <cellStyle name="20% - Accent2 2 8 4" xfId="5238"/>
    <cellStyle name="20% - Accent2 2 9" xfId="1200"/>
    <cellStyle name="20% - Accent2 2 9 2" xfId="1201"/>
    <cellStyle name="20% - Accent2 2 9 2 2" xfId="5241"/>
    <cellStyle name="20% - Accent2 2 9 3" xfId="10815"/>
    <cellStyle name="20% - Accent2 2 9 4" xfId="5240"/>
    <cellStyle name="20% - Accent2 20" xfId="1202"/>
    <cellStyle name="20% - Accent2 20 10" xfId="20802"/>
    <cellStyle name="20% - Accent2 20 11" xfId="21640"/>
    <cellStyle name="20% - Accent2 20 12" xfId="22426"/>
    <cellStyle name="20% - Accent2 20 13" xfId="26465"/>
    <cellStyle name="20% - Accent2 20 14" xfId="29796"/>
    <cellStyle name="20% - Accent2 20 15" xfId="31571"/>
    <cellStyle name="20% - Accent2 20 16" xfId="33330"/>
    <cellStyle name="20% - Accent2 20 17" xfId="35047"/>
    <cellStyle name="20% - Accent2 20 18" xfId="36698"/>
    <cellStyle name="20% - Accent2 20 19" xfId="38267"/>
    <cellStyle name="20% - Accent2 20 2" xfId="1203"/>
    <cellStyle name="20% - Accent2 20 2 2" xfId="1204"/>
    <cellStyle name="20% - Accent2 20 2 2 2" xfId="5244"/>
    <cellStyle name="20% - Accent2 20 2 3" xfId="13355"/>
    <cellStyle name="20% - Accent2 20 2 4" xfId="5243"/>
    <cellStyle name="20% - Accent2 20 20" xfId="39717"/>
    <cellStyle name="20% - Accent2 20 21" xfId="40984"/>
    <cellStyle name="20% - Accent2 20 22" xfId="42058"/>
    <cellStyle name="20% - Accent2 20 23" xfId="12012"/>
    <cellStyle name="20% - Accent2 20 24" xfId="5242"/>
    <cellStyle name="20% - Accent2 20 3" xfId="1205"/>
    <cellStyle name="20% - Accent2 20 3 2" xfId="1206"/>
    <cellStyle name="20% - Accent2 20 3 2 2" xfId="5246"/>
    <cellStyle name="20% - Accent2 20 3 3" xfId="14479"/>
    <cellStyle name="20% - Accent2 20 3 4" xfId="5245"/>
    <cellStyle name="20% - Accent2 20 4" xfId="1207"/>
    <cellStyle name="20% - Accent2 20 4 2" xfId="1208"/>
    <cellStyle name="20% - Accent2 20 4 2 2" xfId="5248"/>
    <cellStyle name="20% - Accent2 20 4 3" xfId="15408"/>
    <cellStyle name="20% - Accent2 20 4 4" xfId="5247"/>
    <cellStyle name="20% - Accent2 20 5" xfId="1209"/>
    <cellStyle name="20% - Accent2 20 5 2" xfId="1210"/>
    <cellStyle name="20% - Accent2 20 5 2 2" xfId="5250"/>
    <cellStyle name="20% - Accent2 20 5 3" xfId="16337"/>
    <cellStyle name="20% - Accent2 20 5 4" xfId="5249"/>
    <cellStyle name="20% - Accent2 20 6" xfId="1211"/>
    <cellStyle name="20% - Accent2 20 6 2" xfId="1212"/>
    <cellStyle name="20% - Accent2 20 6 2 2" xfId="5252"/>
    <cellStyle name="20% - Accent2 20 6 3" xfId="17267"/>
    <cellStyle name="20% - Accent2 20 6 4" xfId="5251"/>
    <cellStyle name="20% - Accent2 20 7" xfId="1213"/>
    <cellStyle name="20% - Accent2 20 7 2" xfId="1214"/>
    <cellStyle name="20% - Accent2 20 7 2 2" xfId="5254"/>
    <cellStyle name="20% - Accent2 20 7 3" xfId="18175"/>
    <cellStyle name="20% - Accent2 20 7 4" xfId="5253"/>
    <cellStyle name="20% - Accent2 20 8" xfId="1215"/>
    <cellStyle name="20% - Accent2 20 8 2" xfId="19065"/>
    <cellStyle name="20% - Accent2 20 8 3" xfId="5255"/>
    <cellStyle name="20% - Accent2 20 9" xfId="19942"/>
    <cellStyle name="20% - Accent2 21" xfId="1216"/>
    <cellStyle name="20% - Accent2 21 10" xfId="20881"/>
    <cellStyle name="20% - Accent2 21 11" xfId="21720"/>
    <cellStyle name="20% - Accent2 21 12" xfId="22504"/>
    <cellStyle name="20% - Accent2 21 13" xfId="26873"/>
    <cellStyle name="20% - Accent2 21 14" xfId="30201"/>
    <cellStyle name="20% - Accent2 21 15" xfId="31976"/>
    <cellStyle name="20% - Accent2 21 16" xfId="33731"/>
    <cellStyle name="20% - Accent2 21 17" xfId="35444"/>
    <cellStyle name="20% - Accent2 21 18" xfId="37089"/>
    <cellStyle name="20% - Accent2 21 19" xfId="38645"/>
    <cellStyle name="20% - Accent2 21 2" xfId="1217"/>
    <cellStyle name="20% - Accent2 21 2 2" xfId="1218"/>
    <cellStyle name="20% - Accent2 21 2 2 2" xfId="5258"/>
    <cellStyle name="20% - Accent2 21 2 3" xfId="13435"/>
    <cellStyle name="20% - Accent2 21 2 4" xfId="5257"/>
    <cellStyle name="20% - Accent2 21 20" xfId="40079"/>
    <cellStyle name="20% - Accent2 21 21" xfId="41326"/>
    <cellStyle name="20% - Accent2 21 22" xfId="42377"/>
    <cellStyle name="20% - Accent2 21 23" xfId="12186"/>
    <cellStyle name="20% - Accent2 21 24" xfId="5256"/>
    <cellStyle name="20% - Accent2 21 3" xfId="1219"/>
    <cellStyle name="20% - Accent2 21 3 2" xfId="1220"/>
    <cellStyle name="20% - Accent2 21 3 2 2" xfId="5260"/>
    <cellStyle name="20% - Accent2 21 3 3" xfId="14559"/>
    <cellStyle name="20% - Accent2 21 3 4" xfId="5259"/>
    <cellStyle name="20% - Accent2 21 4" xfId="1221"/>
    <cellStyle name="20% - Accent2 21 4 2" xfId="1222"/>
    <cellStyle name="20% - Accent2 21 4 2 2" xfId="5262"/>
    <cellStyle name="20% - Accent2 21 4 3" xfId="15486"/>
    <cellStyle name="20% - Accent2 21 4 4" xfId="5261"/>
    <cellStyle name="20% - Accent2 21 5" xfId="1223"/>
    <cellStyle name="20% - Accent2 21 5 2" xfId="1224"/>
    <cellStyle name="20% - Accent2 21 5 2 2" xfId="5264"/>
    <cellStyle name="20% - Accent2 21 5 3" xfId="16417"/>
    <cellStyle name="20% - Accent2 21 5 4" xfId="5263"/>
    <cellStyle name="20% - Accent2 21 6" xfId="1225"/>
    <cellStyle name="20% - Accent2 21 6 2" xfId="1226"/>
    <cellStyle name="20% - Accent2 21 6 2 2" xfId="5266"/>
    <cellStyle name="20% - Accent2 21 6 3" xfId="17347"/>
    <cellStyle name="20% - Accent2 21 6 4" xfId="5265"/>
    <cellStyle name="20% - Accent2 21 7" xfId="1227"/>
    <cellStyle name="20% - Accent2 21 7 2" xfId="1228"/>
    <cellStyle name="20% - Accent2 21 7 2 2" xfId="5268"/>
    <cellStyle name="20% - Accent2 21 7 3" xfId="18255"/>
    <cellStyle name="20% - Accent2 21 7 4" xfId="5267"/>
    <cellStyle name="20% - Accent2 21 8" xfId="1229"/>
    <cellStyle name="20% - Accent2 21 8 2" xfId="19145"/>
    <cellStyle name="20% - Accent2 21 8 3" xfId="5269"/>
    <cellStyle name="20% - Accent2 21 9" xfId="20022"/>
    <cellStyle name="20% - Accent2 22" xfId="1230"/>
    <cellStyle name="20% - Accent2 22 10" xfId="20959"/>
    <cellStyle name="20% - Accent2 22 11" xfId="21800"/>
    <cellStyle name="20% - Accent2 22 12" xfId="22582"/>
    <cellStyle name="20% - Accent2 22 13" xfId="26334"/>
    <cellStyle name="20% - Accent2 22 14" xfId="29665"/>
    <cellStyle name="20% - Accent2 22 15" xfId="31440"/>
    <cellStyle name="20% - Accent2 22 16" xfId="33202"/>
    <cellStyle name="20% - Accent2 22 17" xfId="34920"/>
    <cellStyle name="20% - Accent2 22 18" xfId="36573"/>
    <cellStyle name="20% - Accent2 22 19" xfId="38147"/>
    <cellStyle name="20% - Accent2 22 2" xfId="1231"/>
    <cellStyle name="20% - Accent2 22 2 2" xfId="1232"/>
    <cellStyle name="20% - Accent2 22 2 2 2" xfId="5272"/>
    <cellStyle name="20% - Accent2 22 2 3" xfId="13515"/>
    <cellStyle name="20% - Accent2 22 2 4" xfId="5271"/>
    <cellStyle name="20% - Accent2 22 20" xfId="39600"/>
    <cellStyle name="20% - Accent2 22 21" xfId="40873"/>
    <cellStyle name="20% - Accent2 22 22" xfId="41952"/>
    <cellStyle name="20% - Accent2 22 23" xfId="11962"/>
    <cellStyle name="20% - Accent2 22 24" xfId="5270"/>
    <cellStyle name="20% - Accent2 22 3" xfId="1233"/>
    <cellStyle name="20% - Accent2 22 3 2" xfId="1234"/>
    <cellStyle name="20% - Accent2 22 3 2 2" xfId="5274"/>
    <cellStyle name="20% - Accent2 22 3 3" xfId="14638"/>
    <cellStyle name="20% - Accent2 22 3 4" xfId="5273"/>
    <cellStyle name="20% - Accent2 22 4" xfId="1235"/>
    <cellStyle name="20% - Accent2 22 4 2" xfId="1236"/>
    <cellStyle name="20% - Accent2 22 4 2 2" xfId="5276"/>
    <cellStyle name="20% - Accent2 22 4 3" xfId="15566"/>
    <cellStyle name="20% - Accent2 22 4 4" xfId="5275"/>
    <cellStyle name="20% - Accent2 22 5" xfId="1237"/>
    <cellStyle name="20% - Accent2 22 5 2" xfId="1238"/>
    <cellStyle name="20% - Accent2 22 5 2 2" xfId="5278"/>
    <cellStyle name="20% - Accent2 22 5 3" xfId="16497"/>
    <cellStyle name="20% - Accent2 22 5 4" xfId="5277"/>
    <cellStyle name="20% - Accent2 22 6" xfId="1239"/>
    <cellStyle name="20% - Accent2 22 6 2" xfId="1240"/>
    <cellStyle name="20% - Accent2 22 6 2 2" xfId="5280"/>
    <cellStyle name="20% - Accent2 22 6 3" xfId="17427"/>
    <cellStyle name="20% - Accent2 22 6 4" xfId="5279"/>
    <cellStyle name="20% - Accent2 22 7" xfId="1241"/>
    <cellStyle name="20% - Accent2 22 7 2" xfId="1242"/>
    <cellStyle name="20% - Accent2 22 7 2 2" xfId="5282"/>
    <cellStyle name="20% - Accent2 22 7 3" xfId="18335"/>
    <cellStyle name="20% - Accent2 22 7 4" xfId="5281"/>
    <cellStyle name="20% - Accent2 22 8" xfId="1243"/>
    <cellStyle name="20% - Accent2 22 8 2" xfId="19225"/>
    <cellStyle name="20% - Accent2 22 8 3" xfId="5283"/>
    <cellStyle name="20% - Accent2 22 9" xfId="20101"/>
    <cellStyle name="20% - Accent2 23" xfId="1244"/>
    <cellStyle name="20% - Accent2 23 10" xfId="21031"/>
    <cellStyle name="20% - Accent2 23 11" xfId="21869"/>
    <cellStyle name="20% - Accent2 23 12" xfId="22650"/>
    <cellStyle name="20% - Accent2 23 13" xfId="12558"/>
    <cellStyle name="20% - Accent2 23 14" xfId="5284"/>
    <cellStyle name="20% - Accent2 23 2" xfId="1245"/>
    <cellStyle name="20% - Accent2 23 2 2" xfId="1246"/>
    <cellStyle name="20% - Accent2 23 2 2 2" xfId="5286"/>
    <cellStyle name="20% - Accent2 23 2 3" xfId="13595"/>
    <cellStyle name="20% - Accent2 23 2 4" xfId="5285"/>
    <cellStyle name="20% - Accent2 23 3" xfId="1247"/>
    <cellStyle name="20% - Accent2 23 3 2" xfId="1248"/>
    <cellStyle name="20% - Accent2 23 3 2 2" xfId="5288"/>
    <cellStyle name="20% - Accent2 23 3 3" xfId="14714"/>
    <cellStyle name="20% - Accent2 23 3 4" xfId="5287"/>
    <cellStyle name="20% - Accent2 23 4" xfId="1249"/>
    <cellStyle name="20% - Accent2 23 4 2" xfId="1250"/>
    <cellStyle name="20% - Accent2 23 4 2 2" xfId="5290"/>
    <cellStyle name="20% - Accent2 23 4 3" xfId="15643"/>
    <cellStyle name="20% - Accent2 23 4 4" xfId="5289"/>
    <cellStyle name="20% - Accent2 23 5" xfId="1251"/>
    <cellStyle name="20% - Accent2 23 5 2" xfId="1252"/>
    <cellStyle name="20% - Accent2 23 5 2 2" xfId="5292"/>
    <cellStyle name="20% - Accent2 23 5 3" xfId="16574"/>
    <cellStyle name="20% - Accent2 23 5 4" xfId="5291"/>
    <cellStyle name="20% - Accent2 23 6" xfId="1253"/>
    <cellStyle name="20% - Accent2 23 6 2" xfId="1254"/>
    <cellStyle name="20% - Accent2 23 6 2 2" xfId="5294"/>
    <cellStyle name="20% - Accent2 23 6 3" xfId="17502"/>
    <cellStyle name="20% - Accent2 23 6 4" xfId="5293"/>
    <cellStyle name="20% - Accent2 23 7" xfId="1255"/>
    <cellStyle name="20% - Accent2 23 7 2" xfId="1256"/>
    <cellStyle name="20% - Accent2 23 7 2 2" xfId="5296"/>
    <cellStyle name="20% - Accent2 23 7 3" xfId="18408"/>
    <cellStyle name="20% - Accent2 23 7 4" xfId="5295"/>
    <cellStyle name="20% - Accent2 23 8" xfId="1257"/>
    <cellStyle name="20% - Accent2 23 8 2" xfId="19295"/>
    <cellStyle name="20% - Accent2 23 8 3" xfId="5297"/>
    <cellStyle name="20% - Accent2 23 9" xfId="20171"/>
    <cellStyle name="20% - Accent2 24" xfId="1258"/>
    <cellStyle name="20% - Accent2 24 10" xfId="21090"/>
    <cellStyle name="20% - Accent2 24 11" xfId="21925"/>
    <cellStyle name="20% - Accent2 24 12" xfId="22706"/>
    <cellStyle name="20% - Accent2 24 13" xfId="12650"/>
    <cellStyle name="20% - Accent2 24 14" xfId="5298"/>
    <cellStyle name="20% - Accent2 24 2" xfId="1259"/>
    <cellStyle name="20% - Accent2 24 2 2" xfId="1260"/>
    <cellStyle name="20% - Accent2 24 2 2 2" xfId="5300"/>
    <cellStyle name="20% - Accent2 24 2 3" xfId="13675"/>
    <cellStyle name="20% - Accent2 24 2 4" xfId="5299"/>
    <cellStyle name="20% - Accent2 24 3" xfId="1261"/>
    <cellStyle name="20% - Accent2 24 3 2" xfId="1262"/>
    <cellStyle name="20% - Accent2 24 3 2 2" xfId="5302"/>
    <cellStyle name="20% - Accent2 24 3 3" xfId="14787"/>
    <cellStyle name="20% - Accent2 24 3 4" xfId="5301"/>
    <cellStyle name="20% - Accent2 24 4" xfId="1263"/>
    <cellStyle name="20% - Accent2 24 4 2" xfId="1264"/>
    <cellStyle name="20% - Accent2 24 4 2 2" xfId="5304"/>
    <cellStyle name="20% - Accent2 24 4 3" xfId="15715"/>
    <cellStyle name="20% - Accent2 24 4 4" xfId="5303"/>
    <cellStyle name="20% - Accent2 24 5" xfId="1265"/>
    <cellStyle name="20% - Accent2 24 5 2" xfId="1266"/>
    <cellStyle name="20% - Accent2 24 5 2 2" xfId="5306"/>
    <cellStyle name="20% - Accent2 24 5 3" xfId="16646"/>
    <cellStyle name="20% - Accent2 24 5 4" xfId="5305"/>
    <cellStyle name="20% - Accent2 24 6" xfId="1267"/>
    <cellStyle name="20% - Accent2 24 6 2" xfId="1268"/>
    <cellStyle name="20% - Accent2 24 6 2 2" xfId="5308"/>
    <cellStyle name="20% - Accent2 24 6 3" xfId="17575"/>
    <cellStyle name="20% - Accent2 24 6 4" xfId="5307"/>
    <cellStyle name="20% - Accent2 24 7" xfId="1269"/>
    <cellStyle name="20% - Accent2 24 7 2" xfId="1270"/>
    <cellStyle name="20% - Accent2 24 7 2 2" xfId="5310"/>
    <cellStyle name="20% - Accent2 24 7 3" xfId="18477"/>
    <cellStyle name="20% - Accent2 24 7 4" xfId="5309"/>
    <cellStyle name="20% - Accent2 24 8" xfId="1271"/>
    <cellStyle name="20% - Accent2 24 8 2" xfId="19361"/>
    <cellStyle name="20% - Accent2 24 8 3" xfId="5311"/>
    <cellStyle name="20% - Accent2 24 9" xfId="20236"/>
    <cellStyle name="20% - Accent2 25" xfId="1272"/>
    <cellStyle name="20% - Accent2 25 10" xfId="5312"/>
    <cellStyle name="20% - Accent2 25 2" xfId="1273"/>
    <cellStyle name="20% - Accent2 25 2 2" xfId="1274"/>
    <cellStyle name="20% - Accent2 25 2 2 2" xfId="5314"/>
    <cellStyle name="20% - Accent2 25 2 3" xfId="5313"/>
    <cellStyle name="20% - Accent2 25 3" xfId="1275"/>
    <cellStyle name="20% - Accent2 25 3 2" xfId="1276"/>
    <cellStyle name="20% - Accent2 25 3 2 2" xfId="5316"/>
    <cellStyle name="20% - Accent2 25 3 3" xfId="5315"/>
    <cellStyle name="20% - Accent2 25 4" xfId="1277"/>
    <cellStyle name="20% - Accent2 25 4 2" xfId="1278"/>
    <cellStyle name="20% - Accent2 25 4 2 2" xfId="5318"/>
    <cellStyle name="20% - Accent2 25 4 3" xfId="5317"/>
    <cellStyle name="20% - Accent2 25 5" xfId="1279"/>
    <cellStyle name="20% - Accent2 25 5 2" xfId="1280"/>
    <cellStyle name="20% - Accent2 25 5 2 2" xfId="5320"/>
    <cellStyle name="20% - Accent2 25 5 3" xfId="5319"/>
    <cellStyle name="20% - Accent2 25 6" xfId="1281"/>
    <cellStyle name="20% - Accent2 25 6 2" xfId="1282"/>
    <cellStyle name="20% - Accent2 25 6 2 2" xfId="5322"/>
    <cellStyle name="20% - Accent2 25 6 3" xfId="5321"/>
    <cellStyle name="20% - Accent2 25 7" xfId="1283"/>
    <cellStyle name="20% - Accent2 25 7 2" xfId="1284"/>
    <cellStyle name="20% - Accent2 25 7 2 2" xfId="5324"/>
    <cellStyle name="20% - Accent2 25 7 3" xfId="5323"/>
    <cellStyle name="20% - Accent2 25 8" xfId="1285"/>
    <cellStyle name="20% - Accent2 25 8 2" xfId="5325"/>
    <cellStyle name="20% - Accent2 25 9" xfId="13745"/>
    <cellStyle name="20% - Accent2 26" xfId="1286"/>
    <cellStyle name="20% - Accent2 26 10" xfId="5326"/>
    <cellStyle name="20% - Accent2 26 2" xfId="1287"/>
    <cellStyle name="20% - Accent2 26 2 2" xfId="1288"/>
    <cellStyle name="20% - Accent2 26 2 2 2" xfId="5328"/>
    <cellStyle name="20% - Accent2 26 2 3" xfId="5327"/>
    <cellStyle name="20% - Accent2 26 3" xfId="1289"/>
    <cellStyle name="20% - Accent2 26 3 2" xfId="1290"/>
    <cellStyle name="20% - Accent2 26 3 2 2" xfId="5330"/>
    <cellStyle name="20% - Accent2 26 3 3" xfId="5329"/>
    <cellStyle name="20% - Accent2 26 4" xfId="1291"/>
    <cellStyle name="20% - Accent2 26 4 2" xfId="1292"/>
    <cellStyle name="20% - Accent2 26 4 2 2" xfId="5332"/>
    <cellStyle name="20% - Accent2 26 4 3" xfId="5331"/>
    <cellStyle name="20% - Accent2 26 5" xfId="1293"/>
    <cellStyle name="20% - Accent2 26 5 2" xfId="1294"/>
    <cellStyle name="20% - Accent2 26 5 2 2" xfId="5334"/>
    <cellStyle name="20% - Accent2 26 5 3" xfId="5333"/>
    <cellStyle name="20% - Accent2 26 6" xfId="1295"/>
    <cellStyle name="20% - Accent2 26 6 2" xfId="1296"/>
    <cellStyle name="20% - Accent2 26 6 2 2" xfId="5336"/>
    <cellStyle name="20% - Accent2 26 6 3" xfId="5335"/>
    <cellStyle name="20% - Accent2 26 7" xfId="1297"/>
    <cellStyle name="20% - Accent2 26 7 2" xfId="1298"/>
    <cellStyle name="20% - Accent2 26 7 2 2" xfId="5338"/>
    <cellStyle name="20% - Accent2 26 7 3" xfId="5337"/>
    <cellStyle name="20% - Accent2 26 8" xfId="1299"/>
    <cellStyle name="20% - Accent2 26 8 2" xfId="5339"/>
    <cellStyle name="20% - Accent2 26 9" xfId="13803"/>
    <cellStyle name="20% - Accent2 27" xfId="1300"/>
    <cellStyle name="20% - Accent2 27 10" xfId="5340"/>
    <cellStyle name="20% - Accent2 27 2" xfId="1301"/>
    <cellStyle name="20% - Accent2 27 2 2" xfId="1302"/>
    <cellStyle name="20% - Accent2 27 2 2 2" xfId="5342"/>
    <cellStyle name="20% - Accent2 27 2 3" xfId="5341"/>
    <cellStyle name="20% - Accent2 27 3" xfId="1303"/>
    <cellStyle name="20% - Accent2 27 3 2" xfId="1304"/>
    <cellStyle name="20% - Accent2 27 3 2 2" xfId="5344"/>
    <cellStyle name="20% - Accent2 27 3 3" xfId="5343"/>
    <cellStyle name="20% - Accent2 27 4" xfId="1305"/>
    <cellStyle name="20% - Accent2 27 4 2" xfId="1306"/>
    <cellStyle name="20% - Accent2 27 4 2 2" xfId="5346"/>
    <cellStyle name="20% - Accent2 27 4 3" xfId="5345"/>
    <cellStyle name="20% - Accent2 27 5" xfId="1307"/>
    <cellStyle name="20% - Accent2 27 5 2" xfId="1308"/>
    <cellStyle name="20% - Accent2 27 5 2 2" xfId="5348"/>
    <cellStyle name="20% - Accent2 27 5 3" xfId="5347"/>
    <cellStyle name="20% - Accent2 27 6" xfId="1309"/>
    <cellStyle name="20% - Accent2 27 6 2" xfId="1310"/>
    <cellStyle name="20% - Accent2 27 6 2 2" xfId="5350"/>
    <cellStyle name="20% - Accent2 27 6 3" xfId="5349"/>
    <cellStyle name="20% - Accent2 27 7" xfId="1311"/>
    <cellStyle name="20% - Accent2 27 7 2" xfId="1312"/>
    <cellStyle name="20% - Accent2 27 7 2 2" xfId="5352"/>
    <cellStyle name="20% - Accent2 27 7 3" xfId="5351"/>
    <cellStyle name="20% - Accent2 27 8" xfId="1313"/>
    <cellStyle name="20% - Accent2 27 8 2" xfId="5353"/>
    <cellStyle name="20% - Accent2 27 9" xfId="13282"/>
    <cellStyle name="20% - Accent2 28" xfId="1314"/>
    <cellStyle name="20% - Accent2 28 10" xfId="5354"/>
    <cellStyle name="20% - Accent2 28 2" xfId="1315"/>
    <cellStyle name="20% - Accent2 28 2 2" xfId="1316"/>
    <cellStyle name="20% - Accent2 28 2 2 2" xfId="5356"/>
    <cellStyle name="20% - Accent2 28 2 3" xfId="5355"/>
    <cellStyle name="20% - Accent2 28 3" xfId="1317"/>
    <cellStyle name="20% - Accent2 28 3 2" xfId="1318"/>
    <cellStyle name="20% - Accent2 28 3 2 2" xfId="5358"/>
    <cellStyle name="20% - Accent2 28 3 3" xfId="5357"/>
    <cellStyle name="20% - Accent2 28 4" xfId="1319"/>
    <cellStyle name="20% - Accent2 28 4 2" xfId="1320"/>
    <cellStyle name="20% - Accent2 28 4 2 2" xfId="5360"/>
    <cellStyle name="20% - Accent2 28 4 3" xfId="5359"/>
    <cellStyle name="20% - Accent2 28 5" xfId="1321"/>
    <cellStyle name="20% - Accent2 28 5 2" xfId="1322"/>
    <cellStyle name="20% - Accent2 28 5 2 2" xfId="5362"/>
    <cellStyle name="20% - Accent2 28 5 3" xfId="5361"/>
    <cellStyle name="20% - Accent2 28 6" xfId="1323"/>
    <cellStyle name="20% - Accent2 28 6 2" xfId="1324"/>
    <cellStyle name="20% - Accent2 28 6 2 2" xfId="5364"/>
    <cellStyle name="20% - Accent2 28 6 3" xfId="5363"/>
    <cellStyle name="20% - Accent2 28 7" xfId="1325"/>
    <cellStyle name="20% - Accent2 28 7 2" xfId="1326"/>
    <cellStyle name="20% - Accent2 28 7 2 2" xfId="5366"/>
    <cellStyle name="20% - Accent2 28 7 3" xfId="5365"/>
    <cellStyle name="20% - Accent2 28 8" xfId="1327"/>
    <cellStyle name="20% - Accent2 28 8 2" xfId="5367"/>
    <cellStyle name="20% - Accent2 28 9" xfId="14170"/>
    <cellStyle name="20% - Accent2 29" xfId="1328"/>
    <cellStyle name="20% - Accent2 29 10" xfId="5368"/>
    <cellStyle name="20% - Accent2 29 2" xfId="1329"/>
    <cellStyle name="20% - Accent2 29 2 2" xfId="1330"/>
    <cellStyle name="20% - Accent2 29 2 2 2" xfId="5370"/>
    <cellStyle name="20% - Accent2 29 2 3" xfId="5369"/>
    <cellStyle name="20% - Accent2 29 3" xfId="1331"/>
    <cellStyle name="20% - Accent2 29 3 2" xfId="1332"/>
    <cellStyle name="20% - Accent2 29 3 2 2" xfId="5372"/>
    <cellStyle name="20% - Accent2 29 3 3" xfId="5371"/>
    <cellStyle name="20% - Accent2 29 4" xfId="1333"/>
    <cellStyle name="20% - Accent2 29 4 2" xfId="1334"/>
    <cellStyle name="20% - Accent2 29 4 2 2" xfId="5374"/>
    <cellStyle name="20% - Accent2 29 4 3" xfId="5373"/>
    <cellStyle name="20% - Accent2 29 5" xfId="1335"/>
    <cellStyle name="20% - Accent2 29 5 2" xfId="1336"/>
    <cellStyle name="20% - Accent2 29 5 2 2" xfId="5376"/>
    <cellStyle name="20% - Accent2 29 5 3" xfId="5375"/>
    <cellStyle name="20% - Accent2 29 6" xfId="1337"/>
    <cellStyle name="20% - Accent2 29 6 2" xfId="1338"/>
    <cellStyle name="20% - Accent2 29 6 2 2" xfId="5378"/>
    <cellStyle name="20% - Accent2 29 6 3" xfId="5377"/>
    <cellStyle name="20% - Accent2 29 7" xfId="1339"/>
    <cellStyle name="20% - Accent2 29 7 2" xfId="1340"/>
    <cellStyle name="20% - Accent2 29 7 2 2" xfId="5380"/>
    <cellStyle name="20% - Accent2 29 7 3" xfId="5379"/>
    <cellStyle name="20% - Accent2 29 8" xfId="1341"/>
    <cellStyle name="20% - Accent2 29 8 2" xfId="5381"/>
    <cellStyle name="20% - Accent2 29 9" xfId="14949"/>
    <cellStyle name="20% - Accent2 3" xfId="1342"/>
    <cellStyle name="20% - Accent2 3 10" xfId="1343"/>
    <cellStyle name="20% - Accent2 3 10 2" xfId="5383"/>
    <cellStyle name="20% - Accent2 3 11" xfId="8829"/>
    <cellStyle name="20% - Accent2 3 12" xfId="5382"/>
    <cellStyle name="20% - Accent2 3 2" xfId="1344"/>
    <cellStyle name="20% - Accent2 3 2 2" xfId="1345"/>
    <cellStyle name="20% - Accent2 3 2 2 2" xfId="1346"/>
    <cellStyle name="20% - Accent2 3 2 2 2 2" xfId="5386"/>
    <cellStyle name="20% - Accent2 3 2 2 3" xfId="5385"/>
    <cellStyle name="20% - Accent2 3 2 3" xfId="1347"/>
    <cellStyle name="20% - Accent2 3 2 3 2" xfId="1348"/>
    <cellStyle name="20% - Accent2 3 2 3 2 2" xfId="5388"/>
    <cellStyle name="20% - Accent2 3 2 3 3" xfId="5387"/>
    <cellStyle name="20% - Accent2 3 2 4" xfId="1349"/>
    <cellStyle name="20% - Accent2 3 2 4 2" xfId="1350"/>
    <cellStyle name="20% - Accent2 3 2 4 2 2" xfId="5390"/>
    <cellStyle name="20% - Accent2 3 2 4 3" xfId="5389"/>
    <cellStyle name="20% - Accent2 3 2 5" xfId="1351"/>
    <cellStyle name="20% - Accent2 3 2 5 2" xfId="1352"/>
    <cellStyle name="20% - Accent2 3 2 5 2 2" xfId="5392"/>
    <cellStyle name="20% - Accent2 3 2 5 3" xfId="5391"/>
    <cellStyle name="20% - Accent2 3 2 6" xfId="1353"/>
    <cellStyle name="20% - Accent2 3 2 6 2" xfId="1354"/>
    <cellStyle name="20% - Accent2 3 2 6 2 2" xfId="5394"/>
    <cellStyle name="20% - Accent2 3 2 6 3" xfId="5393"/>
    <cellStyle name="20% - Accent2 3 2 7" xfId="1355"/>
    <cellStyle name="20% - Accent2 3 2 7 2" xfId="1356"/>
    <cellStyle name="20% - Accent2 3 2 7 2 2" xfId="5396"/>
    <cellStyle name="20% - Accent2 3 2 7 3" xfId="5395"/>
    <cellStyle name="20% - Accent2 3 2 8" xfId="1357"/>
    <cellStyle name="20% - Accent2 3 2 8 2" xfId="5397"/>
    <cellStyle name="20% - Accent2 3 2 9" xfId="5384"/>
    <cellStyle name="20% - Accent2 3 3" xfId="1358"/>
    <cellStyle name="20% - Accent2 3 3 2" xfId="1359"/>
    <cellStyle name="20% - Accent2 3 3 2 2" xfId="1360"/>
    <cellStyle name="20% - Accent2 3 3 2 2 2" xfId="5400"/>
    <cellStyle name="20% - Accent2 3 3 2 3" xfId="5399"/>
    <cellStyle name="20% - Accent2 3 3 3" xfId="1361"/>
    <cellStyle name="20% - Accent2 3 3 3 2" xfId="1362"/>
    <cellStyle name="20% - Accent2 3 3 3 2 2" xfId="5402"/>
    <cellStyle name="20% - Accent2 3 3 3 3" xfId="5401"/>
    <cellStyle name="20% - Accent2 3 3 4" xfId="1363"/>
    <cellStyle name="20% - Accent2 3 3 4 2" xfId="1364"/>
    <cellStyle name="20% - Accent2 3 3 4 2 2" xfId="5404"/>
    <cellStyle name="20% - Accent2 3 3 4 3" xfId="5403"/>
    <cellStyle name="20% - Accent2 3 3 5" xfId="1365"/>
    <cellStyle name="20% - Accent2 3 3 5 2" xfId="1366"/>
    <cellStyle name="20% - Accent2 3 3 5 2 2" xfId="5406"/>
    <cellStyle name="20% - Accent2 3 3 5 3" xfId="5405"/>
    <cellStyle name="20% - Accent2 3 3 6" xfId="1367"/>
    <cellStyle name="20% - Accent2 3 3 6 2" xfId="1368"/>
    <cellStyle name="20% - Accent2 3 3 6 2 2" xfId="5408"/>
    <cellStyle name="20% - Accent2 3 3 6 3" xfId="5407"/>
    <cellStyle name="20% - Accent2 3 3 7" xfId="1369"/>
    <cellStyle name="20% - Accent2 3 3 7 2" xfId="1370"/>
    <cellStyle name="20% - Accent2 3 3 7 2 2" xfId="5410"/>
    <cellStyle name="20% - Accent2 3 3 7 3" xfId="5409"/>
    <cellStyle name="20% - Accent2 3 3 8" xfId="1371"/>
    <cellStyle name="20% - Accent2 3 3 8 2" xfId="5411"/>
    <cellStyle name="20% - Accent2 3 3 9" xfId="5398"/>
    <cellStyle name="20% - Accent2 3 4" xfId="1372"/>
    <cellStyle name="20% - Accent2 3 4 2" xfId="1373"/>
    <cellStyle name="20% - Accent2 3 4 2 2" xfId="5413"/>
    <cellStyle name="20% - Accent2 3 4 3" xfId="5412"/>
    <cellStyle name="20% - Accent2 3 5" xfId="1374"/>
    <cellStyle name="20% - Accent2 3 5 2" xfId="1375"/>
    <cellStyle name="20% - Accent2 3 5 2 2" xfId="5415"/>
    <cellStyle name="20% - Accent2 3 5 3" xfId="5414"/>
    <cellStyle name="20% - Accent2 3 6" xfId="1376"/>
    <cellStyle name="20% - Accent2 3 6 2" xfId="1377"/>
    <cellStyle name="20% - Accent2 3 6 2 2" xfId="5417"/>
    <cellStyle name="20% - Accent2 3 6 3" xfId="5416"/>
    <cellStyle name="20% - Accent2 3 7" xfId="1378"/>
    <cellStyle name="20% - Accent2 3 7 2" xfId="1379"/>
    <cellStyle name="20% - Accent2 3 7 2 2" xfId="5419"/>
    <cellStyle name="20% - Accent2 3 7 3" xfId="5418"/>
    <cellStyle name="20% - Accent2 3 8" xfId="1380"/>
    <cellStyle name="20% - Accent2 3 8 2" xfId="1381"/>
    <cellStyle name="20% - Accent2 3 8 2 2" xfId="5421"/>
    <cellStyle name="20% - Accent2 3 8 3" xfId="5420"/>
    <cellStyle name="20% - Accent2 3 9" xfId="1382"/>
    <cellStyle name="20% - Accent2 3 9 2" xfId="1383"/>
    <cellStyle name="20% - Accent2 3 9 2 2" xfId="5423"/>
    <cellStyle name="20% - Accent2 3 9 3" xfId="5422"/>
    <cellStyle name="20% - Accent2 30" xfId="1384"/>
    <cellStyle name="20% - Accent2 30 10" xfId="5424"/>
    <cellStyle name="20% - Accent2 30 2" xfId="1385"/>
    <cellStyle name="20% - Accent2 30 2 2" xfId="1386"/>
    <cellStyle name="20% - Accent2 30 2 2 2" xfId="5426"/>
    <cellStyle name="20% - Accent2 30 2 3" xfId="5425"/>
    <cellStyle name="20% - Accent2 30 3" xfId="1387"/>
    <cellStyle name="20% - Accent2 30 3 2" xfId="1388"/>
    <cellStyle name="20% - Accent2 30 3 2 2" xfId="5428"/>
    <cellStyle name="20% - Accent2 30 3 3" xfId="5427"/>
    <cellStyle name="20% - Accent2 30 4" xfId="1389"/>
    <cellStyle name="20% - Accent2 30 4 2" xfId="1390"/>
    <cellStyle name="20% - Accent2 30 4 2 2" xfId="5430"/>
    <cellStyle name="20% - Accent2 30 4 3" xfId="5429"/>
    <cellStyle name="20% - Accent2 30 5" xfId="1391"/>
    <cellStyle name="20% - Accent2 30 5 2" xfId="1392"/>
    <cellStyle name="20% - Accent2 30 5 2 2" xfId="5432"/>
    <cellStyle name="20% - Accent2 30 5 3" xfId="5431"/>
    <cellStyle name="20% - Accent2 30 6" xfId="1393"/>
    <cellStyle name="20% - Accent2 30 6 2" xfId="1394"/>
    <cellStyle name="20% - Accent2 30 6 2 2" xfId="5434"/>
    <cellStyle name="20% - Accent2 30 6 3" xfId="5433"/>
    <cellStyle name="20% - Accent2 30 7" xfId="1395"/>
    <cellStyle name="20% - Accent2 30 7 2" xfId="1396"/>
    <cellStyle name="20% - Accent2 30 7 2 2" xfId="5436"/>
    <cellStyle name="20% - Accent2 30 7 3" xfId="5435"/>
    <cellStyle name="20% - Accent2 30 8" xfId="1397"/>
    <cellStyle name="20% - Accent2 30 8 2" xfId="5437"/>
    <cellStyle name="20% - Accent2 30 9" xfId="16107"/>
    <cellStyle name="20% - Accent2 31" xfId="1398"/>
    <cellStyle name="20% - Accent2 31 10" xfId="5438"/>
    <cellStyle name="20% - Accent2 31 2" xfId="1399"/>
    <cellStyle name="20% - Accent2 31 2 2" xfId="1400"/>
    <cellStyle name="20% - Accent2 31 2 2 2" xfId="5440"/>
    <cellStyle name="20% - Accent2 31 2 3" xfId="5439"/>
    <cellStyle name="20% - Accent2 31 3" xfId="1401"/>
    <cellStyle name="20% - Accent2 31 3 2" xfId="1402"/>
    <cellStyle name="20% - Accent2 31 3 2 2" xfId="5442"/>
    <cellStyle name="20% - Accent2 31 3 3" xfId="5441"/>
    <cellStyle name="20% - Accent2 31 4" xfId="1403"/>
    <cellStyle name="20% - Accent2 31 4 2" xfId="1404"/>
    <cellStyle name="20% - Accent2 31 4 2 2" xfId="5444"/>
    <cellStyle name="20% - Accent2 31 4 3" xfId="5443"/>
    <cellStyle name="20% - Accent2 31 5" xfId="1405"/>
    <cellStyle name="20% - Accent2 31 5 2" xfId="1406"/>
    <cellStyle name="20% - Accent2 31 5 2 2" xfId="5446"/>
    <cellStyle name="20% - Accent2 31 5 3" xfId="5445"/>
    <cellStyle name="20% - Accent2 31 6" xfId="1407"/>
    <cellStyle name="20% - Accent2 31 6 2" xfId="1408"/>
    <cellStyle name="20% - Accent2 31 6 2 2" xfId="5448"/>
    <cellStyle name="20% - Accent2 31 6 3" xfId="5447"/>
    <cellStyle name="20% - Accent2 31 7" xfId="1409"/>
    <cellStyle name="20% - Accent2 31 7 2" xfId="1410"/>
    <cellStyle name="20% - Accent2 31 7 2 2" xfId="5450"/>
    <cellStyle name="20% - Accent2 31 7 3" xfId="5449"/>
    <cellStyle name="20% - Accent2 31 8" xfId="1411"/>
    <cellStyle name="20% - Accent2 31 8 2" xfId="5451"/>
    <cellStyle name="20% - Accent2 31 9" xfId="17037"/>
    <cellStyle name="20% - Accent2 32" xfId="1412"/>
    <cellStyle name="20% - Accent2 32 10" xfId="5452"/>
    <cellStyle name="20% - Accent2 32 2" xfId="1413"/>
    <cellStyle name="20% - Accent2 32 2 2" xfId="1414"/>
    <cellStyle name="20% - Accent2 32 2 2 2" xfId="5454"/>
    <cellStyle name="20% - Accent2 32 2 3" xfId="5453"/>
    <cellStyle name="20% - Accent2 32 3" xfId="1415"/>
    <cellStyle name="20% - Accent2 32 3 2" xfId="1416"/>
    <cellStyle name="20% - Accent2 32 3 2 2" xfId="5456"/>
    <cellStyle name="20% - Accent2 32 3 3" xfId="5455"/>
    <cellStyle name="20% - Accent2 32 4" xfId="1417"/>
    <cellStyle name="20% - Accent2 32 4 2" xfId="1418"/>
    <cellStyle name="20% - Accent2 32 4 2 2" xfId="5458"/>
    <cellStyle name="20% - Accent2 32 4 3" xfId="5457"/>
    <cellStyle name="20% - Accent2 32 5" xfId="1419"/>
    <cellStyle name="20% - Accent2 32 5 2" xfId="1420"/>
    <cellStyle name="20% - Accent2 32 5 2 2" xfId="5460"/>
    <cellStyle name="20% - Accent2 32 5 3" xfId="5459"/>
    <cellStyle name="20% - Accent2 32 6" xfId="1421"/>
    <cellStyle name="20% - Accent2 32 6 2" xfId="1422"/>
    <cellStyle name="20% - Accent2 32 6 2 2" xfId="5462"/>
    <cellStyle name="20% - Accent2 32 6 3" xfId="5461"/>
    <cellStyle name="20% - Accent2 32 7" xfId="1423"/>
    <cellStyle name="20% - Accent2 32 7 2" xfId="1424"/>
    <cellStyle name="20% - Accent2 32 7 2 2" xfId="5464"/>
    <cellStyle name="20% - Accent2 32 7 3" xfId="5463"/>
    <cellStyle name="20% - Accent2 32 8" xfId="1425"/>
    <cellStyle name="20% - Accent2 32 8 2" xfId="5465"/>
    <cellStyle name="20% - Accent2 32 9" xfId="17945"/>
    <cellStyle name="20% - Accent2 33" xfId="1426"/>
    <cellStyle name="20% - Accent2 33 2" xfId="1427"/>
    <cellStyle name="20% - Accent2 33 2 2" xfId="5467"/>
    <cellStyle name="20% - Accent2 33 3" xfId="18835"/>
    <cellStyle name="20% - Accent2 33 4" xfId="5466"/>
    <cellStyle name="20% - Accent2 34" xfId="1428"/>
    <cellStyle name="20% - Accent2 34 2" xfId="1429"/>
    <cellStyle name="20% - Accent2 34 2 2" xfId="5469"/>
    <cellStyle name="20% - Accent2 34 3" xfId="19633"/>
    <cellStyle name="20% - Accent2 34 4" xfId="5468"/>
    <cellStyle name="20% - Accent2 35" xfId="1430"/>
    <cellStyle name="20% - Accent2 35 2" xfId="1431"/>
    <cellStyle name="20% - Accent2 35 2 2" xfId="5471"/>
    <cellStyle name="20% - Accent2 35 3" xfId="20414"/>
    <cellStyle name="20% - Accent2 35 4" xfId="5470"/>
    <cellStyle name="20% - Accent2 36" xfId="1432"/>
    <cellStyle name="20% - Accent2 36 2" xfId="1433"/>
    <cellStyle name="20% - Accent2 36 2 2" xfId="5473"/>
    <cellStyle name="20% - Accent2 36 3" xfId="21410"/>
    <cellStyle name="20% - Accent2 36 4" xfId="5472"/>
    <cellStyle name="20% - Accent2 37" xfId="1434"/>
    <cellStyle name="20% - Accent2 37 2" xfId="1435"/>
    <cellStyle name="20% - Accent2 37 2 2" xfId="5475"/>
    <cellStyle name="20% - Accent2 37 3" xfId="22770"/>
    <cellStyle name="20% - Accent2 37 4" xfId="5474"/>
    <cellStyle name="20% - Accent2 38" xfId="1436"/>
    <cellStyle name="20% - Accent2 38 2" xfId="1437"/>
    <cellStyle name="20% - Accent2 38 2 2" xfId="5477"/>
    <cellStyle name="20% - Accent2 38 3" xfId="26981"/>
    <cellStyle name="20% - Accent2 38 4" xfId="5476"/>
    <cellStyle name="20% - Accent2 39" xfId="1438"/>
    <cellStyle name="20% - Accent2 39 2" xfId="29076"/>
    <cellStyle name="20% - Accent2 39 3" xfId="5478"/>
    <cellStyle name="20% - Accent2 4" xfId="1439"/>
    <cellStyle name="20% - Accent2 4 10" xfId="1440"/>
    <cellStyle name="20% - Accent2 4 10 2" xfId="5480"/>
    <cellStyle name="20% - Accent2 4 11" xfId="8920"/>
    <cellStyle name="20% - Accent2 4 12" xfId="5479"/>
    <cellStyle name="20% - Accent2 4 2" xfId="1441"/>
    <cellStyle name="20% - Accent2 4 2 2" xfId="1442"/>
    <cellStyle name="20% - Accent2 4 2 2 2" xfId="1443"/>
    <cellStyle name="20% - Accent2 4 2 2 2 2" xfId="5483"/>
    <cellStyle name="20% - Accent2 4 2 2 3" xfId="5482"/>
    <cellStyle name="20% - Accent2 4 2 3" xfId="1444"/>
    <cellStyle name="20% - Accent2 4 2 3 2" xfId="1445"/>
    <cellStyle name="20% - Accent2 4 2 3 2 2" xfId="5485"/>
    <cellStyle name="20% - Accent2 4 2 3 3" xfId="5484"/>
    <cellStyle name="20% - Accent2 4 2 4" xfId="1446"/>
    <cellStyle name="20% - Accent2 4 2 4 2" xfId="1447"/>
    <cellStyle name="20% - Accent2 4 2 4 2 2" xfId="5487"/>
    <cellStyle name="20% - Accent2 4 2 4 3" xfId="5486"/>
    <cellStyle name="20% - Accent2 4 2 5" xfId="1448"/>
    <cellStyle name="20% - Accent2 4 2 5 2" xfId="1449"/>
    <cellStyle name="20% - Accent2 4 2 5 2 2" xfId="5489"/>
    <cellStyle name="20% - Accent2 4 2 5 3" xfId="5488"/>
    <cellStyle name="20% - Accent2 4 2 6" xfId="1450"/>
    <cellStyle name="20% - Accent2 4 2 6 2" xfId="1451"/>
    <cellStyle name="20% - Accent2 4 2 6 2 2" xfId="5491"/>
    <cellStyle name="20% - Accent2 4 2 6 3" xfId="5490"/>
    <cellStyle name="20% - Accent2 4 2 7" xfId="1452"/>
    <cellStyle name="20% - Accent2 4 2 7 2" xfId="1453"/>
    <cellStyle name="20% - Accent2 4 2 7 2 2" xfId="5493"/>
    <cellStyle name="20% - Accent2 4 2 7 3" xfId="5492"/>
    <cellStyle name="20% - Accent2 4 2 8" xfId="1454"/>
    <cellStyle name="20% - Accent2 4 2 8 2" xfId="5494"/>
    <cellStyle name="20% - Accent2 4 2 9" xfId="5481"/>
    <cellStyle name="20% - Accent2 4 3" xfId="1455"/>
    <cellStyle name="20% - Accent2 4 3 2" xfId="1456"/>
    <cellStyle name="20% - Accent2 4 3 2 2" xfId="1457"/>
    <cellStyle name="20% - Accent2 4 3 2 2 2" xfId="5497"/>
    <cellStyle name="20% - Accent2 4 3 2 3" xfId="5496"/>
    <cellStyle name="20% - Accent2 4 3 3" xfId="1458"/>
    <cellStyle name="20% - Accent2 4 3 3 2" xfId="1459"/>
    <cellStyle name="20% - Accent2 4 3 3 2 2" xfId="5499"/>
    <cellStyle name="20% - Accent2 4 3 3 3" xfId="5498"/>
    <cellStyle name="20% - Accent2 4 3 4" xfId="1460"/>
    <cellStyle name="20% - Accent2 4 3 4 2" xfId="1461"/>
    <cellStyle name="20% - Accent2 4 3 4 2 2" xfId="5501"/>
    <cellStyle name="20% - Accent2 4 3 4 3" xfId="5500"/>
    <cellStyle name="20% - Accent2 4 3 5" xfId="1462"/>
    <cellStyle name="20% - Accent2 4 3 5 2" xfId="1463"/>
    <cellStyle name="20% - Accent2 4 3 5 2 2" xfId="5503"/>
    <cellStyle name="20% - Accent2 4 3 5 3" xfId="5502"/>
    <cellStyle name="20% - Accent2 4 3 6" xfId="1464"/>
    <cellStyle name="20% - Accent2 4 3 6 2" xfId="1465"/>
    <cellStyle name="20% - Accent2 4 3 6 2 2" xfId="5505"/>
    <cellStyle name="20% - Accent2 4 3 6 3" xfId="5504"/>
    <cellStyle name="20% - Accent2 4 3 7" xfId="1466"/>
    <cellStyle name="20% - Accent2 4 3 7 2" xfId="1467"/>
    <cellStyle name="20% - Accent2 4 3 7 2 2" xfId="5507"/>
    <cellStyle name="20% - Accent2 4 3 7 3" xfId="5506"/>
    <cellStyle name="20% - Accent2 4 3 8" xfId="1468"/>
    <cellStyle name="20% - Accent2 4 3 8 2" xfId="5508"/>
    <cellStyle name="20% - Accent2 4 3 9" xfId="5495"/>
    <cellStyle name="20% - Accent2 4 4" xfId="1469"/>
    <cellStyle name="20% - Accent2 4 4 2" xfId="1470"/>
    <cellStyle name="20% - Accent2 4 4 2 2" xfId="5510"/>
    <cellStyle name="20% - Accent2 4 4 3" xfId="5509"/>
    <cellStyle name="20% - Accent2 4 5" xfId="1471"/>
    <cellStyle name="20% - Accent2 4 5 2" xfId="1472"/>
    <cellStyle name="20% - Accent2 4 5 2 2" xfId="5512"/>
    <cellStyle name="20% - Accent2 4 5 3" xfId="5511"/>
    <cellStyle name="20% - Accent2 4 6" xfId="1473"/>
    <cellStyle name="20% - Accent2 4 6 2" xfId="1474"/>
    <cellStyle name="20% - Accent2 4 6 2 2" xfId="5514"/>
    <cellStyle name="20% - Accent2 4 6 3" xfId="5513"/>
    <cellStyle name="20% - Accent2 4 7" xfId="1475"/>
    <cellStyle name="20% - Accent2 4 7 2" xfId="1476"/>
    <cellStyle name="20% - Accent2 4 7 2 2" xfId="5516"/>
    <cellStyle name="20% - Accent2 4 7 3" xfId="5515"/>
    <cellStyle name="20% - Accent2 4 8" xfId="1477"/>
    <cellStyle name="20% - Accent2 4 8 2" xfId="1478"/>
    <cellStyle name="20% - Accent2 4 8 2 2" xfId="5518"/>
    <cellStyle name="20% - Accent2 4 8 3" xfId="5517"/>
    <cellStyle name="20% - Accent2 4 9" xfId="1479"/>
    <cellStyle name="20% - Accent2 4 9 2" xfId="1480"/>
    <cellStyle name="20% - Accent2 4 9 2 2" xfId="5520"/>
    <cellStyle name="20% - Accent2 4 9 3" xfId="5519"/>
    <cellStyle name="20% - Accent2 40" xfId="1481"/>
    <cellStyle name="20% - Accent2 40 2" xfId="30861"/>
    <cellStyle name="20% - Accent2 40 3" xfId="5521"/>
    <cellStyle name="20% - Accent2 41" xfId="1482"/>
    <cellStyle name="20% - Accent2 41 2" xfId="32633"/>
    <cellStyle name="20% - Accent2 41 3" xfId="5522"/>
    <cellStyle name="20% - Accent2 42" xfId="1483"/>
    <cellStyle name="20% - Accent2 42 2" xfId="34374"/>
    <cellStyle name="20% - Accent2 42 3" xfId="5523"/>
    <cellStyle name="20% - Accent2 43" xfId="1484"/>
    <cellStyle name="20% - Accent2 43 2" xfId="36062"/>
    <cellStyle name="20% - Accent2 43 3" xfId="5524"/>
    <cellStyle name="20% - Accent2 44" xfId="1485"/>
    <cellStyle name="20% - Accent2 44 2" xfId="37679"/>
    <cellStyle name="20% - Accent2 44 3" xfId="5525"/>
    <cellStyle name="20% - Accent2 45" xfId="1486"/>
    <cellStyle name="20% - Accent2 45 2" xfId="39197"/>
    <cellStyle name="20% - Accent2 45 3" xfId="5526"/>
    <cellStyle name="20% - Accent2 46" xfId="1487"/>
    <cellStyle name="20% - Accent2 46 2" xfId="40576"/>
    <cellStyle name="20% - Accent2 46 3" xfId="5527"/>
    <cellStyle name="20% - Accent2 47" xfId="1488"/>
    <cellStyle name="20% - Accent2 47 2" xfId="42574"/>
    <cellStyle name="20% - Accent2 47 3" xfId="5528"/>
    <cellStyle name="20% - Accent2 48" xfId="1489"/>
    <cellStyle name="20% - Accent2 48 2" xfId="42702"/>
    <cellStyle name="20% - Accent2 48 3" xfId="5529"/>
    <cellStyle name="20% - Accent2 49" xfId="1490"/>
    <cellStyle name="20% - Accent2 49 2" xfId="42746"/>
    <cellStyle name="20% - Accent2 49 3" xfId="5530"/>
    <cellStyle name="20% - Accent2 5" xfId="1491"/>
    <cellStyle name="20% - Accent2 5 10" xfId="1492"/>
    <cellStyle name="20% - Accent2 5 10 2" xfId="5532"/>
    <cellStyle name="20% - Accent2 5 11" xfId="8998"/>
    <cellStyle name="20% - Accent2 5 12" xfId="5531"/>
    <cellStyle name="20% - Accent2 5 2" xfId="1493"/>
    <cellStyle name="20% - Accent2 5 2 2" xfId="1494"/>
    <cellStyle name="20% - Accent2 5 2 2 2" xfId="1495"/>
    <cellStyle name="20% - Accent2 5 2 2 2 2" xfId="5535"/>
    <cellStyle name="20% - Accent2 5 2 2 3" xfId="5534"/>
    <cellStyle name="20% - Accent2 5 2 3" xfId="1496"/>
    <cellStyle name="20% - Accent2 5 2 3 2" xfId="1497"/>
    <cellStyle name="20% - Accent2 5 2 3 2 2" xfId="5537"/>
    <cellStyle name="20% - Accent2 5 2 3 3" xfId="5536"/>
    <cellStyle name="20% - Accent2 5 2 4" xfId="1498"/>
    <cellStyle name="20% - Accent2 5 2 4 2" xfId="1499"/>
    <cellStyle name="20% - Accent2 5 2 4 2 2" xfId="5539"/>
    <cellStyle name="20% - Accent2 5 2 4 3" xfId="5538"/>
    <cellStyle name="20% - Accent2 5 2 5" xfId="1500"/>
    <cellStyle name="20% - Accent2 5 2 5 2" xfId="1501"/>
    <cellStyle name="20% - Accent2 5 2 5 2 2" xfId="5541"/>
    <cellStyle name="20% - Accent2 5 2 5 3" xfId="5540"/>
    <cellStyle name="20% - Accent2 5 2 6" xfId="1502"/>
    <cellStyle name="20% - Accent2 5 2 6 2" xfId="1503"/>
    <cellStyle name="20% - Accent2 5 2 6 2 2" xfId="5543"/>
    <cellStyle name="20% - Accent2 5 2 6 3" xfId="5542"/>
    <cellStyle name="20% - Accent2 5 2 7" xfId="1504"/>
    <cellStyle name="20% - Accent2 5 2 7 2" xfId="1505"/>
    <cellStyle name="20% - Accent2 5 2 7 2 2" xfId="5545"/>
    <cellStyle name="20% - Accent2 5 2 7 3" xfId="5544"/>
    <cellStyle name="20% - Accent2 5 2 8" xfId="1506"/>
    <cellStyle name="20% - Accent2 5 2 8 2" xfId="5546"/>
    <cellStyle name="20% - Accent2 5 2 9" xfId="5533"/>
    <cellStyle name="20% - Accent2 5 3" xfId="1507"/>
    <cellStyle name="20% - Accent2 5 3 2" xfId="1508"/>
    <cellStyle name="20% - Accent2 5 3 2 2" xfId="1509"/>
    <cellStyle name="20% - Accent2 5 3 2 2 2" xfId="5549"/>
    <cellStyle name="20% - Accent2 5 3 2 3" xfId="5548"/>
    <cellStyle name="20% - Accent2 5 3 3" xfId="1510"/>
    <cellStyle name="20% - Accent2 5 3 3 2" xfId="1511"/>
    <cellStyle name="20% - Accent2 5 3 3 2 2" xfId="5551"/>
    <cellStyle name="20% - Accent2 5 3 3 3" xfId="5550"/>
    <cellStyle name="20% - Accent2 5 3 4" xfId="1512"/>
    <cellStyle name="20% - Accent2 5 3 4 2" xfId="1513"/>
    <cellStyle name="20% - Accent2 5 3 4 2 2" xfId="5553"/>
    <cellStyle name="20% - Accent2 5 3 4 3" xfId="5552"/>
    <cellStyle name="20% - Accent2 5 3 5" xfId="1514"/>
    <cellStyle name="20% - Accent2 5 3 5 2" xfId="1515"/>
    <cellStyle name="20% - Accent2 5 3 5 2 2" xfId="5555"/>
    <cellStyle name="20% - Accent2 5 3 5 3" xfId="5554"/>
    <cellStyle name="20% - Accent2 5 3 6" xfId="1516"/>
    <cellStyle name="20% - Accent2 5 3 6 2" xfId="1517"/>
    <cellStyle name="20% - Accent2 5 3 6 2 2" xfId="5557"/>
    <cellStyle name="20% - Accent2 5 3 6 3" xfId="5556"/>
    <cellStyle name="20% - Accent2 5 3 7" xfId="1518"/>
    <cellStyle name="20% - Accent2 5 3 7 2" xfId="1519"/>
    <cellStyle name="20% - Accent2 5 3 7 2 2" xfId="5559"/>
    <cellStyle name="20% - Accent2 5 3 7 3" xfId="5558"/>
    <cellStyle name="20% - Accent2 5 3 8" xfId="1520"/>
    <cellStyle name="20% - Accent2 5 3 8 2" xfId="5560"/>
    <cellStyle name="20% - Accent2 5 3 9" xfId="5547"/>
    <cellStyle name="20% - Accent2 5 4" xfId="1521"/>
    <cellStyle name="20% - Accent2 5 4 2" xfId="1522"/>
    <cellStyle name="20% - Accent2 5 4 2 2" xfId="5562"/>
    <cellStyle name="20% - Accent2 5 4 3" xfId="5561"/>
    <cellStyle name="20% - Accent2 5 5" xfId="1523"/>
    <cellStyle name="20% - Accent2 5 5 2" xfId="1524"/>
    <cellStyle name="20% - Accent2 5 5 2 2" xfId="5564"/>
    <cellStyle name="20% - Accent2 5 5 3" xfId="5563"/>
    <cellStyle name="20% - Accent2 5 6" xfId="1525"/>
    <cellStyle name="20% - Accent2 5 6 2" xfId="1526"/>
    <cellStyle name="20% - Accent2 5 6 2 2" xfId="5566"/>
    <cellStyle name="20% - Accent2 5 6 3" xfId="5565"/>
    <cellStyle name="20% - Accent2 5 7" xfId="1527"/>
    <cellStyle name="20% - Accent2 5 7 2" xfId="1528"/>
    <cellStyle name="20% - Accent2 5 7 2 2" xfId="5568"/>
    <cellStyle name="20% - Accent2 5 7 3" xfId="5567"/>
    <cellStyle name="20% - Accent2 5 8" xfId="1529"/>
    <cellStyle name="20% - Accent2 5 8 2" xfId="1530"/>
    <cellStyle name="20% - Accent2 5 8 2 2" xfId="5570"/>
    <cellStyle name="20% - Accent2 5 8 3" xfId="5569"/>
    <cellStyle name="20% - Accent2 5 9" xfId="1531"/>
    <cellStyle name="20% - Accent2 5 9 2" xfId="1532"/>
    <cellStyle name="20% - Accent2 5 9 2 2" xfId="5572"/>
    <cellStyle name="20% - Accent2 5 9 3" xfId="5571"/>
    <cellStyle name="20% - Accent2 50" xfId="1533"/>
    <cellStyle name="20% - Accent2 50 2" xfId="42788"/>
    <cellStyle name="20% - Accent2 50 3" xfId="5573"/>
    <cellStyle name="20% - Accent2 51" xfId="1534"/>
    <cellStyle name="20% - Accent2 51 2" xfId="42829"/>
    <cellStyle name="20% - Accent2 51 3" xfId="5574"/>
    <cellStyle name="20% - Accent2 52" xfId="1535"/>
    <cellStyle name="20% - Accent2 52 2" xfId="42870"/>
    <cellStyle name="20% - Accent2 52 3" xfId="5575"/>
    <cellStyle name="20% - Accent2 53" xfId="1536"/>
    <cellStyle name="20% - Accent2 53 2" xfId="42910"/>
    <cellStyle name="20% - Accent2 53 3" xfId="5576"/>
    <cellStyle name="20% - Accent2 54" xfId="1537"/>
    <cellStyle name="20% - Accent2 54 2" xfId="42950"/>
    <cellStyle name="20% - Accent2 54 3" xfId="5577"/>
    <cellStyle name="20% - Accent2 55" xfId="1538"/>
    <cellStyle name="20% - Accent2 55 2" xfId="42987"/>
    <cellStyle name="20% - Accent2 55 3" xfId="5578"/>
    <cellStyle name="20% - Accent2 56" xfId="1539"/>
    <cellStyle name="20% - Accent2 56 2" xfId="43024"/>
    <cellStyle name="20% - Accent2 56 3" xfId="5579"/>
    <cellStyle name="20% - Accent2 57" xfId="1540"/>
    <cellStyle name="20% - Accent2 57 2" xfId="43058"/>
    <cellStyle name="20% - Accent2 57 3" xfId="5580"/>
    <cellStyle name="20% - Accent2 58" xfId="1541"/>
    <cellStyle name="20% - Accent2 58 2" xfId="43090"/>
    <cellStyle name="20% - Accent2 58 3" xfId="5581"/>
    <cellStyle name="20% - Accent2 59" xfId="1542"/>
    <cellStyle name="20% - Accent2 59 2" xfId="43113"/>
    <cellStyle name="20% - Accent2 59 3" xfId="5582"/>
    <cellStyle name="20% - Accent2 6" xfId="1543"/>
    <cellStyle name="20% - Accent2 6 10" xfId="1544"/>
    <cellStyle name="20% - Accent2 6 10 2" xfId="5584"/>
    <cellStyle name="20% - Accent2 6 11" xfId="9071"/>
    <cellStyle name="20% - Accent2 6 12" xfId="5583"/>
    <cellStyle name="20% - Accent2 6 2" xfId="1545"/>
    <cellStyle name="20% - Accent2 6 2 2" xfId="1546"/>
    <cellStyle name="20% - Accent2 6 2 2 2" xfId="1547"/>
    <cellStyle name="20% - Accent2 6 2 2 2 2" xfId="5587"/>
    <cellStyle name="20% - Accent2 6 2 2 3" xfId="5586"/>
    <cellStyle name="20% - Accent2 6 2 3" xfId="1548"/>
    <cellStyle name="20% - Accent2 6 2 3 2" xfId="1549"/>
    <cellStyle name="20% - Accent2 6 2 3 2 2" xfId="5589"/>
    <cellStyle name="20% - Accent2 6 2 3 3" xfId="5588"/>
    <cellStyle name="20% - Accent2 6 2 4" xfId="1550"/>
    <cellStyle name="20% - Accent2 6 2 4 2" xfId="1551"/>
    <cellStyle name="20% - Accent2 6 2 4 2 2" xfId="5591"/>
    <cellStyle name="20% - Accent2 6 2 4 3" xfId="5590"/>
    <cellStyle name="20% - Accent2 6 2 5" xfId="1552"/>
    <cellStyle name="20% - Accent2 6 2 5 2" xfId="1553"/>
    <cellStyle name="20% - Accent2 6 2 5 2 2" xfId="5593"/>
    <cellStyle name="20% - Accent2 6 2 5 3" xfId="5592"/>
    <cellStyle name="20% - Accent2 6 2 6" xfId="1554"/>
    <cellStyle name="20% - Accent2 6 2 6 2" xfId="1555"/>
    <cellStyle name="20% - Accent2 6 2 6 2 2" xfId="5595"/>
    <cellStyle name="20% - Accent2 6 2 6 3" xfId="5594"/>
    <cellStyle name="20% - Accent2 6 2 7" xfId="1556"/>
    <cellStyle name="20% - Accent2 6 2 7 2" xfId="1557"/>
    <cellStyle name="20% - Accent2 6 2 7 2 2" xfId="5597"/>
    <cellStyle name="20% - Accent2 6 2 7 3" xfId="5596"/>
    <cellStyle name="20% - Accent2 6 2 8" xfId="1558"/>
    <cellStyle name="20% - Accent2 6 2 8 2" xfId="5598"/>
    <cellStyle name="20% - Accent2 6 2 9" xfId="5585"/>
    <cellStyle name="20% - Accent2 6 3" xfId="1559"/>
    <cellStyle name="20% - Accent2 6 3 2" xfId="1560"/>
    <cellStyle name="20% - Accent2 6 3 2 2" xfId="1561"/>
    <cellStyle name="20% - Accent2 6 3 2 2 2" xfId="5601"/>
    <cellStyle name="20% - Accent2 6 3 2 3" xfId="5600"/>
    <cellStyle name="20% - Accent2 6 3 3" xfId="1562"/>
    <cellStyle name="20% - Accent2 6 3 3 2" xfId="1563"/>
    <cellStyle name="20% - Accent2 6 3 3 2 2" xfId="5603"/>
    <cellStyle name="20% - Accent2 6 3 3 3" xfId="5602"/>
    <cellStyle name="20% - Accent2 6 3 4" xfId="1564"/>
    <cellStyle name="20% - Accent2 6 3 4 2" xfId="1565"/>
    <cellStyle name="20% - Accent2 6 3 4 2 2" xfId="5605"/>
    <cellStyle name="20% - Accent2 6 3 4 3" xfId="5604"/>
    <cellStyle name="20% - Accent2 6 3 5" xfId="1566"/>
    <cellStyle name="20% - Accent2 6 3 5 2" xfId="1567"/>
    <cellStyle name="20% - Accent2 6 3 5 2 2" xfId="5607"/>
    <cellStyle name="20% - Accent2 6 3 5 3" xfId="5606"/>
    <cellStyle name="20% - Accent2 6 3 6" xfId="1568"/>
    <cellStyle name="20% - Accent2 6 3 6 2" xfId="1569"/>
    <cellStyle name="20% - Accent2 6 3 6 2 2" xfId="5609"/>
    <cellStyle name="20% - Accent2 6 3 6 3" xfId="5608"/>
    <cellStyle name="20% - Accent2 6 3 7" xfId="1570"/>
    <cellStyle name="20% - Accent2 6 3 7 2" xfId="1571"/>
    <cellStyle name="20% - Accent2 6 3 7 2 2" xfId="5611"/>
    <cellStyle name="20% - Accent2 6 3 7 3" xfId="5610"/>
    <cellStyle name="20% - Accent2 6 3 8" xfId="1572"/>
    <cellStyle name="20% - Accent2 6 3 8 2" xfId="5612"/>
    <cellStyle name="20% - Accent2 6 3 9" xfId="5599"/>
    <cellStyle name="20% - Accent2 6 4" xfId="1573"/>
    <cellStyle name="20% - Accent2 6 4 2" xfId="1574"/>
    <cellStyle name="20% - Accent2 6 4 2 2" xfId="5614"/>
    <cellStyle name="20% - Accent2 6 4 3" xfId="5613"/>
    <cellStyle name="20% - Accent2 6 5" xfId="1575"/>
    <cellStyle name="20% - Accent2 6 5 2" xfId="1576"/>
    <cellStyle name="20% - Accent2 6 5 2 2" xfId="5616"/>
    <cellStyle name="20% - Accent2 6 5 3" xfId="5615"/>
    <cellStyle name="20% - Accent2 6 6" xfId="1577"/>
    <cellStyle name="20% - Accent2 6 6 2" xfId="1578"/>
    <cellStyle name="20% - Accent2 6 6 2 2" xfId="5618"/>
    <cellStyle name="20% - Accent2 6 6 3" xfId="5617"/>
    <cellStyle name="20% - Accent2 6 7" xfId="1579"/>
    <cellStyle name="20% - Accent2 6 7 2" xfId="1580"/>
    <cellStyle name="20% - Accent2 6 7 2 2" xfId="5620"/>
    <cellStyle name="20% - Accent2 6 7 3" xfId="5619"/>
    <cellStyle name="20% - Accent2 6 8" xfId="1581"/>
    <cellStyle name="20% - Accent2 6 8 2" xfId="1582"/>
    <cellStyle name="20% - Accent2 6 8 2 2" xfId="5622"/>
    <cellStyle name="20% - Accent2 6 8 3" xfId="5621"/>
    <cellStyle name="20% - Accent2 6 9" xfId="1583"/>
    <cellStyle name="20% - Accent2 6 9 2" xfId="1584"/>
    <cellStyle name="20% - Accent2 6 9 2 2" xfId="5624"/>
    <cellStyle name="20% - Accent2 6 9 3" xfId="5623"/>
    <cellStyle name="20% - Accent2 60" xfId="1585"/>
    <cellStyle name="20% - Accent2 60 2" xfId="43125"/>
    <cellStyle name="20% - Accent2 60 3" xfId="5625"/>
    <cellStyle name="20% - Accent2 61" xfId="1586"/>
    <cellStyle name="20% - Accent2 61 2" xfId="43199"/>
    <cellStyle name="20% - Accent2 61 3" xfId="5626"/>
    <cellStyle name="20% - Accent2 62" xfId="1587"/>
    <cellStyle name="20% - Accent2 62 2" xfId="8613"/>
    <cellStyle name="20% - Accent2 62 3" xfId="5627"/>
    <cellStyle name="20% - Accent2 63" xfId="1588"/>
    <cellStyle name="20% - Accent2 63 2" xfId="5628"/>
    <cellStyle name="20% - Accent2 64" xfId="1589"/>
    <cellStyle name="20% - Accent2 64 2" xfId="5629"/>
    <cellStyle name="20% - Accent2 65" xfId="1590"/>
    <cellStyle name="20% - Accent2 65 2" xfId="5630"/>
    <cellStyle name="20% - Accent2 66" xfId="1591"/>
    <cellStyle name="20% - Accent2 66 2" xfId="5631"/>
    <cellStyle name="20% - Accent2 67" xfId="1592"/>
    <cellStyle name="20% - Accent2 67 2" xfId="5632"/>
    <cellStyle name="20% - Accent2 68" xfId="1593"/>
    <cellStyle name="20% - Accent2 68 2" xfId="5633"/>
    <cellStyle name="20% - Accent2 69" xfId="1594"/>
    <cellStyle name="20% - Accent2 69 2" xfId="5634"/>
    <cellStyle name="20% - Accent2 7" xfId="1595"/>
    <cellStyle name="20% - Accent2 7 10" xfId="1596"/>
    <cellStyle name="20% - Accent2 7 10 2" xfId="5636"/>
    <cellStyle name="20% - Accent2 7 11" xfId="9128"/>
    <cellStyle name="20% - Accent2 7 12" xfId="5635"/>
    <cellStyle name="20% - Accent2 7 2" xfId="1597"/>
    <cellStyle name="20% - Accent2 7 2 2" xfId="1598"/>
    <cellStyle name="20% - Accent2 7 2 2 2" xfId="1599"/>
    <cellStyle name="20% - Accent2 7 2 2 2 2" xfId="5639"/>
    <cellStyle name="20% - Accent2 7 2 2 3" xfId="5638"/>
    <cellStyle name="20% - Accent2 7 2 3" xfId="1600"/>
    <cellStyle name="20% - Accent2 7 2 3 2" xfId="1601"/>
    <cellStyle name="20% - Accent2 7 2 3 2 2" xfId="5641"/>
    <cellStyle name="20% - Accent2 7 2 3 3" xfId="5640"/>
    <cellStyle name="20% - Accent2 7 2 4" xfId="1602"/>
    <cellStyle name="20% - Accent2 7 2 4 2" xfId="1603"/>
    <cellStyle name="20% - Accent2 7 2 4 2 2" xfId="5643"/>
    <cellStyle name="20% - Accent2 7 2 4 3" xfId="5642"/>
    <cellStyle name="20% - Accent2 7 2 5" xfId="1604"/>
    <cellStyle name="20% - Accent2 7 2 5 2" xfId="1605"/>
    <cellStyle name="20% - Accent2 7 2 5 2 2" xfId="5645"/>
    <cellStyle name="20% - Accent2 7 2 5 3" xfId="5644"/>
    <cellStyle name="20% - Accent2 7 2 6" xfId="1606"/>
    <cellStyle name="20% - Accent2 7 2 6 2" xfId="1607"/>
    <cellStyle name="20% - Accent2 7 2 6 2 2" xfId="5647"/>
    <cellStyle name="20% - Accent2 7 2 6 3" xfId="5646"/>
    <cellStyle name="20% - Accent2 7 2 7" xfId="1608"/>
    <cellStyle name="20% - Accent2 7 2 7 2" xfId="1609"/>
    <cellStyle name="20% - Accent2 7 2 7 2 2" xfId="5649"/>
    <cellStyle name="20% - Accent2 7 2 7 3" xfId="5648"/>
    <cellStyle name="20% - Accent2 7 2 8" xfId="1610"/>
    <cellStyle name="20% - Accent2 7 2 8 2" xfId="5650"/>
    <cellStyle name="20% - Accent2 7 2 9" xfId="5637"/>
    <cellStyle name="20% - Accent2 7 3" xfId="1611"/>
    <cellStyle name="20% - Accent2 7 3 2" xfId="1612"/>
    <cellStyle name="20% - Accent2 7 3 2 2" xfId="1613"/>
    <cellStyle name="20% - Accent2 7 3 2 2 2" xfId="5653"/>
    <cellStyle name="20% - Accent2 7 3 2 3" xfId="5652"/>
    <cellStyle name="20% - Accent2 7 3 3" xfId="1614"/>
    <cellStyle name="20% - Accent2 7 3 3 2" xfId="1615"/>
    <cellStyle name="20% - Accent2 7 3 3 2 2" xfId="5655"/>
    <cellStyle name="20% - Accent2 7 3 3 3" xfId="5654"/>
    <cellStyle name="20% - Accent2 7 3 4" xfId="1616"/>
    <cellStyle name="20% - Accent2 7 3 4 2" xfId="1617"/>
    <cellStyle name="20% - Accent2 7 3 4 2 2" xfId="5657"/>
    <cellStyle name="20% - Accent2 7 3 4 3" xfId="5656"/>
    <cellStyle name="20% - Accent2 7 3 5" xfId="1618"/>
    <cellStyle name="20% - Accent2 7 3 5 2" xfId="1619"/>
    <cellStyle name="20% - Accent2 7 3 5 2 2" xfId="5659"/>
    <cellStyle name="20% - Accent2 7 3 5 3" xfId="5658"/>
    <cellStyle name="20% - Accent2 7 3 6" xfId="1620"/>
    <cellStyle name="20% - Accent2 7 3 6 2" xfId="1621"/>
    <cellStyle name="20% - Accent2 7 3 6 2 2" xfId="5661"/>
    <cellStyle name="20% - Accent2 7 3 6 3" xfId="5660"/>
    <cellStyle name="20% - Accent2 7 3 7" xfId="1622"/>
    <cellStyle name="20% - Accent2 7 3 7 2" xfId="1623"/>
    <cellStyle name="20% - Accent2 7 3 7 2 2" xfId="5663"/>
    <cellStyle name="20% - Accent2 7 3 7 3" xfId="5662"/>
    <cellStyle name="20% - Accent2 7 3 8" xfId="1624"/>
    <cellStyle name="20% - Accent2 7 3 8 2" xfId="5664"/>
    <cellStyle name="20% - Accent2 7 3 9" xfId="5651"/>
    <cellStyle name="20% - Accent2 7 4" xfId="1625"/>
    <cellStyle name="20% - Accent2 7 4 2" xfId="1626"/>
    <cellStyle name="20% - Accent2 7 4 2 2" xfId="5666"/>
    <cellStyle name="20% - Accent2 7 4 3" xfId="5665"/>
    <cellStyle name="20% - Accent2 7 5" xfId="1627"/>
    <cellStyle name="20% - Accent2 7 5 2" xfId="1628"/>
    <cellStyle name="20% - Accent2 7 5 2 2" xfId="5668"/>
    <cellStyle name="20% - Accent2 7 5 3" xfId="5667"/>
    <cellStyle name="20% - Accent2 7 6" xfId="1629"/>
    <cellStyle name="20% - Accent2 7 6 2" xfId="1630"/>
    <cellStyle name="20% - Accent2 7 6 2 2" xfId="5670"/>
    <cellStyle name="20% - Accent2 7 6 3" xfId="5669"/>
    <cellStyle name="20% - Accent2 7 7" xfId="1631"/>
    <cellStyle name="20% - Accent2 7 7 2" xfId="1632"/>
    <cellStyle name="20% - Accent2 7 7 2 2" xfId="5672"/>
    <cellStyle name="20% - Accent2 7 7 3" xfId="5671"/>
    <cellStyle name="20% - Accent2 7 8" xfId="1633"/>
    <cellStyle name="20% - Accent2 7 8 2" xfId="1634"/>
    <cellStyle name="20% - Accent2 7 8 2 2" xfId="5674"/>
    <cellStyle name="20% - Accent2 7 8 3" xfId="5673"/>
    <cellStyle name="20% - Accent2 7 9" xfId="1635"/>
    <cellStyle name="20% - Accent2 7 9 2" xfId="1636"/>
    <cellStyle name="20% - Accent2 7 9 2 2" xfId="5676"/>
    <cellStyle name="20% - Accent2 7 9 3" xfId="5675"/>
    <cellStyle name="20% - Accent2 70" xfId="1637"/>
    <cellStyle name="20% - Accent2 70 2" xfId="5677"/>
    <cellStyle name="20% - Accent2 71" xfId="1638"/>
    <cellStyle name="20% - Accent2 71 2" xfId="5678"/>
    <cellStyle name="20% - Accent2 72" xfId="1639"/>
    <cellStyle name="20% - Accent2 72 2" xfId="5679"/>
    <cellStyle name="20% - Accent2 73" xfId="1640"/>
    <cellStyle name="20% - Accent2 73 2" xfId="5680"/>
    <cellStyle name="20% - Accent2 74" xfId="1641"/>
    <cellStyle name="20% - Accent2 74 2" xfId="5681"/>
    <cellStyle name="20% - Accent2 75" xfId="1642"/>
    <cellStyle name="20% - Accent2 75 2" xfId="5682"/>
    <cellStyle name="20% - Accent2 76" xfId="1643"/>
    <cellStyle name="20% - Accent2 76 2" xfId="5683"/>
    <cellStyle name="20% - Accent2 77" xfId="1644"/>
    <cellStyle name="20% - Accent2 77 2" xfId="5684"/>
    <cellStyle name="20% - Accent2 78" xfId="1645"/>
    <cellStyle name="20% - Accent2 78 2" xfId="5685"/>
    <cellStyle name="20% - Accent2 79" xfId="1646"/>
    <cellStyle name="20% - Accent2 79 2" xfId="5686"/>
    <cellStyle name="20% - Accent2 8" xfId="1647"/>
    <cellStyle name="20% - Accent2 8 10" xfId="1648"/>
    <cellStyle name="20% - Accent2 8 10 2" xfId="5688"/>
    <cellStyle name="20% - Accent2 8 11" xfId="9242"/>
    <cellStyle name="20% - Accent2 8 12" xfId="5687"/>
    <cellStyle name="20% - Accent2 8 2" xfId="1649"/>
    <cellStyle name="20% - Accent2 8 2 2" xfId="1650"/>
    <cellStyle name="20% - Accent2 8 2 2 2" xfId="1651"/>
    <cellStyle name="20% - Accent2 8 2 2 2 2" xfId="5691"/>
    <cellStyle name="20% - Accent2 8 2 2 3" xfId="5690"/>
    <cellStyle name="20% - Accent2 8 2 3" xfId="1652"/>
    <cellStyle name="20% - Accent2 8 2 3 2" xfId="1653"/>
    <cellStyle name="20% - Accent2 8 2 3 2 2" xfId="5693"/>
    <cellStyle name="20% - Accent2 8 2 3 3" xfId="5692"/>
    <cellStyle name="20% - Accent2 8 2 4" xfId="1654"/>
    <cellStyle name="20% - Accent2 8 2 4 2" xfId="1655"/>
    <cellStyle name="20% - Accent2 8 2 4 2 2" xfId="5695"/>
    <cellStyle name="20% - Accent2 8 2 4 3" xfId="5694"/>
    <cellStyle name="20% - Accent2 8 2 5" xfId="1656"/>
    <cellStyle name="20% - Accent2 8 2 5 2" xfId="1657"/>
    <cellStyle name="20% - Accent2 8 2 5 2 2" xfId="5697"/>
    <cellStyle name="20% - Accent2 8 2 5 3" xfId="5696"/>
    <cellStyle name="20% - Accent2 8 2 6" xfId="1658"/>
    <cellStyle name="20% - Accent2 8 2 6 2" xfId="1659"/>
    <cellStyle name="20% - Accent2 8 2 6 2 2" xfId="5699"/>
    <cellStyle name="20% - Accent2 8 2 6 3" xfId="5698"/>
    <cellStyle name="20% - Accent2 8 2 7" xfId="1660"/>
    <cellStyle name="20% - Accent2 8 2 7 2" xfId="1661"/>
    <cellStyle name="20% - Accent2 8 2 7 2 2" xfId="5701"/>
    <cellStyle name="20% - Accent2 8 2 7 3" xfId="5700"/>
    <cellStyle name="20% - Accent2 8 2 8" xfId="1662"/>
    <cellStyle name="20% - Accent2 8 2 8 2" xfId="5702"/>
    <cellStyle name="20% - Accent2 8 2 9" xfId="5689"/>
    <cellStyle name="20% - Accent2 8 3" xfId="1663"/>
    <cellStyle name="20% - Accent2 8 3 2" xfId="1664"/>
    <cellStyle name="20% - Accent2 8 3 2 2" xfId="1665"/>
    <cellStyle name="20% - Accent2 8 3 2 2 2" xfId="5705"/>
    <cellStyle name="20% - Accent2 8 3 2 3" xfId="5704"/>
    <cellStyle name="20% - Accent2 8 3 3" xfId="1666"/>
    <cellStyle name="20% - Accent2 8 3 3 2" xfId="1667"/>
    <cellStyle name="20% - Accent2 8 3 3 2 2" xfId="5707"/>
    <cellStyle name="20% - Accent2 8 3 3 3" xfId="5706"/>
    <cellStyle name="20% - Accent2 8 3 4" xfId="1668"/>
    <cellStyle name="20% - Accent2 8 3 4 2" xfId="1669"/>
    <cellStyle name="20% - Accent2 8 3 4 2 2" xfId="5709"/>
    <cellStyle name="20% - Accent2 8 3 4 3" xfId="5708"/>
    <cellStyle name="20% - Accent2 8 3 5" xfId="1670"/>
    <cellStyle name="20% - Accent2 8 3 5 2" xfId="1671"/>
    <cellStyle name="20% - Accent2 8 3 5 2 2" xfId="5711"/>
    <cellStyle name="20% - Accent2 8 3 5 3" xfId="5710"/>
    <cellStyle name="20% - Accent2 8 3 6" xfId="1672"/>
    <cellStyle name="20% - Accent2 8 3 6 2" xfId="1673"/>
    <cellStyle name="20% - Accent2 8 3 6 2 2" xfId="5713"/>
    <cellStyle name="20% - Accent2 8 3 6 3" xfId="5712"/>
    <cellStyle name="20% - Accent2 8 3 7" xfId="1674"/>
    <cellStyle name="20% - Accent2 8 3 7 2" xfId="1675"/>
    <cellStyle name="20% - Accent2 8 3 7 2 2" xfId="5715"/>
    <cellStyle name="20% - Accent2 8 3 7 3" xfId="5714"/>
    <cellStyle name="20% - Accent2 8 3 8" xfId="1676"/>
    <cellStyle name="20% - Accent2 8 3 8 2" xfId="5716"/>
    <cellStyle name="20% - Accent2 8 3 9" xfId="5703"/>
    <cellStyle name="20% - Accent2 8 4" xfId="1677"/>
    <cellStyle name="20% - Accent2 8 4 2" xfId="1678"/>
    <cellStyle name="20% - Accent2 8 4 2 2" xfId="5718"/>
    <cellStyle name="20% - Accent2 8 4 3" xfId="5717"/>
    <cellStyle name="20% - Accent2 8 5" xfId="1679"/>
    <cellStyle name="20% - Accent2 8 5 2" xfId="1680"/>
    <cellStyle name="20% - Accent2 8 5 2 2" xfId="5720"/>
    <cellStyle name="20% - Accent2 8 5 3" xfId="5719"/>
    <cellStyle name="20% - Accent2 8 6" xfId="1681"/>
    <cellStyle name="20% - Accent2 8 6 2" xfId="1682"/>
    <cellStyle name="20% - Accent2 8 6 2 2" xfId="5722"/>
    <cellStyle name="20% - Accent2 8 6 3" xfId="5721"/>
    <cellStyle name="20% - Accent2 8 7" xfId="1683"/>
    <cellStyle name="20% - Accent2 8 7 2" xfId="1684"/>
    <cellStyle name="20% - Accent2 8 7 2 2" xfId="5724"/>
    <cellStyle name="20% - Accent2 8 7 3" xfId="5723"/>
    <cellStyle name="20% - Accent2 8 8" xfId="1685"/>
    <cellStyle name="20% - Accent2 8 8 2" xfId="1686"/>
    <cellStyle name="20% - Accent2 8 8 2 2" xfId="5726"/>
    <cellStyle name="20% - Accent2 8 8 3" xfId="5725"/>
    <cellStyle name="20% - Accent2 8 9" xfId="1687"/>
    <cellStyle name="20% - Accent2 8 9 2" xfId="1688"/>
    <cellStyle name="20% - Accent2 8 9 2 2" xfId="5728"/>
    <cellStyle name="20% - Accent2 8 9 3" xfId="5727"/>
    <cellStyle name="20% - Accent2 80" xfId="1689"/>
    <cellStyle name="20% - Accent2 80 2" xfId="5729"/>
    <cellStyle name="20% - Accent2 81" xfId="1690"/>
    <cellStyle name="20% - Accent2 81 2" xfId="5730"/>
    <cellStyle name="20% - Accent2 82" xfId="1691"/>
    <cellStyle name="20% - Accent2 82 2" xfId="5731"/>
    <cellStyle name="20% - Accent2 83" xfId="1692"/>
    <cellStyle name="20% - Accent2 83 2" xfId="5732"/>
    <cellStyle name="20% - Accent2 84" xfId="1693"/>
    <cellStyle name="20% - Accent2 84 2" xfId="5733"/>
    <cellStyle name="20% - Accent2 85" xfId="1694"/>
    <cellStyle name="20% - Accent2 85 2" xfId="5734"/>
    <cellStyle name="20% - Accent2 86" xfId="1695"/>
    <cellStyle name="20% - Accent2 86 2" xfId="5735"/>
    <cellStyle name="20% - Accent2 87" xfId="1696"/>
    <cellStyle name="20% - Accent2 87 2" xfId="5736"/>
    <cellStyle name="20% - Accent2 88" xfId="1697"/>
    <cellStyle name="20% - Accent2 88 2" xfId="5737"/>
    <cellStyle name="20% - Accent2 89" xfId="1698"/>
    <cellStyle name="20% - Accent2 89 2" xfId="5738"/>
    <cellStyle name="20% - Accent2 9" xfId="1699"/>
    <cellStyle name="20% - Accent2 9 10" xfId="1700"/>
    <cellStyle name="20% - Accent2 9 10 2" xfId="5740"/>
    <cellStyle name="20% - Accent2 9 11" xfId="9752"/>
    <cellStyle name="20% - Accent2 9 12" xfId="5739"/>
    <cellStyle name="20% - Accent2 9 2" xfId="1701"/>
    <cellStyle name="20% - Accent2 9 2 2" xfId="1702"/>
    <cellStyle name="20% - Accent2 9 2 2 2" xfId="1703"/>
    <cellStyle name="20% - Accent2 9 2 2 2 2" xfId="5743"/>
    <cellStyle name="20% - Accent2 9 2 2 3" xfId="5742"/>
    <cellStyle name="20% - Accent2 9 2 3" xfId="1704"/>
    <cellStyle name="20% - Accent2 9 2 3 2" xfId="1705"/>
    <cellStyle name="20% - Accent2 9 2 3 2 2" xfId="5745"/>
    <cellStyle name="20% - Accent2 9 2 3 3" xfId="5744"/>
    <cellStyle name="20% - Accent2 9 2 4" xfId="1706"/>
    <cellStyle name="20% - Accent2 9 2 4 2" xfId="1707"/>
    <cellStyle name="20% - Accent2 9 2 4 2 2" xfId="5747"/>
    <cellStyle name="20% - Accent2 9 2 4 3" xfId="5746"/>
    <cellStyle name="20% - Accent2 9 2 5" xfId="1708"/>
    <cellStyle name="20% - Accent2 9 2 5 2" xfId="1709"/>
    <cellStyle name="20% - Accent2 9 2 5 2 2" xfId="5749"/>
    <cellStyle name="20% - Accent2 9 2 5 3" xfId="5748"/>
    <cellStyle name="20% - Accent2 9 2 6" xfId="1710"/>
    <cellStyle name="20% - Accent2 9 2 6 2" xfId="1711"/>
    <cellStyle name="20% - Accent2 9 2 6 2 2" xfId="5751"/>
    <cellStyle name="20% - Accent2 9 2 6 3" xfId="5750"/>
    <cellStyle name="20% - Accent2 9 2 7" xfId="1712"/>
    <cellStyle name="20% - Accent2 9 2 7 2" xfId="1713"/>
    <cellStyle name="20% - Accent2 9 2 7 2 2" xfId="5753"/>
    <cellStyle name="20% - Accent2 9 2 7 3" xfId="5752"/>
    <cellStyle name="20% - Accent2 9 2 8" xfId="1714"/>
    <cellStyle name="20% - Accent2 9 2 8 2" xfId="5754"/>
    <cellStyle name="20% - Accent2 9 2 9" xfId="5741"/>
    <cellStyle name="20% - Accent2 9 3" xfId="1715"/>
    <cellStyle name="20% - Accent2 9 3 2" xfId="1716"/>
    <cellStyle name="20% - Accent2 9 3 2 2" xfId="1717"/>
    <cellStyle name="20% - Accent2 9 3 2 2 2" xfId="5757"/>
    <cellStyle name="20% - Accent2 9 3 2 3" xfId="5756"/>
    <cellStyle name="20% - Accent2 9 3 3" xfId="1718"/>
    <cellStyle name="20% - Accent2 9 3 3 2" xfId="1719"/>
    <cellStyle name="20% - Accent2 9 3 3 2 2" xfId="5759"/>
    <cellStyle name="20% - Accent2 9 3 3 3" xfId="5758"/>
    <cellStyle name="20% - Accent2 9 3 4" xfId="1720"/>
    <cellStyle name="20% - Accent2 9 3 4 2" xfId="1721"/>
    <cellStyle name="20% - Accent2 9 3 4 2 2" xfId="5761"/>
    <cellStyle name="20% - Accent2 9 3 4 3" xfId="5760"/>
    <cellStyle name="20% - Accent2 9 3 5" xfId="1722"/>
    <cellStyle name="20% - Accent2 9 3 5 2" xfId="1723"/>
    <cellStyle name="20% - Accent2 9 3 5 2 2" xfId="5763"/>
    <cellStyle name="20% - Accent2 9 3 5 3" xfId="5762"/>
    <cellStyle name="20% - Accent2 9 3 6" xfId="1724"/>
    <cellStyle name="20% - Accent2 9 3 6 2" xfId="1725"/>
    <cellStyle name="20% - Accent2 9 3 6 2 2" xfId="5765"/>
    <cellStyle name="20% - Accent2 9 3 6 3" xfId="5764"/>
    <cellStyle name="20% - Accent2 9 3 7" xfId="1726"/>
    <cellStyle name="20% - Accent2 9 3 7 2" xfId="1727"/>
    <cellStyle name="20% - Accent2 9 3 7 2 2" xfId="5767"/>
    <cellStyle name="20% - Accent2 9 3 7 3" xfId="5766"/>
    <cellStyle name="20% - Accent2 9 3 8" xfId="1728"/>
    <cellStyle name="20% - Accent2 9 3 8 2" xfId="5768"/>
    <cellStyle name="20% - Accent2 9 3 9" xfId="5755"/>
    <cellStyle name="20% - Accent2 9 4" xfId="1729"/>
    <cellStyle name="20% - Accent2 9 4 2" xfId="1730"/>
    <cellStyle name="20% - Accent2 9 4 2 2" xfId="5770"/>
    <cellStyle name="20% - Accent2 9 4 3" xfId="5769"/>
    <cellStyle name="20% - Accent2 9 5" xfId="1731"/>
    <cellStyle name="20% - Accent2 9 5 2" xfId="1732"/>
    <cellStyle name="20% - Accent2 9 5 2 2" xfId="5772"/>
    <cellStyle name="20% - Accent2 9 5 3" xfId="5771"/>
    <cellStyle name="20% - Accent2 9 6" xfId="1733"/>
    <cellStyle name="20% - Accent2 9 6 2" xfId="1734"/>
    <cellStyle name="20% - Accent2 9 6 2 2" xfId="5774"/>
    <cellStyle name="20% - Accent2 9 6 3" xfId="5773"/>
    <cellStyle name="20% - Accent2 9 7" xfId="1735"/>
    <cellStyle name="20% - Accent2 9 7 2" xfId="1736"/>
    <cellStyle name="20% - Accent2 9 7 2 2" xfId="5776"/>
    <cellStyle name="20% - Accent2 9 7 3" xfId="5775"/>
    <cellStyle name="20% - Accent2 9 8" xfId="1737"/>
    <cellStyle name="20% - Accent2 9 8 2" xfId="1738"/>
    <cellStyle name="20% - Accent2 9 8 2 2" xfId="5778"/>
    <cellStyle name="20% - Accent2 9 8 3" xfId="5777"/>
    <cellStyle name="20% - Accent2 9 9" xfId="1739"/>
    <cellStyle name="20% - Accent2 9 9 2" xfId="1740"/>
    <cellStyle name="20% - Accent2 9 9 2 2" xfId="5780"/>
    <cellStyle name="20% - Accent2 9 9 3" xfId="5779"/>
    <cellStyle name="20% - Accent2 90" xfId="1741"/>
    <cellStyle name="20% - Accent2 90 2" xfId="5781"/>
    <cellStyle name="20% - Accent2 91" xfId="3944"/>
    <cellStyle name="20% - Accent2 92" xfId="4975"/>
    <cellStyle name="20% - Accent2 93" xfId="935"/>
    <cellStyle name="20% - Accent3" xfId="28" builtinId="38" customBuiltin="1"/>
    <cellStyle name="20% - Accent3 10" xfId="1743"/>
    <cellStyle name="20% - Accent3 10 10" xfId="1744"/>
    <cellStyle name="20% - Accent3 10 10 2" xfId="5784"/>
    <cellStyle name="20% - Accent3 10 11" xfId="9837"/>
    <cellStyle name="20% - Accent3 10 12" xfId="5783"/>
    <cellStyle name="20% - Accent3 10 2" xfId="1745"/>
    <cellStyle name="20% - Accent3 10 2 2" xfId="1746"/>
    <cellStyle name="20% - Accent3 10 2 2 2" xfId="1747"/>
    <cellStyle name="20% - Accent3 10 2 2 2 2" xfId="5787"/>
    <cellStyle name="20% - Accent3 10 2 2 3" xfId="5786"/>
    <cellStyle name="20% - Accent3 10 2 3" xfId="1748"/>
    <cellStyle name="20% - Accent3 10 2 3 2" xfId="1749"/>
    <cellStyle name="20% - Accent3 10 2 3 2 2" xfId="5789"/>
    <cellStyle name="20% - Accent3 10 2 3 3" xfId="5788"/>
    <cellStyle name="20% - Accent3 10 2 4" xfId="1750"/>
    <cellStyle name="20% - Accent3 10 2 4 2" xfId="1751"/>
    <cellStyle name="20% - Accent3 10 2 4 2 2" xfId="5791"/>
    <cellStyle name="20% - Accent3 10 2 4 3" xfId="5790"/>
    <cellStyle name="20% - Accent3 10 2 5" xfId="1752"/>
    <cellStyle name="20% - Accent3 10 2 5 2" xfId="1753"/>
    <cellStyle name="20% - Accent3 10 2 5 2 2" xfId="5793"/>
    <cellStyle name="20% - Accent3 10 2 5 3" xfId="5792"/>
    <cellStyle name="20% - Accent3 10 2 6" xfId="1754"/>
    <cellStyle name="20% - Accent3 10 2 6 2" xfId="1755"/>
    <cellStyle name="20% - Accent3 10 2 6 2 2" xfId="5795"/>
    <cellStyle name="20% - Accent3 10 2 6 3" xfId="5794"/>
    <cellStyle name="20% - Accent3 10 2 7" xfId="1756"/>
    <cellStyle name="20% - Accent3 10 2 7 2" xfId="1757"/>
    <cellStyle name="20% - Accent3 10 2 7 2 2" xfId="5797"/>
    <cellStyle name="20% - Accent3 10 2 7 3" xfId="5796"/>
    <cellStyle name="20% - Accent3 10 2 8" xfId="1758"/>
    <cellStyle name="20% - Accent3 10 2 8 2" xfId="5798"/>
    <cellStyle name="20% - Accent3 10 2 9" xfId="5785"/>
    <cellStyle name="20% - Accent3 10 3" xfId="1759"/>
    <cellStyle name="20% - Accent3 10 3 2" xfId="1760"/>
    <cellStyle name="20% - Accent3 10 3 2 2" xfId="1761"/>
    <cellStyle name="20% - Accent3 10 3 2 2 2" xfId="5801"/>
    <cellStyle name="20% - Accent3 10 3 2 3" xfId="5800"/>
    <cellStyle name="20% - Accent3 10 3 3" xfId="1762"/>
    <cellStyle name="20% - Accent3 10 3 3 2" xfId="1763"/>
    <cellStyle name="20% - Accent3 10 3 3 2 2" xfId="5803"/>
    <cellStyle name="20% - Accent3 10 3 3 3" xfId="5802"/>
    <cellStyle name="20% - Accent3 10 3 4" xfId="1764"/>
    <cellStyle name="20% - Accent3 10 3 4 2" xfId="1765"/>
    <cellStyle name="20% - Accent3 10 3 4 2 2" xfId="5805"/>
    <cellStyle name="20% - Accent3 10 3 4 3" xfId="5804"/>
    <cellStyle name="20% - Accent3 10 3 5" xfId="1766"/>
    <cellStyle name="20% - Accent3 10 3 5 2" xfId="1767"/>
    <cellStyle name="20% - Accent3 10 3 5 2 2" xfId="5807"/>
    <cellStyle name="20% - Accent3 10 3 5 3" xfId="5806"/>
    <cellStyle name="20% - Accent3 10 3 6" xfId="1768"/>
    <cellStyle name="20% - Accent3 10 3 6 2" xfId="1769"/>
    <cellStyle name="20% - Accent3 10 3 6 2 2" xfId="5809"/>
    <cellStyle name="20% - Accent3 10 3 6 3" xfId="5808"/>
    <cellStyle name="20% - Accent3 10 3 7" xfId="1770"/>
    <cellStyle name="20% - Accent3 10 3 7 2" xfId="1771"/>
    <cellStyle name="20% - Accent3 10 3 7 2 2" xfId="5811"/>
    <cellStyle name="20% - Accent3 10 3 7 3" xfId="5810"/>
    <cellStyle name="20% - Accent3 10 3 8" xfId="1772"/>
    <cellStyle name="20% - Accent3 10 3 8 2" xfId="5812"/>
    <cellStyle name="20% - Accent3 10 3 9" xfId="5799"/>
    <cellStyle name="20% - Accent3 10 4" xfId="1773"/>
    <cellStyle name="20% - Accent3 10 4 2" xfId="1774"/>
    <cellStyle name="20% - Accent3 10 4 2 2" xfId="5814"/>
    <cellStyle name="20% - Accent3 10 4 3" xfId="5813"/>
    <cellStyle name="20% - Accent3 10 5" xfId="1775"/>
    <cellStyle name="20% - Accent3 10 5 2" xfId="1776"/>
    <cellStyle name="20% - Accent3 10 5 2 2" xfId="5816"/>
    <cellStyle name="20% - Accent3 10 5 3" xfId="5815"/>
    <cellStyle name="20% - Accent3 10 6" xfId="1777"/>
    <cellStyle name="20% - Accent3 10 6 2" xfId="1778"/>
    <cellStyle name="20% - Accent3 10 6 2 2" xfId="5818"/>
    <cellStyle name="20% - Accent3 10 6 3" xfId="5817"/>
    <cellStyle name="20% - Accent3 10 7" xfId="1779"/>
    <cellStyle name="20% - Accent3 10 7 2" xfId="1780"/>
    <cellStyle name="20% - Accent3 10 7 2 2" xfId="5820"/>
    <cellStyle name="20% - Accent3 10 7 3" xfId="5819"/>
    <cellStyle name="20% - Accent3 10 8" xfId="1781"/>
    <cellStyle name="20% - Accent3 10 8 2" xfId="1782"/>
    <cellStyle name="20% - Accent3 10 8 2 2" xfId="5822"/>
    <cellStyle name="20% - Accent3 10 8 3" xfId="5821"/>
    <cellStyle name="20% - Accent3 10 9" xfId="1783"/>
    <cellStyle name="20% - Accent3 10 9 2" xfId="1784"/>
    <cellStyle name="20% - Accent3 10 9 2 2" xfId="5824"/>
    <cellStyle name="20% - Accent3 10 9 3" xfId="5823"/>
    <cellStyle name="20% - Accent3 11" xfId="1785"/>
    <cellStyle name="20% - Accent3 11 10" xfId="1786"/>
    <cellStyle name="20% - Accent3 11 10 2" xfId="37973"/>
    <cellStyle name="20% - Accent3 11 10 3" xfId="5826"/>
    <cellStyle name="20% - Accent3 11 11" xfId="39442"/>
    <cellStyle name="20% - Accent3 11 12" xfId="9918"/>
    <cellStyle name="20% - Accent3 11 13" xfId="5825"/>
    <cellStyle name="20% - Accent3 11 2" xfId="1787"/>
    <cellStyle name="20% - Accent3 11 2 10" xfId="5827"/>
    <cellStyle name="20% - Accent3 11 2 2" xfId="1788"/>
    <cellStyle name="20% - Accent3 11 2 2 2" xfId="1789"/>
    <cellStyle name="20% - Accent3 11 2 2 2 2" xfId="5829"/>
    <cellStyle name="20% - Accent3 11 2 2 3" xfId="5828"/>
    <cellStyle name="20% - Accent3 11 2 3" xfId="1790"/>
    <cellStyle name="20% - Accent3 11 2 3 2" xfId="1791"/>
    <cellStyle name="20% - Accent3 11 2 3 2 2" xfId="5831"/>
    <cellStyle name="20% - Accent3 11 2 3 3" xfId="5830"/>
    <cellStyle name="20% - Accent3 11 2 4" xfId="1792"/>
    <cellStyle name="20% - Accent3 11 2 4 2" xfId="1793"/>
    <cellStyle name="20% - Accent3 11 2 4 2 2" xfId="5833"/>
    <cellStyle name="20% - Accent3 11 2 4 3" xfId="5832"/>
    <cellStyle name="20% - Accent3 11 2 5" xfId="1794"/>
    <cellStyle name="20% - Accent3 11 2 5 2" xfId="1795"/>
    <cellStyle name="20% - Accent3 11 2 5 2 2" xfId="5835"/>
    <cellStyle name="20% - Accent3 11 2 5 3" xfId="5834"/>
    <cellStyle name="20% - Accent3 11 2 6" xfId="1796"/>
    <cellStyle name="20% - Accent3 11 2 6 2" xfId="1797"/>
    <cellStyle name="20% - Accent3 11 2 6 2 2" xfId="5837"/>
    <cellStyle name="20% - Accent3 11 2 6 3" xfId="5836"/>
    <cellStyle name="20% - Accent3 11 2 7" xfId="1798"/>
    <cellStyle name="20% - Accent3 11 2 7 2" xfId="1799"/>
    <cellStyle name="20% - Accent3 11 2 7 2 2" xfId="5839"/>
    <cellStyle name="20% - Accent3 11 2 7 3" xfId="5838"/>
    <cellStyle name="20% - Accent3 11 2 8" xfId="1800"/>
    <cellStyle name="20% - Accent3 11 2 8 2" xfId="5840"/>
    <cellStyle name="20% - Accent3 11 2 9" xfId="23712"/>
    <cellStyle name="20% - Accent3 11 3" xfId="1801"/>
    <cellStyle name="20% - Accent3 11 3 10" xfId="5841"/>
    <cellStyle name="20% - Accent3 11 3 2" xfId="1802"/>
    <cellStyle name="20% - Accent3 11 3 2 2" xfId="1803"/>
    <cellStyle name="20% - Accent3 11 3 2 2 2" xfId="5843"/>
    <cellStyle name="20% - Accent3 11 3 2 3" xfId="5842"/>
    <cellStyle name="20% - Accent3 11 3 3" xfId="1804"/>
    <cellStyle name="20% - Accent3 11 3 3 2" xfId="1805"/>
    <cellStyle name="20% - Accent3 11 3 3 2 2" xfId="5845"/>
    <cellStyle name="20% - Accent3 11 3 3 3" xfId="5844"/>
    <cellStyle name="20% - Accent3 11 3 4" xfId="1806"/>
    <cellStyle name="20% - Accent3 11 3 4 2" xfId="1807"/>
    <cellStyle name="20% - Accent3 11 3 4 2 2" xfId="5847"/>
    <cellStyle name="20% - Accent3 11 3 4 3" xfId="5846"/>
    <cellStyle name="20% - Accent3 11 3 5" xfId="1808"/>
    <cellStyle name="20% - Accent3 11 3 5 2" xfId="1809"/>
    <cellStyle name="20% - Accent3 11 3 5 2 2" xfId="5849"/>
    <cellStyle name="20% - Accent3 11 3 5 3" xfId="5848"/>
    <cellStyle name="20% - Accent3 11 3 6" xfId="1810"/>
    <cellStyle name="20% - Accent3 11 3 6 2" xfId="1811"/>
    <cellStyle name="20% - Accent3 11 3 6 2 2" xfId="5851"/>
    <cellStyle name="20% - Accent3 11 3 6 3" xfId="5850"/>
    <cellStyle name="20% - Accent3 11 3 7" xfId="1812"/>
    <cellStyle name="20% - Accent3 11 3 7 2" xfId="1813"/>
    <cellStyle name="20% - Accent3 11 3 7 2 2" xfId="5853"/>
    <cellStyle name="20% - Accent3 11 3 7 3" xfId="5852"/>
    <cellStyle name="20% - Accent3 11 3 8" xfId="1814"/>
    <cellStyle name="20% - Accent3 11 3 8 2" xfId="5854"/>
    <cellStyle name="20% - Accent3 11 3 9" xfId="27132"/>
    <cellStyle name="20% - Accent3 11 4" xfId="1815"/>
    <cellStyle name="20% - Accent3 11 4 2" xfId="1816"/>
    <cellStyle name="20% - Accent3 11 4 2 2" xfId="5856"/>
    <cellStyle name="20% - Accent3 11 4 3" xfId="23174"/>
    <cellStyle name="20% - Accent3 11 4 4" xfId="5855"/>
    <cellStyle name="20% - Accent3 11 5" xfId="1817"/>
    <cellStyle name="20% - Accent3 11 5 2" xfId="1818"/>
    <cellStyle name="20% - Accent3 11 5 2 2" xfId="5858"/>
    <cellStyle name="20% - Accent3 11 5 3" xfId="29466"/>
    <cellStyle name="20% - Accent3 11 5 4" xfId="5857"/>
    <cellStyle name="20% - Accent3 11 6" xfId="1819"/>
    <cellStyle name="20% - Accent3 11 6 2" xfId="1820"/>
    <cellStyle name="20% - Accent3 11 6 2 2" xfId="5860"/>
    <cellStyle name="20% - Accent3 11 6 3" xfId="31243"/>
    <cellStyle name="20% - Accent3 11 6 4" xfId="5859"/>
    <cellStyle name="20% - Accent3 11 7" xfId="1821"/>
    <cellStyle name="20% - Accent3 11 7 2" xfId="1822"/>
    <cellStyle name="20% - Accent3 11 7 2 2" xfId="5862"/>
    <cellStyle name="20% - Accent3 11 7 3" xfId="33008"/>
    <cellStyle name="20% - Accent3 11 7 4" xfId="5861"/>
    <cellStyle name="20% - Accent3 11 8" xfId="1823"/>
    <cellStyle name="20% - Accent3 11 8 2" xfId="1824"/>
    <cellStyle name="20% - Accent3 11 8 2 2" xfId="5864"/>
    <cellStyle name="20% - Accent3 11 8 3" xfId="34729"/>
    <cellStyle name="20% - Accent3 11 8 4" xfId="5863"/>
    <cellStyle name="20% - Accent3 11 9" xfId="1825"/>
    <cellStyle name="20% - Accent3 11 9 2" xfId="1826"/>
    <cellStyle name="20% - Accent3 11 9 2 2" xfId="5866"/>
    <cellStyle name="20% - Accent3 11 9 3" xfId="36389"/>
    <cellStyle name="20% - Accent3 11 9 4" xfId="5865"/>
    <cellStyle name="20% - Accent3 12" xfId="1827"/>
    <cellStyle name="20% - Accent3 12 10" xfId="1828"/>
    <cellStyle name="20% - Accent3 12 10 2" xfId="38204"/>
    <cellStyle name="20% - Accent3 12 10 3" xfId="5868"/>
    <cellStyle name="20% - Accent3 12 11" xfId="39654"/>
    <cellStyle name="20% - Accent3 12 12" xfId="9997"/>
    <cellStyle name="20% - Accent3 12 13" xfId="5867"/>
    <cellStyle name="20% - Accent3 12 2" xfId="1829"/>
    <cellStyle name="20% - Accent3 12 2 10" xfId="5869"/>
    <cellStyle name="20% - Accent3 12 2 2" xfId="1830"/>
    <cellStyle name="20% - Accent3 12 2 2 2" xfId="1831"/>
    <cellStyle name="20% - Accent3 12 2 2 2 2" xfId="5871"/>
    <cellStyle name="20% - Accent3 12 2 2 3" xfId="5870"/>
    <cellStyle name="20% - Accent3 12 2 3" xfId="1832"/>
    <cellStyle name="20% - Accent3 12 2 3 2" xfId="1833"/>
    <cellStyle name="20% - Accent3 12 2 3 2 2" xfId="5873"/>
    <cellStyle name="20% - Accent3 12 2 3 3" xfId="5872"/>
    <cellStyle name="20% - Accent3 12 2 4" xfId="1834"/>
    <cellStyle name="20% - Accent3 12 2 4 2" xfId="1835"/>
    <cellStyle name="20% - Accent3 12 2 4 2 2" xfId="5875"/>
    <cellStyle name="20% - Accent3 12 2 4 3" xfId="5874"/>
    <cellStyle name="20% - Accent3 12 2 5" xfId="1836"/>
    <cellStyle name="20% - Accent3 12 2 5 2" xfId="1837"/>
    <cellStyle name="20% - Accent3 12 2 5 2 2" xfId="5877"/>
    <cellStyle name="20% - Accent3 12 2 5 3" xfId="5876"/>
    <cellStyle name="20% - Accent3 12 2 6" xfId="1838"/>
    <cellStyle name="20% - Accent3 12 2 6 2" xfId="1839"/>
    <cellStyle name="20% - Accent3 12 2 6 2 2" xfId="5879"/>
    <cellStyle name="20% - Accent3 12 2 6 3" xfId="5878"/>
    <cellStyle name="20% - Accent3 12 2 7" xfId="1840"/>
    <cellStyle name="20% - Accent3 12 2 7 2" xfId="1841"/>
    <cellStyle name="20% - Accent3 12 2 7 2 2" xfId="5881"/>
    <cellStyle name="20% - Accent3 12 2 7 3" xfId="5880"/>
    <cellStyle name="20% - Accent3 12 2 8" xfId="1842"/>
    <cellStyle name="20% - Accent3 12 2 8 2" xfId="5882"/>
    <cellStyle name="20% - Accent3 12 2 9" xfId="24867"/>
    <cellStyle name="20% - Accent3 12 3" xfId="1843"/>
    <cellStyle name="20% - Accent3 12 3 10" xfId="5883"/>
    <cellStyle name="20% - Accent3 12 3 2" xfId="1844"/>
    <cellStyle name="20% - Accent3 12 3 2 2" xfId="1845"/>
    <cellStyle name="20% - Accent3 12 3 2 2 2" xfId="5885"/>
    <cellStyle name="20% - Accent3 12 3 2 3" xfId="5884"/>
    <cellStyle name="20% - Accent3 12 3 3" xfId="1846"/>
    <cellStyle name="20% - Accent3 12 3 3 2" xfId="1847"/>
    <cellStyle name="20% - Accent3 12 3 3 2 2" xfId="5887"/>
    <cellStyle name="20% - Accent3 12 3 3 3" xfId="5886"/>
    <cellStyle name="20% - Accent3 12 3 4" xfId="1848"/>
    <cellStyle name="20% - Accent3 12 3 4 2" xfId="1849"/>
    <cellStyle name="20% - Accent3 12 3 4 2 2" xfId="5889"/>
    <cellStyle name="20% - Accent3 12 3 4 3" xfId="5888"/>
    <cellStyle name="20% - Accent3 12 3 5" xfId="1850"/>
    <cellStyle name="20% - Accent3 12 3 5 2" xfId="1851"/>
    <cellStyle name="20% - Accent3 12 3 5 2 2" xfId="5891"/>
    <cellStyle name="20% - Accent3 12 3 5 3" xfId="5890"/>
    <cellStyle name="20% - Accent3 12 3 6" xfId="1852"/>
    <cellStyle name="20% - Accent3 12 3 6 2" xfId="1853"/>
    <cellStyle name="20% - Accent3 12 3 6 2 2" xfId="5893"/>
    <cellStyle name="20% - Accent3 12 3 6 3" xfId="5892"/>
    <cellStyle name="20% - Accent3 12 3 7" xfId="1854"/>
    <cellStyle name="20% - Accent3 12 3 7 2" xfId="1855"/>
    <cellStyle name="20% - Accent3 12 3 7 2 2" xfId="5895"/>
    <cellStyle name="20% - Accent3 12 3 7 3" xfId="5894"/>
    <cellStyle name="20% - Accent3 12 3 8" xfId="1856"/>
    <cellStyle name="20% - Accent3 12 3 8 2" xfId="5896"/>
    <cellStyle name="20% - Accent3 12 3 9" xfId="28255"/>
    <cellStyle name="20% - Accent3 12 4" xfId="1857"/>
    <cellStyle name="20% - Accent3 12 4 2" xfId="1858"/>
    <cellStyle name="20% - Accent3 12 4 2 2" xfId="5898"/>
    <cellStyle name="20% - Accent3 12 4 3" xfId="27520"/>
    <cellStyle name="20% - Accent3 12 4 4" xfId="5897"/>
    <cellStyle name="20% - Accent3 12 5" xfId="1859"/>
    <cellStyle name="20% - Accent3 12 5 2" xfId="1860"/>
    <cellStyle name="20% - Accent3 12 5 2 2" xfId="5900"/>
    <cellStyle name="20% - Accent3 12 5 3" xfId="29727"/>
    <cellStyle name="20% - Accent3 12 5 4" xfId="5899"/>
    <cellStyle name="20% - Accent3 12 6" xfId="1861"/>
    <cellStyle name="20% - Accent3 12 6 2" xfId="1862"/>
    <cellStyle name="20% - Accent3 12 6 2 2" xfId="5902"/>
    <cellStyle name="20% - Accent3 12 6 3" xfId="31502"/>
    <cellStyle name="20% - Accent3 12 6 4" xfId="5901"/>
    <cellStyle name="20% - Accent3 12 7" xfId="1863"/>
    <cellStyle name="20% - Accent3 12 7 2" xfId="1864"/>
    <cellStyle name="20% - Accent3 12 7 2 2" xfId="5904"/>
    <cellStyle name="20% - Accent3 12 7 3" xfId="33263"/>
    <cellStyle name="20% - Accent3 12 7 4" xfId="5903"/>
    <cellStyle name="20% - Accent3 12 8" xfId="1865"/>
    <cellStyle name="20% - Accent3 12 8 2" xfId="1866"/>
    <cellStyle name="20% - Accent3 12 8 2 2" xfId="5906"/>
    <cellStyle name="20% - Accent3 12 8 3" xfId="34981"/>
    <cellStyle name="20% - Accent3 12 8 4" xfId="5905"/>
    <cellStyle name="20% - Accent3 12 9" xfId="1867"/>
    <cellStyle name="20% - Accent3 12 9 2" xfId="1868"/>
    <cellStyle name="20% - Accent3 12 9 2 2" xfId="5908"/>
    <cellStyle name="20% - Accent3 12 9 3" xfId="36634"/>
    <cellStyle name="20% - Accent3 12 9 4" xfId="5907"/>
    <cellStyle name="20% - Accent3 13" xfId="1869"/>
    <cellStyle name="20% - Accent3 13 10" xfId="41304"/>
    <cellStyle name="20% - Accent3 13 11" xfId="42355"/>
    <cellStyle name="20% - Accent3 13 12" xfId="10076"/>
    <cellStyle name="20% - Accent3 13 13" xfId="5909"/>
    <cellStyle name="20% - Accent3 13 2" xfId="1870"/>
    <cellStyle name="20% - Accent3 13 2 2" xfId="1871"/>
    <cellStyle name="20% - Accent3 13 2 2 2" xfId="5911"/>
    <cellStyle name="20% - Accent3 13 2 3" xfId="26849"/>
    <cellStyle name="20% - Accent3 13 2 4" xfId="5910"/>
    <cellStyle name="20% - Accent3 13 3" xfId="1872"/>
    <cellStyle name="20% - Accent3 13 3 2" xfId="1873"/>
    <cellStyle name="20% - Accent3 13 3 2 2" xfId="5913"/>
    <cellStyle name="20% - Accent3 13 3 3" xfId="30177"/>
    <cellStyle name="20% - Accent3 13 3 4" xfId="5912"/>
    <cellStyle name="20% - Accent3 13 4" xfId="1874"/>
    <cellStyle name="20% - Accent3 13 4 2" xfId="1875"/>
    <cellStyle name="20% - Accent3 13 4 2 2" xfId="5915"/>
    <cellStyle name="20% - Accent3 13 4 3" xfId="31952"/>
    <cellStyle name="20% - Accent3 13 4 4" xfId="5914"/>
    <cellStyle name="20% - Accent3 13 5" xfId="1876"/>
    <cellStyle name="20% - Accent3 13 5 2" xfId="1877"/>
    <cellStyle name="20% - Accent3 13 5 2 2" xfId="5917"/>
    <cellStyle name="20% - Accent3 13 5 3" xfId="33707"/>
    <cellStyle name="20% - Accent3 13 5 4" xfId="5916"/>
    <cellStyle name="20% - Accent3 13 6" xfId="1878"/>
    <cellStyle name="20% - Accent3 13 6 2" xfId="1879"/>
    <cellStyle name="20% - Accent3 13 6 2 2" xfId="5919"/>
    <cellStyle name="20% - Accent3 13 6 3" xfId="35420"/>
    <cellStyle name="20% - Accent3 13 6 4" xfId="5918"/>
    <cellStyle name="20% - Accent3 13 7" xfId="1880"/>
    <cellStyle name="20% - Accent3 13 7 2" xfId="1881"/>
    <cellStyle name="20% - Accent3 13 7 2 2" xfId="5921"/>
    <cellStyle name="20% - Accent3 13 7 3" xfId="37065"/>
    <cellStyle name="20% - Accent3 13 7 4" xfId="5920"/>
    <cellStyle name="20% - Accent3 13 8" xfId="1882"/>
    <cellStyle name="20% - Accent3 13 8 2" xfId="38622"/>
    <cellStyle name="20% - Accent3 13 8 3" xfId="5922"/>
    <cellStyle name="20% - Accent3 13 9" xfId="40056"/>
    <cellStyle name="20% - Accent3 14" xfId="1883"/>
    <cellStyle name="20% - Accent3 14 10" xfId="40895"/>
    <cellStyle name="20% - Accent3 14 11" xfId="41974"/>
    <cellStyle name="20% - Accent3 14 12" xfId="10140"/>
    <cellStyle name="20% - Accent3 14 13" xfId="5923"/>
    <cellStyle name="20% - Accent3 14 2" xfId="1884"/>
    <cellStyle name="20% - Accent3 14 2 2" xfId="1885"/>
    <cellStyle name="20% - Accent3 14 2 2 2" xfId="5925"/>
    <cellStyle name="20% - Accent3 14 2 3" xfId="26358"/>
    <cellStyle name="20% - Accent3 14 2 4" xfId="5924"/>
    <cellStyle name="20% - Accent3 14 3" xfId="1886"/>
    <cellStyle name="20% - Accent3 14 3 2" xfId="1887"/>
    <cellStyle name="20% - Accent3 14 3 2 2" xfId="5927"/>
    <cellStyle name="20% - Accent3 14 3 3" xfId="29689"/>
    <cellStyle name="20% - Accent3 14 3 4" xfId="5926"/>
    <cellStyle name="20% - Accent3 14 4" xfId="1888"/>
    <cellStyle name="20% - Accent3 14 4 2" xfId="1889"/>
    <cellStyle name="20% - Accent3 14 4 2 2" xfId="5929"/>
    <cellStyle name="20% - Accent3 14 4 3" xfId="31464"/>
    <cellStyle name="20% - Accent3 14 4 4" xfId="5928"/>
    <cellStyle name="20% - Accent3 14 5" xfId="1890"/>
    <cellStyle name="20% - Accent3 14 5 2" xfId="1891"/>
    <cellStyle name="20% - Accent3 14 5 2 2" xfId="5931"/>
    <cellStyle name="20% - Accent3 14 5 3" xfId="33225"/>
    <cellStyle name="20% - Accent3 14 5 4" xfId="5930"/>
    <cellStyle name="20% - Accent3 14 6" xfId="1892"/>
    <cellStyle name="20% - Accent3 14 6 2" xfId="1893"/>
    <cellStyle name="20% - Accent3 14 6 2 2" xfId="5933"/>
    <cellStyle name="20% - Accent3 14 6 3" xfId="34943"/>
    <cellStyle name="20% - Accent3 14 6 4" xfId="5932"/>
    <cellStyle name="20% - Accent3 14 7" xfId="1894"/>
    <cellStyle name="20% - Accent3 14 7 2" xfId="1895"/>
    <cellStyle name="20% - Accent3 14 7 2 2" xfId="5935"/>
    <cellStyle name="20% - Accent3 14 7 3" xfId="36596"/>
    <cellStyle name="20% - Accent3 14 7 4" xfId="5934"/>
    <cellStyle name="20% - Accent3 14 8" xfId="1896"/>
    <cellStyle name="20% - Accent3 14 8 2" xfId="38170"/>
    <cellStyle name="20% - Accent3 14 8 3" xfId="5936"/>
    <cellStyle name="20% - Accent3 14 9" xfId="39623"/>
    <cellStyle name="20% - Accent3 15" xfId="1897"/>
    <cellStyle name="20% - Accent3 15 10" xfId="20404"/>
    <cellStyle name="20% - Accent3 15 11" xfId="21240"/>
    <cellStyle name="20% - Accent3 15 12" xfId="22040"/>
    <cellStyle name="20% - Accent3 15 13" xfId="26743"/>
    <cellStyle name="20% - Accent3 15 14" xfId="30072"/>
    <cellStyle name="20% - Accent3 15 15" xfId="31847"/>
    <cellStyle name="20% - Accent3 15 16" xfId="33603"/>
    <cellStyle name="20% - Accent3 15 17" xfId="35316"/>
    <cellStyle name="20% - Accent3 15 18" xfId="36962"/>
    <cellStyle name="20% - Accent3 15 19" xfId="38523"/>
    <cellStyle name="20% - Accent3 15 2" xfId="1898"/>
    <cellStyle name="20% - Accent3 15 2 2" xfId="1899"/>
    <cellStyle name="20% - Accent3 15 2 2 2" xfId="5939"/>
    <cellStyle name="20% - Accent3 15 2 3" xfId="12954"/>
    <cellStyle name="20% - Accent3 15 2 4" xfId="5938"/>
    <cellStyle name="20% - Accent3 15 20" xfId="39963"/>
    <cellStyle name="20% - Accent3 15 21" xfId="41216"/>
    <cellStyle name="20% - Accent3 15 22" xfId="42272"/>
    <cellStyle name="20% - Accent3 15 23" xfId="10003"/>
    <cellStyle name="20% - Accent3 15 24" xfId="5937"/>
    <cellStyle name="20% - Accent3 15 3" xfId="1900"/>
    <cellStyle name="20% - Accent3 15 3 2" xfId="1901"/>
    <cellStyle name="20% - Accent3 15 3 2 2" xfId="5941"/>
    <cellStyle name="20% - Accent3 15 3 3" xfId="14080"/>
    <cellStyle name="20% - Accent3 15 3 4" xfId="5940"/>
    <cellStyle name="20% - Accent3 15 4" xfId="1902"/>
    <cellStyle name="20% - Accent3 15 4 2" xfId="1903"/>
    <cellStyle name="20% - Accent3 15 4 2 2" xfId="5943"/>
    <cellStyle name="20% - Accent3 15 4 3" xfId="15010"/>
    <cellStyle name="20% - Accent3 15 4 4" xfId="5942"/>
    <cellStyle name="20% - Accent3 15 5" xfId="1904"/>
    <cellStyle name="20% - Accent3 15 5 2" xfId="1905"/>
    <cellStyle name="20% - Accent3 15 5 2 2" xfId="5945"/>
    <cellStyle name="20% - Accent3 15 5 3" xfId="15937"/>
    <cellStyle name="20% - Accent3 15 5 4" xfId="5944"/>
    <cellStyle name="20% - Accent3 15 6" xfId="1906"/>
    <cellStyle name="20% - Accent3 15 6 2" xfId="1907"/>
    <cellStyle name="20% - Accent3 15 6 2 2" xfId="5947"/>
    <cellStyle name="20% - Accent3 15 6 3" xfId="16867"/>
    <cellStyle name="20% - Accent3 15 6 4" xfId="5946"/>
    <cellStyle name="20% - Accent3 15 7" xfId="1908"/>
    <cellStyle name="20% - Accent3 15 7 2" xfId="1909"/>
    <cellStyle name="20% - Accent3 15 7 2 2" xfId="5949"/>
    <cellStyle name="20% - Accent3 15 7 3" xfId="17775"/>
    <cellStyle name="20% - Accent3 15 7 4" xfId="5948"/>
    <cellStyle name="20% - Accent3 15 8" xfId="1910"/>
    <cellStyle name="20% - Accent3 15 8 2" xfId="18665"/>
    <cellStyle name="20% - Accent3 15 8 3" xfId="5950"/>
    <cellStyle name="20% - Accent3 15 9" xfId="19543"/>
    <cellStyle name="20% - Accent3 16" xfId="1911"/>
    <cellStyle name="20% - Accent3 16 10" xfId="20483"/>
    <cellStyle name="20% - Accent3 16 11" xfId="21319"/>
    <cellStyle name="20% - Accent3 16 12" xfId="22116"/>
    <cellStyle name="20% - Accent3 16 13" xfId="26473"/>
    <cellStyle name="20% - Accent3 16 14" xfId="29804"/>
    <cellStyle name="20% - Accent3 16 15" xfId="31579"/>
    <cellStyle name="20% - Accent3 16 16" xfId="33338"/>
    <cellStyle name="20% - Accent3 16 17" xfId="35054"/>
    <cellStyle name="20% - Accent3 16 18" xfId="36705"/>
    <cellStyle name="20% - Accent3 16 19" xfId="38274"/>
    <cellStyle name="20% - Accent3 16 2" xfId="1912"/>
    <cellStyle name="20% - Accent3 16 2 2" xfId="1913"/>
    <cellStyle name="20% - Accent3 16 2 2 2" xfId="5953"/>
    <cellStyle name="20% - Accent3 16 2 3" xfId="13033"/>
    <cellStyle name="20% - Accent3 16 2 4" xfId="5952"/>
    <cellStyle name="20% - Accent3 16 20" xfId="39724"/>
    <cellStyle name="20% - Accent3 16 21" xfId="40991"/>
    <cellStyle name="20% - Accent3 16 22" xfId="42065"/>
    <cellStyle name="20% - Accent3 16 23" xfId="11235"/>
    <cellStyle name="20% - Accent3 16 24" xfId="5951"/>
    <cellStyle name="20% - Accent3 16 3" xfId="1914"/>
    <cellStyle name="20% - Accent3 16 3 2" xfId="1915"/>
    <cellStyle name="20% - Accent3 16 3 2 2" xfId="5955"/>
    <cellStyle name="20% - Accent3 16 3 3" xfId="14159"/>
    <cellStyle name="20% - Accent3 16 3 4" xfId="5954"/>
    <cellStyle name="20% - Accent3 16 4" xfId="1916"/>
    <cellStyle name="20% - Accent3 16 4 2" xfId="1917"/>
    <cellStyle name="20% - Accent3 16 4 2 2" xfId="5957"/>
    <cellStyle name="20% - Accent3 16 4 3" xfId="15089"/>
    <cellStyle name="20% - Accent3 16 4 4" xfId="5956"/>
    <cellStyle name="20% - Accent3 16 5" xfId="1918"/>
    <cellStyle name="20% - Accent3 16 5 2" xfId="1919"/>
    <cellStyle name="20% - Accent3 16 5 2 2" xfId="5959"/>
    <cellStyle name="20% - Accent3 16 5 3" xfId="16016"/>
    <cellStyle name="20% - Accent3 16 5 4" xfId="5958"/>
    <cellStyle name="20% - Accent3 16 6" xfId="1920"/>
    <cellStyle name="20% - Accent3 16 6 2" xfId="1921"/>
    <cellStyle name="20% - Accent3 16 6 2 2" xfId="5961"/>
    <cellStyle name="20% - Accent3 16 6 3" xfId="16946"/>
    <cellStyle name="20% - Accent3 16 6 4" xfId="5960"/>
    <cellStyle name="20% - Accent3 16 7" xfId="1922"/>
    <cellStyle name="20% - Accent3 16 7 2" xfId="1923"/>
    <cellStyle name="20% - Accent3 16 7 2 2" xfId="5963"/>
    <cellStyle name="20% - Accent3 16 7 3" xfId="17854"/>
    <cellStyle name="20% - Accent3 16 7 4" xfId="5962"/>
    <cellStyle name="20% - Accent3 16 8" xfId="1924"/>
    <cellStyle name="20% - Accent3 16 8 2" xfId="18744"/>
    <cellStyle name="20% - Accent3 16 8 3" xfId="5964"/>
    <cellStyle name="20% - Accent3 16 9" xfId="19622"/>
    <cellStyle name="20% - Accent3 17" xfId="1925"/>
    <cellStyle name="20% - Accent3 17 10" xfId="20564"/>
    <cellStyle name="20% - Accent3 17 11" xfId="21400"/>
    <cellStyle name="20% - Accent3 17 12" xfId="22194"/>
    <cellStyle name="20% - Accent3 17 13" xfId="26859"/>
    <cellStyle name="20% - Accent3 17 14" xfId="30187"/>
    <cellStyle name="20% - Accent3 17 15" xfId="31962"/>
    <cellStyle name="20% - Accent3 17 16" xfId="33717"/>
    <cellStyle name="20% - Accent3 17 17" xfId="35430"/>
    <cellStyle name="20% - Accent3 17 18" xfId="37075"/>
    <cellStyle name="20% - Accent3 17 19" xfId="38631"/>
    <cellStyle name="20% - Accent3 17 2" xfId="1926"/>
    <cellStyle name="20% - Accent3 17 2 2" xfId="1927"/>
    <cellStyle name="20% - Accent3 17 2 2 2" xfId="5967"/>
    <cellStyle name="20% - Accent3 17 2 3" xfId="13114"/>
    <cellStyle name="20% - Accent3 17 2 4" xfId="5966"/>
    <cellStyle name="20% - Accent3 17 20" xfId="40065"/>
    <cellStyle name="20% - Accent3 17 21" xfId="41313"/>
    <cellStyle name="20% - Accent3 17 22" xfId="42364"/>
    <cellStyle name="20% - Accent3 17 23" xfId="11426"/>
    <cellStyle name="20% - Accent3 17 24" xfId="5965"/>
    <cellStyle name="20% - Accent3 17 3" xfId="1928"/>
    <cellStyle name="20% - Accent3 17 3 2" xfId="1929"/>
    <cellStyle name="20% - Accent3 17 3 2 2" xfId="5969"/>
    <cellStyle name="20% - Accent3 17 3 3" xfId="14240"/>
    <cellStyle name="20% - Accent3 17 3 4" xfId="5968"/>
    <cellStyle name="20% - Accent3 17 4" xfId="1930"/>
    <cellStyle name="20% - Accent3 17 4 2" xfId="1931"/>
    <cellStyle name="20% - Accent3 17 4 2 2" xfId="5971"/>
    <cellStyle name="20% - Accent3 17 4 3" xfId="15169"/>
    <cellStyle name="20% - Accent3 17 4 4" xfId="5970"/>
    <cellStyle name="20% - Accent3 17 5" xfId="1932"/>
    <cellStyle name="20% - Accent3 17 5 2" xfId="1933"/>
    <cellStyle name="20% - Accent3 17 5 2 2" xfId="5973"/>
    <cellStyle name="20% - Accent3 17 5 3" xfId="16097"/>
    <cellStyle name="20% - Accent3 17 5 4" xfId="5972"/>
    <cellStyle name="20% - Accent3 17 6" xfId="1934"/>
    <cellStyle name="20% - Accent3 17 6 2" xfId="1935"/>
    <cellStyle name="20% - Accent3 17 6 2 2" xfId="5975"/>
    <cellStyle name="20% - Accent3 17 6 3" xfId="17027"/>
    <cellStyle name="20% - Accent3 17 6 4" xfId="5974"/>
    <cellStyle name="20% - Accent3 17 7" xfId="1936"/>
    <cellStyle name="20% - Accent3 17 7 2" xfId="1937"/>
    <cellStyle name="20% - Accent3 17 7 2 2" xfId="5977"/>
    <cellStyle name="20% - Accent3 17 7 3" xfId="17935"/>
    <cellStyle name="20% - Accent3 17 7 4" xfId="5976"/>
    <cellStyle name="20% - Accent3 17 8" xfId="1938"/>
    <cellStyle name="20% - Accent3 17 8 2" xfId="18825"/>
    <cellStyle name="20% - Accent3 17 8 3" xfId="5978"/>
    <cellStyle name="20% - Accent3 17 9" xfId="19703"/>
    <cellStyle name="20% - Accent3 18" xfId="1939"/>
    <cellStyle name="20% - Accent3 18 10" xfId="20643"/>
    <cellStyle name="20% - Accent3 18 11" xfId="21480"/>
    <cellStyle name="20% - Accent3 18 12" xfId="22271"/>
    <cellStyle name="20% - Accent3 18 13" xfId="26348"/>
    <cellStyle name="20% - Accent3 18 14" xfId="29679"/>
    <cellStyle name="20% - Accent3 18 15" xfId="31454"/>
    <cellStyle name="20% - Accent3 18 16" xfId="33216"/>
    <cellStyle name="20% - Accent3 18 17" xfId="34934"/>
    <cellStyle name="20% - Accent3 18 18" xfId="36587"/>
    <cellStyle name="20% - Accent3 18 19" xfId="38161"/>
    <cellStyle name="20% - Accent3 18 2" xfId="1940"/>
    <cellStyle name="20% - Accent3 18 2 2" xfId="1941"/>
    <cellStyle name="20% - Accent3 18 2 2 2" xfId="5981"/>
    <cellStyle name="20% - Accent3 18 2 3" xfId="13194"/>
    <cellStyle name="20% - Accent3 18 2 4" xfId="5980"/>
    <cellStyle name="20% - Accent3 18 20" xfId="39614"/>
    <cellStyle name="20% - Accent3 18 21" xfId="40886"/>
    <cellStyle name="20% - Accent3 18 22" xfId="41965"/>
    <cellStyle name="20% - Accent3 18 23" xfId="11616"/>
    <cellStyle name="20% - Accent3 18 24" xfId="5979"/>
    <cellStyle name="20% - Accent3 18 3" xfId="1942"/>
    <cellStyle name="20% - Accent3 18 3 2" xfId="1943"/>
    <cellStyle name="20% - Accent3 18 3 2 2" xfId="5983"/>
    <cellStyle name="20% - Accent3 18 3 3" xfId="14320"/>
    <cellStyle name="20% - Accent3 18 3 4" xfId="5982"/>
    <cellStyle name="20% - Accent3 18 4" xfId="1944"/>
    <cellStyle name="20% - Accent3 18 4 2" xfId="1945"/>
    <cellStyle name="20% - Accent3 18 4 2 2" xfId="5985"/>
    <cellStyle name="20% - Accent3 18 4 3" xfId="15248"/>
    <cellStyle name="20% - Accent3 18 4 4" xfId="5984"/>
    <cellStyle name="20% - Accent3 18 5" xfId="1946"/>
    <cellStyle name="20% - Accent3 18 5 2" xfId="1947"/>
    <cellStyle name="20% - Accent3 18 5 2 2" xfId="5987"/>
    <cellStyle name="20% - Accent3 18 5 3" xfId="16177"/>
    <cellStyle name="20% - Accent3 18 5 4" xfId="5986"/>
    <cellStyle name="20% - Accent3 18 6" xfId="1948"/>
    <cellStyle name="20% - Accent3 18 6 2" xfId="1949"/>
    <cellStyle name="20% - Accent3 18 6 2 2" xfId="5989"/>
    <cellStyle name="20% - Accent3 18 6 3" xfId="17107"/>
    <cellStyle name="20% - Accent3 18 6 4" xfId="5988"/>
    <cellStyle name="20% - Accent3 18 7" xfId="1950"/>
    <cellStyle name="20% - Accent3 18 7 2" xfId="1951"/>
    <cellStyle name="20% - Accent3 18 7 2 2" xfId="5991"/>
    <cellStyle name="20% - Accent3 18 7 3" xfId="18015"/>
    <cellStyle name="20% - Accent3 18 7 4" xfId="5990"/>
    <cellStyle name="20% - Accent3 18 8" xfId="1952"/>
    <cellStyle name="20% - Accent3 18 8 2" xfId="18905"/>
    <cellStyle name="20% - Accent3 18 8 3" xfId="5992"/>
    <cellStyle name="20% - Accent3 18 9" xfId="19783"/>
    <cellStyle name="20% - Accent3 19" xfId="1953"/>
    <cellStyle name="20% - Accent3 19 10" xfId="20721"/>
    <cellStyle name="20% - Accent3 19 11" xfId="21559"/>
    <cellStyle name="20% - Accent3 19 12" xfId="22347"/>
    <cellStyle name="20% - Accent3 19 13" xfId="26756"/>
    <cellStyle name="20% - Accent3 19 14" xfId="30085"/>
    <cellStyle name="20% - Accent3 19 15" xfId="31860"/>
    <cellStyle name="20% - Accent3 19 16" xfId="33616"/>
    <cellStyle name="20% - Accent3 19 17" xfId="35329"/>
    <cellStyle name="20% - Accent3 19 18" xfId="36975"/>
    <cellStyle name="20% - Accent3 19 19" xfId="38536"/>
    <cellStyle name="20% - Accent3 19 2" xfId="1954"/>
    <cellStyle name="20% - Accent3 19 2 2" xfId="1955"/>
    <cellStyle name="20% - Accent3 19 2 2 2" xfId="5995"/>
    <cellStyle name="20% - Accent3 19 2 3" xfId="13273"/>
    <cellStyle name="20% - Accent3 19 2 4" xfId="5994"/>
    <cellStyle name="20% - Accent3 19 20" xfId="39975"/>
    <cellStyle name="20% - Accent3 19 21" xfId="41228"/>
    <cellStyle name="20% - Accent3 19 22" xfId="42284"/>
    <cellStyle name="20% - Accent3 19 23" xfId="11798"/>
    <cellStyle name="20% - Accent3 19 24" xfId="5993"/>
    <cellStyle name="20% - Accent3 19 3" xfId="1956"/>
    <cellStyle name="20% - Accent3 19 3 2" xfId="1957"/>
    <cellStyle name="20% - Accent3 19 3 2 2" xfId="5997"/>
    <cellStyle name="20% - Accent3 19 3 3" xfId="14398"/>
    <cellStyle name="20% - Accent3 19 3 4" xfId="5996"/>
    <cellStyle name="20% - Accent3 19 4" xfId="1958"/>
    <cellStyle name="20% - Accent3 19 4 2" xfId="1959"/>
    <cellStyle name="20% - Accent3 19 4 2 2" xfId="5999"/>
    <cellStyle name="20% - Accent3 19 4 3" xfId="15326"/>
    <cellStyle name="20% - Accent3 19 4 4" xfId="5998"/>
    <cellStyle name="20% - Accent3 19 5" xfId="1960"/>
    <cellStyle name="20% - Accent3 19 5 2" xfId="1961"/>
    <cellStyle name="20% - Accent3 19 5 2 2" xfId="6001"/>
    <cellStyle name="20% - Accent3 19 5 3" xfId="16256"/>
    <cellStyle name="20% - Accent3 19 5 4" xfId="6000"/>
    <cellStyle name="20% - Accent3 19 6" xfId="1962"/>
    <cellStyle name="20% - Accent3 19 6 2" xfId="1963"/>
    <cellStyle name="20% - Accent3 19 6 2 2" xfId="6003"/>
    <cellStyle name="20% - Accent3 19 6 3" xfId="17186"/>
    <cellStyle name="20% - Accent3 19 6 4" xfId="6002"/>
    <cellStyle name="20% - Accent3 19 7" xfId="1964"/>
    <cellStyle name="20% - Accent3 19 7 2" xfId="1965"/>
    <cellStyle name="20% - Accent3 19 7 2 2" xfId="6005"/>
    <cellStyle name="20% - Accent3 19 7 3" xfId="18094"/>
    <cellStyle name="20% - Accent3 19 7 4" xfId="6004"/>
    <cellStyle name="20% - Accent3 19 8" xfId="1966"/>
    <cellStyle name="20% - Accent3 19 8 2" xfId="18984"/>
    <cellStyle name="20% - Accent3 19 8 3" xfId="6006"/>
    <cellStyle name="20% - Accent3 19 9" xfId="19861"/>
    <cellStyle name="20% - Accent3 2" xfId="1967"/>
    <cellStyle name="20% - Accent3 2 10" xfId="1968"/>
    <cellStyle name="20% - Accent3 2 10 2" xfId="10591"/>
    <cellStyle name="20% - Accent3 2 10 3" xfId="6008"/>
    <cellStyle name="20% - Accent3 2 11" xfId="12233"/>
    <cellStyle name="20% - Accent3 2 12" xfId="10514"/>
    <cellStyle name="20% - Accent3 2 13" xfId="12602"/>
    <cellStyle name="20% - Accent3 2 14" xfId="14865"/>
    <cellStyle name="20% - Accent3 2 15" xfId="10803"/>
    <cellStyle name="20% - Accent3 2 16" xfId="16760"/>
    <cellStyle name="20% - Accent3 2 17" xfId="17670"/>
    <cellStyle name="20% - Accent3 2 18" xfId="18571"/>
    <cellStyle name="20% - Accent3 2 19" xfId="19449"/>
    <cellStyle name="20% - Accent3 2 2" xfId="1969"/>
    <cellStyle name="20% - Accent3 2 2 10" xfId="6009"/>
    <cellStyle name="20% - Accent3 2 2 2" xfId="1970"/>
    <cellStyle name="20% - Accent3 2 2 2 2" xfId="1971"/>
    <cellStyle name="20% - Accent3 2 2 2 2 2" xfId="6011"/>
    <cellStyle name="20% - Accent3 2 2 2 3" xfId="9545"/>
    <cellStyle name="20% - Accent3 2 2 2 4" xfId="6010"/>
    <cellStyle name="20% - Accent3 2 2 3" xfId="1972"/>
    <cellStyle name="20% - Accent3 2 2 3 2" xfId="1973"/>
    <cellStyle name="20% - Accent3 2 2 3 2 2" xfId="6013"/>
    <cellStyle name="20% - Accent3 2 2 3 3" xfId="6012"/>
    <cellStyle name="20% - Accent3 2 2 4" xfId="1974"/>
    <cellStyle name="20% - Accent3 2 2 4 2" xfId="1975"/>
    <cellStyle name="20% - Accent3 2 2 4 2 2" xfId="6015"/>
    <cellStyle name="20% - Accent3 2 2 4 3" xfId="6014"/>
    <cellStyle name="20% - Accent3 2 2 5" xfId="1976"/>
    <cellStyle name="20% - Accent3 2 2 5 2" xfId="1977"/>
    <cellStyle name="20% - Accent3 2 2 5 2 2" xfId="6017"/>
    <cellStyle name="20% - Accent3 2 2 5 3" xfId="6016"/>
    <cellStyle name="20% - Accent3 2 2 6" xfId="1978"/>
    <cellStyle name="20% - Accent3 2 2 6 2" xfId="1979"/>
    <cellStyle name="20% - Accent3 2 2 6 2 2" xfId="6019"/>
    <cellStyle name="20% - Accent3 2 2 6 3" xfId="6018"/>
    <cellStyle name="20% - Accent3 2 2 7" xfId="1980"/>
    <cellStyle name="20% - Accent3 2 2 7 2" xfId="1981"/>
    <cellStyle name="20% - Accent3 2 2 7 2 2" xfId="6021"/>
    <cellStyle name="20% - Accent3 2 2 7 3" xfId="6020"/>
    <cellStyle name="20% - Accent3 2 2 8" xfId="1982"/>
    <cellStyle name="20% - Accent3 2 2 8 2" xfId="6022"/>
    <cellStyle name="20% - Accent3 2 2 9" xfId="9343"/>
    <cellStyle name="20% - Accent3 2 20" xfId="20287"/>
    <cellStyle name="20% - Accent3 2 21" xfId="20372"/>
    <cellStyle name="20% - Accent3 2 22" xfId="21974"/>
    <cellStyle name="20% - Accent3 2 23" xfId="22980"/>
    <cellStyle name="20% - Accent3 2 24" xfId="22891"/>
    <cellStyle name="20% - Accent3 2 25" xfId="28776"/>
    <cellStyle name="20% - Accent3 2 26" xfId="30564"/>
    <cellStyle name="20% - Accent3 2 27" xfId="32338"/>
    <cellStyle name="20% - Accent3 2 28" xfId="34090"/>
    <cellStyle name="20% - Accent3 2 29" xfId="35800"/>
    <cellStyle name="20% - Accent3 2 3" xfId="1983"/>
    <cellStyle name="20% - Accent3 2 3 10" xfId="6023"/>
    <cellStyle name="20% - Accent3 2 3 2" xfId="1984"/>
    <cellStyle name="20% - Accent3 2 3 2 2" xfId="1985"/>
    <cellStyle name="20% - Accent3 2 3 2 2 2" xfId="6025"/>
    <cellStyle name="20% - Accent3 2 3 2 3" xfId="6024"/>
    <cellStyle name="20% - Accent3 2 3 3" xfId="1986"/>
    <cellStyle name="20% - Accent3 2 3 3 2" xfId="1987"/>
    <cellStyle name="20% - Accent3 2 3 3 2 2" xfId="6027"/>
    <cellStyle name="20% - Accent3 2 3 3 3" xfId="6026"/>
    <cellStyle name="20% - Accent3 2 3 4" xfId="1988"/>
    <cellStyle name="20% - Accent3 2 3 4 2" xfId="1989"/>
    <cellStyle name="20% - Accent3 2 3 4 2 2" xfId="6029"/>
    <cellStyle name="20% - Accent3 2 3 4 3" xfId="6028"/>
    <cellStyle name="20% - Accent3 2 3 5" xfId="1990"/>
    <cellStyle name="20% - Accent3 2 3 5 2" xfId="1991"/>
    <cellStyle name="20% - Accent3 2 3 5 2 2" xfId="6031"/>
    <cellStyle name="20% - Accent3 2 3 5 3" xfId="6030"/>
    <cellStyle name="20% - Accent3 2 3 6" xfId="1992"/>
    <cellStyle name="20% - Accent3 2 3 6 2" xfId="1993"/>
    <cellStyle name="20% - Accent3 2 3 6 2 2" xfId="6033"/>
    <cellStyle name="20% - Accent3 2 3 6 3" xfId="6032"/>
    <cellStyle name="20% - Accent3 2 3 7" xfId="1994"/>
    <cellStyle name="20% - Accent3 2 3 7 2" xfId="1995"/>
    <cellStyle name="20% - Accent3 2 3 7 2 2" xfId="6035"/>
    <cellStyle name="20% - Accent3 2 3 7 3" xfId="6034"/>
    <cellStyle name="20% - Accent3 2 3 8" xfId="1996"/>
    <cellStyle name="20% - Accent3 2 3 8 2" xfId="6036"/>
    <cellStyle name="20% - Accent3 2 3 9" xfId="10298"/>
    <cellStyle name="20% - Accent3 2 30" xfId="37436"/>
    <cellStyle name="20% - Accent3 2 31" xfId="38983"/>
    <cellStyle name="20% - Accent3 2 32" xfId="40400"/>
    <cellStyle name="20% - Accent3 2 33" xfId="8690"/>
    <cellStyle name="20% - Accent3 2 34" xfId="6007"/>
    <cellStyle name="20% - Accent3 2 4" xfId="1997"/>
    <cellStyle name="20% - Accent3 2 4 2" xfId="1998"/>
    <cellStyle name="20% - Accent3 2 4 2 2" xfId="6038"/>
    <cellStyle name="20% - Accent3 2 4 3" xfId="10700"/>
    <cellStyle name="20% - Accent3 2 4 4" xfId="6037"/>
    <cellStyle name="20% - Accent3 2 5" xfId="1999"/>
    <cellStyle name="20% - Accent3 2 5 2" xfId="2000"/>
    <cellStyle name="20% - Accent3 2 5 2 2" xfId="6040"/>
    <cellStyle name="20% - Accent3 2 5 3" xfId="11121"/>
    <cellStyle name="20% - Accent3 2 5 4" xfId="6039"/>
    <cellStyle name="20% - Accent3 2 6" xfId="2001"/>
    <cellStyle name="20% - Accent3 2 6 2" xfId="2002"/>
    <cellStyle name="20% - Accent3 2 6 2 2" xfId="6042"/>
    <cellStyle name="20% - Accent3 2 6 3" xfId="11315"/>
    <cellStyle name="20% - Accent3 2 6 4" xfId="6041"/>
    <cellStyle name="20% - Accent3 2 7" xfId="2003"/>
    <cellStyle name="20% - Accent3 2 7 2" xfId="2004"/>
    <cellStyle name="20% - Accent3 2 7 2 2" xfId="6044"/>
    <cellStyle name="20% - Accent3 2 7 3" xfId="11508"/>
    <cellStyle name="20% - Accent3 2 7 4" xfId="6043"/>
    <cellStyle name="20% - Accent3 2 8" xfId="2005"/>
    <cellStyle name="20% - Accent3 2 8 2" xfId="2006"/>
    <cellStyle name="20% - Accent3 2 8 2 2" xfId="6046"/>
    <cellStyle name="20% - Accent3 2 8 3" xfId="11691"/>
    <cellStyle name="20% - Accent3 2 8 4" xfId="6045"/>
    <cellStyle name="20% - Accent3 2 9" xfId="2007"/>
    <cellStyle name="20% - Accent3 2 9 2" xfId="2008"/>
    <cellStyle name="20% - Accent3 2 9 2 2" xfId="6048"/>
    <cellStyle name="20% - Accent3 2 9 3" xfId="11872"/>
    <cellStyle name="20% - Accent3 2 9 4" xfId="6047"/>
    <cellStyle name="20% - Accent3 20" xfId="2009"/>
    <cellStyle name="20% - Accent3 20 10" xfId="20801"/>
    <cellStyle name="20% - Accent3 20 11" xfId="21639"/>
    <cellStyle name="20% - Accent3 20 12" xfId="22425"/>
    <cellStyle name="20% - Accent3 20 13" xfId="26466"/>
    <cellStyle name="20% - Accent3 20 14" xfId="29797"/>
    <cellStyle name="20% - Accent3 20 15" xfId="31572"/>
    <cellStyle name="20% - Accent3 20 16" xfId="33331"/>
    <cellStyle name="20% - Accent3 20 17" xfId="35048"/>
    <cellStyle name="20% - Accent3 20 18" xfId="36699"/>
    <cellStyle name="20% - Accent3 20 19" xfId="38268"/>
    <cellStyle name="20% - Accent3 20 2" xfId="2010"/>
    <cellStyle name="20% - Accent3 20 2 2" xfId="2011"/>
    <cellStyle name="20% - Accent3 20 2 2 2" xfId="6051"/>
    <cellStyle name="20% - Accent3 20 2 3" xfId="13354"/>
    <cellStyle name="20% - Accent3 20 2 4" xfId="6050"/>
    <cellStyle name="20% - Accent3 20 20" xfId="39718"/>
    <cellStyle name="20% - Accent3 20 21" xfId="40985"/>
    <cellStyle name="20% - Accent3 20 22" xfId="42059"/>
    <cellStyle name="20% - Accent3 20 23" xfId="11980"/>
    <cellStyle name="20% - Accent3 20 24" xfId="6049"/>
    <cellStyle name="20% - Accent3 20 3" xfId="2012"/>
    <cellStyle name="20% - Accent3 20 3 2" xfId="2013"/>
    <cellStyle name="20% - Accent3 20 3 2 2" xfId="6053"/>
    <cellStyle name="20% - Accent3 20 3 3" xfId="14478"/>
    <cellStyle name="20% - Accent3 20 3 4" xfId="6052"/>
    <cellStyle name="20% - Accent3 20 4" xfId="2014"/>
    <cellStyle name="20% - Accent3 20 4 2" xfId="2015"/>
    <cellStyle name="20% - Accent3 20 4 2 2" xfId="6055"/>
    <cellStyle name="20% - Accent3 20 4 3" xfId="15407"/>
    <cellStyle name="20% - Accent3 20 4 4" xfId="6054"/>
    <cellStyle name="20% - Accent3 20 5" xfId="2016"/>
    <cellStyle name="20% - Accent3 20 5 2" xfId="2017"/>
    <cellStyle name="20% - Accent3 20 5 2 2" xfId="6057"/>
    <cellStyle name="20% - Accent3 20 5 3" xfId="16336"/>
    <cellStyle name="20% - Accent3 20 5 4" xfId="6056"/>
    <cellStyle name="20% - Accent3 20 6" xfId="2018"/>
    <cellStyle name="20% - Accent3 20 6 2" xfId="2019"/>
    <cellStyle name="20% - Accent3 20 6 2 2" xfId="6059"/>
    <cellStyle name="20% - Accent3 20 6 3" xfId="17266"/>
    <cellStyle name="20% - Accent3 20 6 4" xfId="6058"/>
    <cellStyle name="20% - Accent3 20 7" xfId="2020"/>
    <cellStyle name="20% - Accent3 20 7 2" xfId="2021"/>
    <cellStyle name="20% - Accent3 20 7 2 2" xfId="6061"/>
    <cellStyle name="20% - Accent3 20 7 3" xfId="18174"/>
    <cellStyle name="20% - Accent3 20 7 4" xfId="6060"/>
    <cellStyle name="20% - Accent3 20 8" xfId="2022"/>
    <cellStyle name="20% - Accent3 20 8 2" xfId="19064"/>
    <cellStyle name="20% - Accent3 20 8 3" xfId="6062"/>
    <cellStyle name="20% - Accent3 20 9" xfId="19941"/>
    <cellStyle name="20% - Accent3 21" xfId="2023"/>
    <cellStyle name="20% - Accent3 21 10" xfId="20880"/>
    <cellStyle name="20% - Accent3 21 11" xfId="21719"/>
    <cellStyle name="20% - Accent3 21 12" xfId="22503"/>
    <cellStyle name="20% - Accent3 21 13" xfId="26872"/>
    <cellStyle name="20% - Accent3 21 14" xfId="30200"/>
    <cellStyle name="20% - Accent3 21 15" xfId="31975"/>
    <cellStyle name="20% - Accent3 21 16" xfId="33730"/>
    <cellStyle name="20% - Accent3 21 17" xfId="35443"/>
    <cellStyle name="20% - Accent3 21 18" xfId="37088"/>
    <cellStyle name="20% - Accent3 21 19" xfId="38644"/>
    <cellStyle name="20% - Accent3 21 2" xfId="2024"/>
    <cellStyle name="20% - Accent3 21 2 2" xfId="2025"/>
    <cellStyle name="20% - Accent3 21 2 2 2" xfId="6065"/>
    <cellStyle name="20% - Accent3 21 2 3" xfId="13434"/>
    <cellStyle name="20% - Accent3 21 2 4" xfId="6064"/>
    <cellStyle name="20% - Accent3 21 20" xfId="40078"/>
    <cellStyle name="20% - Accent3 21 21" xfId="41325"/>
    <cellStyle name="20% - Accent3 21 22" xfId="42376"/>
    <cellStyle name="20% - Accent3 21 23" xfId="12157"/>
    <cellStyle name="20% - Accent3 21 24" xfId="6063"/>
    <cellStyle name="20% - Accent3 21 3" xfId="2026"/>
    <cellStyle name="20% - Accent3 21 3 2" xfId="2027"/>
    <cellStyle name="20% - Accent3 21 3 2 2" xfId="6067"/>
    <cellStyle name="20% - Accent3 21 3 3" xfId="14558"/>
    <cellStyle name="20% - Accent3 21 3 4" xfId="6066"/>
    <cellStyle name="20% - Accent3 21 4" xfId="2028"/>
    <cellStyle name="20% - Accent3 21 4 2" xfId="2029"/>
    <cellStyle name="20% - Accent3 21 4 2 2" xfId="6069"/>
    <cellStyle name="20% - Accent3 21 4 3" xfId="15485"/>
    <cellStyle name="20% - Accent3 21 4 4" xfId="6068"/>
    <cellStyle name="20% - Accent3 21 5" xfId="2030"/>
    <cellStyle name="20% - Accent3 21 5 2" xfId="2031"/>
    <cellStyle name="20% - Accent3 21 5 2 2" xfId="6071"/>
    <cellStyle name="20% - Accent3 21 5 3" xfId="16416"/>
    <cellStyle name="20% - Accent3 21 5 4" xfId="6070"/>
    <cellStyle name="20% - Accent3 21 6" xfId="2032"/>
    <cellStyle name="20% - Accent3 21 6 2" xfId="2033"/>
    <cellStyle name="20% - Accent3 21 6 2 2" xfId="6073"/>
    <cellStyle name="20% - Accent3 21 6 3" xfId="17346"/>
    <cellStyle name="20% - Accent3 21 6 4" xfId="6072"/>
    <cellStyle name="20% - Accent3 21 7" xfId="2034"/>
    <cellStyle name="20% - Accent3 21 7 2" xfId="2035"/>
    <cellStyle name="20% - Accent3 21 7 2 2" xfId="6075"/>
    <cellStyle name="20% - Accent3 21 7 3" xfId="18254"/>
    <cellStyle name="20% - Accent3 21 7 4" xfId="6074"/>
    <cellStyle name="20% - Accent3 21 8" xfId="2036"/>
    <cellStyle name="20% - Accent3 21 8 2" xfId="19144"/>
    <cellStyle name="20% - Accent3 21 8 3" xfId="6076"/>
    <cellStyle name="20% - Accent3 21 9" xfId="20021"/>
    <cellStyle name="20% - Accent3 22" xfId="2037"/>
    <cellStyle name="20% - Accent3 22 10" xfId="20958"/>
    <cellStyle name="20% - Accent3 22 11" xfId="21799"/>
    <cellStyle name="20% - Accent3 22 12" xfId="22581"/>
    <cellStyle name="20% - Accent3 22 13" xfId="26335"/>
    <cellStyle name="20% - Accent3 22 14" xfId="29666"/>
    <cellStyle name="20% - Accent3 22 15" xfId="31441"/>
    <cellStyle name="20% - Accent3 22 16" xfId="33203"/>
    <cellStyle name="20% - Accent3 22 17" xfId="34921"/>
    <cellStyle name="20% - Accent3 22 18" xfId="36574"/>
    <cellStyle name="20% - Accent3 22 19" xfId="38148"/>
    <cellStyle name="20% - Accent3 22 2" xfId="2038"/>
    <cellStyle name="20% - Accent3 22 2 2" xfId="2039"/>
    <cellStyle name="20% - Accent3 22 2 2 2" xfId="6079"/>
    <cellStyle name="20% - Accent3 22 2 3" xfId="13514"/>
    <cellStyle name="20% - Accent3 22 2 4" xfId="6078"/>
    <cellStyle name="20% - Accent3 22 20" xfId="39601"/>
    <cellStyle name="20% - Accent3 22 21" xfId="40874"/>
    <cellStyle name="20% - Accent3 22 22" xfId="41953"/>
    <cellStyle name="20% - Accent3 22 23" xfId="10562"/>
    <cellStyle name="20% - Accent3 22 24" xfId="6077"/>
    <cellStyle name="20% - Accent3 22 3" xfId="2040"/>
    <cellStyle name="20% - Accent3 22 3 2" xfId="2041"/>
    <cellStyle name="20% - Accent3 22 3 2 2" xfId="6081"/>
    <cellStyle name="20% - Accent3 22 3 3" xfId="14637"/>
    <cellStyle name="20% - Accent3 22 3 4" xfId="6080"/>
    <cellStyle name="20% - Accent3 22 4" xfId="2042"/>
    <cellStyle name="20% - Accent3 22 4 2" xfId="2043"/>
    <cellStyle name="20% - Accent3 22 4 2 2" xfId="6083"/>
    <cellStyle name="20% - Accent3 22 4 3" xfId="15565"/>
    <cellStyle name="20% - Accent3 22 4 4" xfId="6082"/>
    <cellStyle name="20% - Accent3 22 5" xfId="2044"/>
    <cellStyle name="20% - Accent3 22 5 2" xfId="2045"/>
    <cellStyle name="20% - Accent3 22 5 2 2" xfId="6085"/>
    <cellStyle name="20% - Accent3 22 5 3" xfId="16496"/>
    <cellStyle name="20% - Accent3 22 5 4" xfId="6084"/>
    <cellStyle name="20% - Accent3 22 6" xfId="2046"/>
    <cellStyle name="20% - Accent3 22 6 2" xfId="2047"/>
    <cellStyle name="20% - Accent3 22 6 2 2" xfId="6087"/>
    <cellStyle name="20% - Accent3 22 6 3" xfId="17426"/>
    <cellStyle name="20% - Accent3 22 6 4" xfId="6086"/>
    <cellStyle name="20% - Accent3 22 7" xfId="2048"/>
    <cellStyle name="20% - Accent3 22 7 2" xfId="2049"/>
    <cellStyle name="20% - Accent3 22 7 2 2" xfId="6089"/>
    <cellStyle name="20% - Accent3 22 7 3" xfId="18334"/>
    <cellStyle name="20% - Accent3 22 7 4" xfId="6088"/>
    <cellStyle name="20% - Accent3 22 8" xfId="2050"/>
    <cellStyle name="20% - Accent3 22 8 2" xfId="19224"/>
    <cellStyle name="20% - Accent3 22 8 3" xfId="6090"/>
    <cellStyle name="20% - Accent3 22 9" xfId="20100"/>
    <cellStyle name="20% - Accent3 23" xfId="2051"/>
    <cellStyle name="20% - Accent3 23 10" xfId="21030"/>
    <cellStyle name="20% - Accent3 23 11" xfId="21868"/>
    <cellStyle name="20% - Accent3 23 12" xfId="22649"/>
    <cellStyle name="20% - Accent3 23 13" xfId="12526"/>
    <cellStyle name="20% - Accent3 23 14" xfId="6091"/>
    <cellStyle name="20% - Accent3 23 2" xfId="2052"/>
    <cellStyle name="20% - Accent3 23 2 2" xfId="2053"/>
    <cellStyle name="20% - Accent3 23 2 2 2" xfId="6093"/>
    <cellStyle name="20% - Accent3 23 2 3" xfId="13594"/>
    <cellStyle name="20% - Accent3 23 2 4" xfId="6092"/>
    <cellStyle name="20% - Accent3 23 3" xfId="2054"/>
    <cellStyle name="20% - Accent3 23 3 2" xfId="2055"/>
    <cellStyle name="20% - Accent3 23 3 2 2" xfId="6095"/>
    <cellStyle name="20% - Accent3 23 3 3" xfId="14713"/>
    <cellStyle name="20% - Accent3 23 3 4" xfId="6094"/>
    <cellStyle name="20% - Accent3 23 4" xfId="2056"/>
    <cellStyle name="20% - Accent3 23 4 2" xfId="2057"/>
    <cellStyle name="20% - Accent3 23 4 2 2" xfId="6097"/>
    <cellStyle name="20% - Accent3 23 4 3" xfId="15642"/>
    <cellStyle name="20% - Accent3 23 4 4" xfId="6096"/>
    <cellStyle name="20% - Accent3 23 5" xfId="2058"/>
    <cellStyle name="20% - Accent3 23 5 2" xfId="2059"/>
    <cellStyle name="20% - Accent3 23 5 2 2" xfId="6099"/>
    <cellStyle name="20% - Accent3 23 5 3" xfId="16573"/>
    <cellStyle name="20% - Accent3 23 5 4" xfId="6098"/>
    <cellStyle name="20% - Accent3 23 6" xfId="2060"/>
    <cellStyle name="20% - Accent3 23 6 2" xfId="2061"/>
    <cellStyle name="20% - Accent3 23 6 2 2" xfId="6101"/>
    <cellStyle name="20% - Accent3 23 6 3" xfId="17501"/>
    <cellStyle name="20% - Accent3 23 6 4" xfId="6100"/>
    <cellStyle name="20% - Accent3 23 7" xfId="2062"/>
    <cellStyle name="20% - Accent3 23 7 2" xfId="2063"/>
    <cellStyle name="20% - Accent3 23 7 2 2" xfId="6103"/>
    <cellStyle name="20% - Accent3 23 7 3" xfId="18407"/>
    <cellStyle name="20% - Accent3 23 7 4" xfId="6102"/>
    <cellStyle name="20% - Accent3 23 8" xfId="2064"/>
    <cellStyle name="20% - Accent3 23 8 2" xfId="19294"/>
    <cellStyle name="20% - Accent3 23 8 3" xfId="6104"/>
    <cellStyle name="20% - Accent3 23 9" xfId="20170"/>
    <cellStyle name="20% - Accent3 24" xfId="2065"/>
    <cellStyle name="20% - Accent3 24 10" xfId="21089"/>
    <cellStyle name="20% - Accent3 24 11" xfId="21924"/>
    <cellStyle name="20% - Accent3 24 12" xfId="22705"/>
    <cellStyle name="20% - Accent3 24 13" xfId="12590"/>
    <cellStyle name="20% - Accent3 24 14" xfId="6105"/>
    <cellStyle name="20% - Accent3 24 2" xfId="2066"/>
    <cellStyle name="20% - Accent3 24 2 2" xfId="2067"/>
    <cellStyle name="20% - Accent3 24 2 2 2" xfId="6107"/>
    <cellStyle name="20% - Accent3 24 2 3" xfId="13674"/>
    <cellStyle name="20% - Accent3 24 2 4" xfId="6106"/>
    <cellStyle name="20% - Accent3 24 3" xfId="2068"/>
    <cellStyle name="20% - Accent3 24 3 2" xfId="2069"/>
    <cellStyle name="20% - Accent3 24 3 2 2" xfId="6109"/>
    <cellStyle name="20% - Accent3 24 3 3" xfId="14786"/>
    <cellStyle name="20% - Accent3 24 3 4" xfId="6108"/>
    <cellStyle name="20% - Accent3 24 4" xfId="2070"/>
    <cellStyle name="20% - Accent3 24 4 2" xfId="2071"/>
    <cellStyle name="20% - Accent3 24 4 2 2" xfId="6111"/>
    <cellStyle name="20% - Accent3 24 4 3" xfId="15714"/>
    <cellStyle name="20% - Accent3 24 4 4" xfId="6110"/>
    <cellStyle name="20% - Accent3 24 5" xfId="2072"/>
    <cellStyle name="20% - Accent3 24 5 2" xfId="2073"/>
    <cellStyle name="20% - Accent3 24 5 2 2" xfId="6113"/>
    <cellStyle name="20% - Accent3 24 5 3" xfId="16645"/>
    <cellStyle name="20% - Accent3 24 5 4" xfId="6112"/>
    <cellStyle name="20% - Accent3 24 6" xfId="2074"/>
    <cellStyle name="20% - Accent3 24 6 2" xfId="2075"/>
    <cellStyle name="20% - Accent3 24 6 2 2" xfId="6115"/>
    <cellStyle name="20% - Accent3 24 6 3" xfId="17574"/>
    <cellStyle name="20% - Accent3 24 6 4" xfId="6114"/>
    <cellStyle name="20% - Accent3 24 7" xfId="2076"/>
    <cellStyle name="20% - Accent3 24 7 2" xfId="2077"/>
    <cellStyle name="20% - Accent3 24 7 2 2" xfId="6117"/>
    <cellStyle name="20% - Accent3 24 7 3" xfId="18476"/>
    <cellStyle name="20% - Accent3 24 7 4" xfId="6116"/>
    <cellStyle name="20% - Accent3 24 8" xfId="2078"/>
    <cellStyle name="20% - Accent3 24 8 2" xfId="19360"/>
    <cellStyle name="20% - Accent3 24 8 3" xfId="6118"/>
    <cellStyle name="20% - Accent3 24 9" xfId="20235"/>
    <cellStyle name="20% - Accent3 25" xfId="2079"/>
    <cellStyle name="20% - Accent3 25 10" xfId="6119"/>
    <cellStyle name="20% - Accent3 25 2" xfId="2080"/>
    <cellStyle name="20% - Accent3 25 2 2" xfId="2081"/>
    <cellStyle name="20% - Accent3 25 2 2 2" xfId="6121"/>
    <cellStyle name="20% - Accent3 25 2 3" xfId="6120"/>
    <cellStyle name="20% - Accent3 25 3" xfId="2082"/>
    <cellStyle name="20% - Accent3 25 3 2" xfId="2083"/>
    <cellStyle name="20% - Accent3 25 3 2 2" xfId="6123"/>
    <cellStyle name="20% - Accent3 25 3 3" xfId="6122"/>
    <cellStyle name="20% - Accent3 25 4" xfId="2084"/>
    <cellStyle name="20% - Accent3 25 4 2" xfId="2085"/>
    <cellStyle name="20% - Accent3 25 4 2 2" xfId="6125"/>
    <cellStyle name="20% - Accent3 25 4 3" xfId="6124"/>
    <cellStyle name="20% - Accent3 25 5" xfId="2086"/>
    <cellStyle name="20% - Accent3 25 5 2" xfId="2087"/>
    <cellStyle name="20% - Accent3 25 5 2 2" xfId="6127"/>
    <cellStyle name="20% - Accent3 25 5 3" xfId="6126"/>
    <cellStyle name="20% - Accent3 25 6" xfId="2088"/>
    <cellStyle name="20% - Accent3 25 6 2" xfId="2089"/>
    <cellStyle name="20% - Accent3 25 6 2 2" xfId="6129"/>
    <cellStyle name="20% - Accent3 25 6 3" xfId="6128"/>
    <cellStyle name="20% - Accent3 25 7" xfId="2090"/>
    <cellStyle name="20% - Accent3 25 7 2" xfId="2091"/>
    <cellStyle name="20% - Accent3 25 7 2 2" xfId="6131"/>
    <cellStyle name="20% - Accent3 25 7 3" xfId="6130"/>
    <cellStyle name="20% - Accent3 25 8" xfId="2092"/>
    <cellStyle name="20% - Accent3 25 8 2" xfId="6132"/>
    <cellStyle name="20% - Accent3 25 9" xfId="13744"/>
    <cellStyle name="20% - Accent3 26" xfId="2093"/>
    <cellStyle name="20% - Accent3 26 10" xfId="6133"/>
    <cellStyle name="20% - Accent3 26 2" xfId="2094"/>
    <cellStyle name="20% - Accent3 26 2 2" xfId="2095"/>
    <cellStyle name="20% - Accent3 26 2 2 2" xfId="6135"/>
    <cellStyle name="20% - Accent3 26 2 3" xfId="6134"/>
    <cellStyle name="20% - Accent3 26 3" xfId="2096"/>
    <cellStyle name="20% - Accent3 26 3 2" xfId="2097"/>
    <cellStyle name="20% - Accent3 26 3 2 2" xfId="6137"/>
    <cellStyle name="20% - Accent3 26 3 3" xfId="6136"/>
    <cellStyle name="20% - Accent3 26 4" xfId="2098"/>
    <cellStyle name="20% - Accent3 26 4 2" xfId="2099"/>
    <cellStyle name="20% - Accent3 26 4 2 2" xfId="6139"/>
    <cellStyle name="20% - Accent3 26 4 3" xfId="6138"/>
    <cellStyle name="20% - Accent3 26 5" xfId="2100"/>
    <cellStyle name="20% - Accent3 26 5 2" xfId="2101"/>
    <cellStyle name="20% - Accent3 26 5 2 2" xfId="6141"/>
    <cellStyle name="20% - Accent3 26 5 3" xfId="6140"/>
    <cellStyle name="20% - Accent3 26 6" xfId="2102"/>
    <cellStyle name="20% - Accent3 26 6 2" xfId="2103"/>
    <cellStyle name="20% - Accent3 26 6 2 2" xfId="6143"/>
    <cellStyle name="20% - Accent3 26 6 3" xfId="6142"/>
    <cellStyle name="20% - Accent3 26 7" xfId="2104"/>
    <cellStyle name="20% - Accent3 26 7 2" xfId="2105"/>
    <cellStyle name="20% - Accent3 26 7 2 2" xfId="6145"/>
    <cellStyle name="20% - Accent3 26 7 3" xfId="6144"/>
    <cellStyle name="20% - Accent3 26 8" xfId="2106"/>
    <cellStyle name="20% - Accent3 26 8 2" xfId="6146"/>
    <cellStyle name="20% - Accent3 26 9" xfId="13802"/>
    <cellStyle name="20% - Accent3 27" xfId="2107"/>
    <cellStyle name="20% - Accent3 27 10" xfId="6147"/>
    <cellStyle name="20% - Accent3 27 2" xfId="2108"/>
    <cellStyle name="20% - Accent3 27 2 2" xfId="2109"/>
    <cellStyle name="20% - Accent3 27 2 2 2" xfId="6149"/>
    <cellStyle name="20% - Accent3 27 2 3" xfId="6148"/>
    <cellStyle name="20% - Accent3 27 3" xfId="2110"/>
    <cellStyle name="20% - Accent3 27 3 2" xfId="2111"/>
    <cellStyle name="20% - Accent3 27 3 2 2" xfId="6151"/>
    <cellStyle name="20% - Accent3 27 3 3" xfId="6150"/>
    <cellStyle name="20% - Accent3 27 4" xfId="2112"/>
    <cellStyle name="20% - Accent3 27 4 2" xfId="2113"/>
    <cellStyle name="20% - Accent3 27 4 2 2" xfId="6153"/>
    <cellStyle name="20% - Accent3 27 4 3" xfId="6152"/>
    <cellStyle name="20% - Accent3 27 5" xfId="2114"/>
    <cellStyle name="20% - Accent3 27 5 2" xfId="2115"/>
    <cellStyle name="20% - Accent3 27 5 2 2" xfId="6155"/>
    <cellStyle name="20% - Accent3 27 5 3" xfId="6154"/>
    <cellStyle name="20% - Accent3 27 6" xfId="2116"/>
    <cellStyle name="20% - Accent3 27 6 2" xfId="2117"/>
    <cellStyle name="20% - Accent3 27 6 2 2" xfId="6157"/>
    <cellStyle name="20% - Accent3 27 6 3" xfId="6156"/>
    <cellStyle name="20% - Accent3 27 7" xfId="2118"/>
    <cellStyle name="20% - Accent3 27 7 2" xfId="2119"/>
    <cellStyle name="20% - Accent3 27 7 2 2" xfId="6159"/>
    <cellStyle name="20% - Accent3 27 7 3" xfId="6158"/>
    <cellStyle name="20% - Accent3 27 8" xfId="2120"/>
    <cellStyle name="20% - Accent3 27 8 2" xfId="6160"/>
    <cellStyle name="20% - Accent3 27 9" xfId="13202"/>
    <cellStyle name="20% - Accent3 28" xfId="2121"/>
    <cellStyle name="20% - Accent3 28 10" xfId="6161"/>
    <cellStyle name="20% - Accent3 28 2" xfId="2122"/>
    <cellStyle name="20% - Accent3 28 2 2" xfId="2123"/>
    <cellStyle name="20% - Accent3 28 2 2 2" xfId="6163"/>
    <cellStyle name="20% - Accent3 28 2 3" xfId="6162"/>
    <cellStyle name="20% - Accent3 28 3" xfId="2124"/>
    <cellStyle name="20% - Accent3 28 3 2" xfId="2125"/>
    <cellStyle name="20% - Accent3 28 3 2 2" xfId="6165"/>
    <cellStyle name="20% - Accent3 28 3 3" xfId="6164"/>
    <cellStyle name="20% - Accent3 28 4" xfId="2126"/>
    <cellStyle name="20% - Accent3 28 4 2" xfId="2127"/>
    <cellStyle name="20% - Accent3 28 4 2 2" xfId="6167"/>
    <cellStyle name="20% - Accent3 28 4 3" xfId="6166"/>
    <cellStyle name="20% - Accent3 28 5" xfId="2128"/>
    <cellStyle name="20% - Accent3 28 5 2" xfId="2129"/>
    <cellStyle name="20% - Accent3 28 5 2 2" xfId="6169"/>
    <cellStyle name="20% - Accent3 28 5 3" xfId="6168"/>
    <cellStyle name="20% - Accent3 28 6" xfId="2130"/>
    <cellStyle name="20% - Accent3 28 6 2" xfId="2131"/>
    <cellStyle name="20% - Accent3 28 6 2 2" xfId="6171"/>
    <cellStyle name="20% - Accent3 28 6 3" xfId="6170"/>
    <cellStyle name="20% - Accent3 28 7" xfId="2132"/>
    <cellStyle name="20% - Accent3 28 7 2" xfId="2133"/>
    <cellStyle name="20% - Accent3 28 7 2 2" xfId="6173"/>
    <cellStyle name="20% - Accent3 28 7 3" xfId="6172"/>
    <cellStyle name="20% - Accent3 28 8" xfId="2134"/>
    <cellStyle name="20% - Accent3 28 8 2" xfId="6174"/>
    <cellStyle name="20% - Accent3 28 9" xfId="14090"/>
    <cellStyle name="20% - Accent3 29" xfId="2135"/>
    <cellStyle name="20% - Accent3 29 10" xfId="6175"/>
    <cellStyle name="20% - Accent3 29 2" xfId="2136"/>
    <cellStyle name="20% - Accent3 29 2 2" xfId="2137"/>
    <cellStyle name="20% - Accent3 29 2 2 2" xfId="6177"/>
    <cellStyle name="20% - Accent3 29 2 3" xfId="6176"/>
    <cellStyle name="20% - Accent3 29 3" xfId="2138"/>
    <cellStyle name="20% - Accent3 29 3 2" xfId="2139"/>
    <cellStyle name="20% - Accent3 29 3 2 2" xfId="6179"/>
    <cellStyle name="20% - Accent3 29 3 3" xfId="6178"/>
    <cellStyle name="20% - Accent3 29 4" xfId="2140"/>
    <cellStyle name="20% - Accent3 29 4 2" xfId="2141"/>
    <cellStyle name="20% - Accent3 29 4 2 2" xfId="6181"/>
    <cellStyle name="20% - Accent3 29 4 3" xfId="6180"/>
    <cellStyle name="20% - Accent3 29 5" xfId="2142"/>
    <cellStyle name="20% - Accent3 29 5 2" xfId="2143"/>
    <cellStyle name="20% - Accent3 29 5 2 2" xfId="6183"/>
    <cellStyle name="20% - Accent3 29 5 3" xfId="6182"/>
    <cellStyle name="20% - Accent3 29 6" xfId="2144"/>
    <cellStyle name="20% - Accent3 29 6 2" xfId="2145"/>
    <cellStyle name="20% - Accent3 29 6 2 2" xfId="6185"/>
    <cellStyle name="20% - Accent3 29 6 3" xfId="6184"/>
    <cellStyle name="20% - Accent3 29 7" xfId="2146"/>
    <cellStyle name="20% - Accent3 29 7 2" xfId="2147"/>
    <cellStyle name="20% - Accent3 29 7 2 2" xfId="6187"/>
    <cellStyle name="20% - Accent3 29 7 3" xfId="6186"/>
    <cellStyle name="20% - Accent3 29 8" xfId="2148"/>
    <cellStyle name="20% - Accent3 29 8 2" xfId="6188"/>
    <cellStyle name="20% - Accent3 29 9" xfId="10350"/>
    <cellStyle name="20% - Accent3 3" xfId="2149"/>
    <cellStyle name="20% - Accent3 3 10" xfId="2150"/>
    <cellStyle name="20% - Accent3 3 10 2" xfId="6190"/>
    <cellStyle name="20% - Accent3 3 11" xfId="8828"/>
    <cellStyle name="20% - Accent3 3 12" xfId="6189"/>
    <cellStyle name="20% - Accent3 3 2" xfId="2151"/>
    <cellStyle name="20% - Accent3 3 2 2" xfId="2152"/>
    <cellStyle name="20% - Accent3 3 2 2 2" xfId="2153"/>
    <cellStyle name="20% - Accent3 3 2 2 2 2" xfId="6193"/>
    <cellStyle name="20% - Accent3 3 2 2 3" xfId="6192"/>
    <cellStyle name="20% - Accent3 3 2 3" xfId="2154"/>
    <cellStyle name="20% - Accent3 3 2 3 2" xfId="2155"/>
    <cellStyle name="20% - Accent3 3 2 3 2 2" xfId="6195"/>
    <cellStyle name="20% - Accent3 3 2 3 3" xfId="6194"/>
    <cellStyle name="20% - Accent3 3 2 4" xfId="2156"/>
    <cellStyle name="20% - Accent3 3 2 4 2" xfId="2157"/>
    <cellStyle name="20% - Accent3 3 2 4 2 2" xfId="6197"/>
    <cellStyle name="20% - Accent3 3 2 4 3" xfId="6196"/>
    <cellStyle name="20% - Accent3 3 2 5" xfId="2158"/>
    <cellStyle name="20% - Accent3 3 2 5 2" xfId="2159"/>
    <cellStyle name="20% - Accent3 3 2 5 2 2" xfId="6199"/>
    <cellStyle name="20% - Accent3 3 2 5 3" xfId="6198"/>
    <cellStyle name="20% - Accent3 3 2 6" xfId="2160"/>
    <cellStyle name="20% - Accent3 3 2 6 2" xfId="2161"/>
    <cellStyle name="20% - Accent3 3 2 6 2 2" xfId="6201"/>
    <cellStyle name="20% - Accent3 3 2 6 3" xfId="6200"/>
    <cellStyle name="20% - Accent3 3 2 7" xfId="2162"/>
    <cellStyle name="20% - Accent3 3 2 7 2" xfId="2163"/>
    <cellStyle name="20% - Accent3 3 2 7 2 2" xfId="6203"/>
    <cellStyle name="20% - Accent3 3 2 7 3" xfId="6202"/>
    <cellStyle name="20% - Accent3 3 2 8" xfId="2164"/>
    <cellStyle name="20% - Accent3 3 2 8 2" xfId="6204"/>
    <cellStyle name="20% - Accent3 3 2 9" xfId="6191"/>
    <cellStyle name="20% - Accent3 3 3" xfId="2165"/>
    <cellStyle name="20% - Accent3 3 3 2" xfId="2166"/>
    <cellStyle name="20% - Accent3 3 3 2 2" xfId="2167"/>
    <cellStyle name="20% - Accent3 3 3 2 2 2" xfId="6207"/>
    <cellStyle name="20% - Accent3 3 3 2 3" xfId="6206"/>
    <cellStyle name="20% - Accent3 3 3 3" xfId="2168"/>
    <cellStyle name="20% - Accent3 3 3 3 2" xfId="2169"/>
    <cellStyle name="20% - Accent3 3 3 3 2 2" xfId="6209"/>
    <cellStyle name="20% - Accent3 3 3 3 3" xfId="6208"/>
    <cellStyle name="20% - Accent3 3 3 4" xfId="2170"/>
    <cellStyle name="20% - Accent3 3 3 4 2" xfId="2171"/>
    <cellStyle name="20% - Accent3 3 3 4 2 2" xfId="6211"/>
    <cellStyle name="20% - Accent3 3 3 4 3" xfId="6210"/>
    <cellStyle name="20% - Accent3 3 3 5" xfId="2172"/>
    <cellStyle name="20% - Accent3 3 3 5 2" xfId="2173"/>
    <cellStyle name="20% - Accent3 3 3 5 2 2" xfId="6213"/>
    <cellStyle name="20% - Accent3 3 3 5 3" xfId="6212"/>
    <cellStyle name="20% - Accent3 3 3 6" xfId="2174"/>
    <cellStyle name="20% - Accent3 3 3 6 2" xfId="2175"/>
    <cellStyle name="20% - Accent3 3 3 6 2 2" xfId="6215"/>
    <cellStyle name="20% - Accent3 3 3 6 3" xfId="6214"/>
    <cellStyle name="20% - Accent3 3 3 7" xfId="2176"/>
    <cellStyle name="20% - Accent3 3 3 7 2" xfId="2177"/>
    <cellStyle name="20% - Accent3 3 3 7 2 2" xfId="6217"/>
    <cellStyle name="20% - Accent3 3 3 7 3" xfId="6216"/>
    <cellStyle name="20% - Accent3 3 3 8" xfId="2178"/>
    <cellStyle name="20% - Accent3 3 3 8 2" xfId="6218"/>
    <cellStyle name="20% - Accent3 3 3 9" xfId="6205"/>
    <cellStyle name="20% - Accent3 3 4" xfId="2179"/>
    <cellStyle name="20% - Accent3 3 4 2" xfId="2180"/>
    <cellStyle name="20% - Accent3 3 4 2 2" xfId="6220"/>
    <cellStyle name="20% - Accent3 3 4 3" xfId="6219"/>
    <cellStyle name="20% - Accent3 3 5" xfId="2181"/>
    <cellStyle name="20% - Accent3 3 5 2" xfId="2182"/>
    <cellStyle name="20% - Accent3 3 5 2 2" xfId="6222"/>
    <cellStyle name="20% - Accent3 3 5 3" xfId="6221"/>
    <cellStyle name="20% - Accent3 3 6" xfId="2183"/>
    <cellStyle name="20% - Accent3 3 6 2" xfId="2184"/>
    <cellStyle name="20% - Accent3 3 6 2 2" xfId="6224"/>
    <cellStyle name="20% - Accent3 3 6 3" xfId="6223"/>
    <cellStyle name="20% - Accent3 3 7" xfId="2185"/>
    <cellStyle name="20% - Accent3 3 7 2" xfId="2186"/>
    <cellStyle name="20% - Accent3 3 7 2 2" xfId="6226"/>
    <cellStyle name="20% - Accent3 3 7 3" xfId="6225"/>
    <cellStyle name="20% - Accent3 3 8" xfId="2187"/>
    <cellStyle name="20% - Accent3 3 8 2" xfId="2188"/>
    <cellStyle name="20% - Accent3 3 8 2 2" xfId="6228"/>
    <cellStyle name="20% - Accent3 3 8 3" xfId="6227"/>
    <cellStyle name="20% - Accent3 3 9" xfId="2189"/>
    <cellStyle name="20% - Accent3 3 9 2" xfId="2190"/>
    <cellStyle name="20% - Accent3 3 9 2 2" xfId="6230"/>
    <cellStyle name="20% - Accent3 3 9 3" xfId="6229"/>
    <cellStyle name="20% - Accent3 30" xfId="2191"/>
    <cellStyle name="20% - Accent3 30 10" xfId="6231"/>
    <cellStyle name="20% - Accent3 30 2" xfId="2192"/>
    <cellStyle name="20% - Accent3 30 2 2" xfId="2193"/>
    <cellStyle name="20% - Accent3 30 2 2 2" xfId="6233"/>
    <cellStyle name="20% - Accent3 30 2 3" xfId="6232"/>
    <cellStyle name="20% - Accent3 30 3" xfId="2194"/>
    <cellStyle name="20% - Accent3 30 3 2" xfId="2195"/>
    <cellStyle name="20% - Accent3 30 3 2 2" xfId="6235"/>
    <cellStyle name="20% - Accent3 30 3 3" xfId="6234"/>
    <cellStyle name="20% - Accent3 30 4" xfId="2196"/>
    <cellStyle name="20% - Accent3 30 4 2" xfId="2197"/>
    <cellStyle name="20% - Accent3 30 4 2 2" xfId="6237"/>
    <cellStyle name="20% - Accent3 30 4 3" xfId="6236"/>
    <cellStyle name="20% - Accent3 30 5" xfId="2198"/>
    <cellStyle name="20% - Accent3 30 5 2" xfId="2199"/>
    <cellStyle name="20% - Accent3 30 5 2 2" xfId="6239"/>
    <cellStyle name="20% - Accent3 30 5 3" xfId="6238"/>
    <cellStyle name="20% - Accent3 30 6" xfId="2200"/>
    <cellStyle name="20% - Accent3 30 6 2" xfId="2201"/>
    <cellStyle name="20% - Accent3 30 6 2 2" xfId="6241"/>
    <cellStyle name="20% - Accent3 30 6 3" xfId="6240"/>
    <cellStyle name="20% - Accent3 30 7" xfId="2202"/>
    <cellStyle name="20% - Accent3 30 7 2" xfId="2203"/>
    <cellStyle name="20% - Accent3 30 7 2 2" xfId="6243"/>
    <cellStyle name="20% - Accent3 30 7 3" xfId="6242"/>
    <cellStyle name="20% - Accent3 30 8" xfId="2204"/>
    <cellStyle name="20% - Accent3 30 8 2" xfId="6244"/>
    <cellStyle name="20% - Accent3 30 9" xfId="16027"/>
    <cellStyle name="20% - Accent3 31" xfId="2205"/>
    <cellStyle name="20% - Accent3 31 10" xfId="6245"/>
    <cellStyle name="20% - Accent3 31 2" xfId="2206"/>
    <cellStyle name="20% - Accent3 31 2 2" xfId="2207"/>
    <cellStyle name="20% - Accent3 31 2 2 2" xfId="6247"/>
    <cellStyle name="20% - Accent3 31 2 3" xfId="6246"/>
    <cellStyle name="20% - Accent3 31 3" xfId="2208"/>
    <cellStyle name="20% - Accent3 31 3 2" xfId="2209"/>
    <cellStyle name="20% - Accent3 31 3 2 2" xfId="6249"/>
    <cellStyle name="20% - Accent3 31 3 3" xfId="6248"/>
    <cellStyle name="20% - Accent3 31 4" xfId="2210"/>
    <cellStyle name="20% - Accent3 31 4 2" xfId="2211"/>
    <cellStyle name="20% - Accent3 31 4 2 2" xfId="6251"/>
    <cellStyle name="20% - Accent3 31 4 3" xfId="6250"/>
    <cellStyle name="20% - Accent3 31 5" xfId="2212"/>
    <cellStyle name="20% - Accent3 31 5 2" xfId="2213"/>
    <cellStyle name="20% - Accent3 31 5 2 2" xfId="6253"/>
    <cellStyle name="20% - Accent3 31 5 3" xfId="6252"/>
    <cellStyle name="20% - Accent3 31 6" xfId="2214"/>
    <cellStyle name="20% - Accent3 31 6 2" xfId="2215"/>
    <cellStyle name="20% - Accent3 31 6 2 2" xfId="6255"/>
    <cellStyle name="20% - Accent3 31 6 3" xfId="6254"/>
    <cellStyle name="20% - Accent3 31 7" xfId="2216"/>
    <cellStyle name="20% - Accent3 31 7 2" xfId="2217"/>
    <cellStyle name="20% - Accent3 31 7 2 2" xfId="6257"/>
    <cellStyle name="20% - Accent3 31 7 3" xfId="6256"/>
    <cellStyle name="20% - Accent3 31 8" xfId="2218"/>
    <cellStyle name="20% - Accent3 31 8 2" xfId="6258"/>
    <cellStyle name="20% - Accent3 31 9" xfId="16957"/>
    <cellStyle name="20% - Accent3 32" xfId="2219"/>
    <cellStyle name="20% - Accent3 32 10" xfId="6259"/>
    <cellStyle name="20% - Accent3 32 2" xfId="2220"/>
    <cellStyle name="20% - Accent3 32 2 2" xfId="2221"/>
    <cellStyle name="20% - Accent3 32 2 2 2" xfId="6261"/>
    <cellStyle name="20% - Accent3 32 2 3" xfId="6260"/>
    <cellStyle name="20% - Accent3 32 3" xfId="2222"/>
    <cellStyle name="20% - Accent3 32 3 2" xfId="2223"/>
    <cellStyle name="20% - Accent3 32 3 2 2" xfId="6263"/>
    <cellStyle name="20% - Accent3 32 3 3" xfId="6262"/>
    <cellStyle name="20% - Accent3 32 4" xfId="2224"/>
    <cellStyle name="20% - Accent3 32 4 2" xfId="2225"/>
    <cellStyle name="20% - Accent3 32 4 2 2" xfId="6265"/>
    <cellStyle name="20% - Accent3 32 4 3" xfId="6264"/>
    <cellStyle name="20% - Accent3 32 5" xfId="2226"/>
    <cellStyle name="20% - Accent3 32 5 2" xfId="2227"/>
    <cellStyle name="20% - Accent3 32 5 2 2" xfId="6267"/>
    <cellStyle name="20% - Accent3 32 5 3" xfId="6266"/>
    <cellStyle name="20% - Accent3 32 6" xfId="2228"/>
    <cellStyle name="20% - Accent3 32 6 2" xfId="2229"/>
    <cellStyle name="20% - Accent3 32 6 2 2" xfId="6269"/>
    <cellStyle name="20% - Accent3 32 6 3" xfId="6268"/>
    <cellStyle name="20% - Accent3 32 7" xfId="2230"/>
    <cellStyle name="20% - Accent3 32 7 2" xfId="2231"/>
    <cellStyle name="20% - Accent3 32 7 2 2" xfId="6271"/>
    <cellStyle name="20% - Accent3 32 7 3" xfId="6270"/>
    <cellStyle name="20% - Accent3 32 8" xfId="2232"/>
    <cellStyle name="20% - Accent3 32 8 2" xfId="6272"/>
    <cellStyle name="20% - Accent3 32 9" xfId="17865"/>
    <cellStyle name="20% - Accent3 33" xfId="2233"/>
    <cellStyle name="20% - Accent3 33 2" xfId="2234"/>
    <cellStyle name="20% - Accent3 33 2 2" xfId="6274"/>
    <cellStyle name="20% - Accent3 33 3" xfId="18755"/>
    <cellStyle name="20% - Accent3 33 4" xfId="6273"/>
    <cellStyle name="20% - Accent3 34" xfId="2235"/>
    <cellStyle name="20% - Accent3 34 2" xfId="2236"/>
    <cellStyle name="20% - Accent3 34 2 2" xfId="6276"/>
    <cellStyle name="20% - Accent3 34 3" xfId="19553"/>
    <cellStyle name="20% - Accent3 34 4" xfId="6275"/>
    <cellStyle name="20% - Accent3 35" xfId="2237"/>
    <cellStyle name="20% - Accent3 35 2" xfId="2238"/>
    <cellStyle name="20% - Accent3 35 2 2" xfId="6278"/>
    <cellStyle name="20% - Accent3 35 3" xfId="20348"/>
    <cellStyle name="20% - Accent3 35 4" xfId="6277"/>
    <cellStyle name="20% - Accent3 36" xfId="2239"/>
    <cellStyle name="20% - Accent3 36 2" xfId="2240"/>
    <cellStyle name="20% - Accent3 36 2 2" xfId="6280"/>
    <cellStyle name="20% - Accent3 36 3" xfId="21330"/>
    <cellStyle name="20% - Accent3 36 4" xfId="6279"/>
    <cellStyle name="20% - Accent3 37" xfId="2241"/>
    <cellStyle name="20% - Accent3 37 2" xfId="2242"/>
    <cellStyle name="20% - Accent3 37 2 2" xfId="6282"/>
    <cellStyle name="20% - Accent3 37 3" xfId="22771"/>
    <cellStyle name="20% - Accent3 37 4" xfId="6281"/>
    <cellStyle name="20% - Accent3 38" xfId="2243"/>
    <cellStyle name="20% - Accent3 38 2" xfId="2244"/>
    <cellStyle name="20% - Accent3 38 2 2" xfId="6284"/>
    <cellStyle name="20% - Accent3 38 3" xfId="26404"/>
    <cellStyle name="20% - Accent3 38 4" xfId="6283"/>
    <cellStyle name="20% - Accent3 39" xfId="2245"/>
    <cellStyle name="20% - Accent3 39 2" xfId="29075"/>
    <cellStyle name="20% - Accent3 39 3" xfId="6285"/>
    <cellStyle name="20% - Accent3 4" xfId="2246"/>
    <cellStyle name="20% - Accent3 4 10" xfId="2247"/>
    <cellStyle name="20% - Accent3 4 10 2" xfId="6287"/>
    <cellStyle name="20% - Accent3 4 11" xfId="8919"/>
    <cellStyle name="20% - Accent3 4 12" xfId="6286"/>
    <cellStyle name="20% - Accent3 4 2" xfId="2248"/>
    <cellStyle name="20% - Accent3 4 2 2" xfId="2249"/>
    <cellStyle name="20% - Accent3 4 2 2 2" xfId="2250"/>
    <cellStyle name="20% - Accent3 4 2 2 2 2" xfId="6290"/>
    <cellStyle name="20% - Accent3 4 2 2 3" xfId="6289"/>
    <cellStyle name="20% - Accent3 4 2 3" xfId="2251"/>
    <cellStyle name="20% - Accent3 4 2 3 2" xfId="2252"/>
    <cellStyle name="20% - Accent3 4 2 3 2 2" xfId="6292"/>
    <cellStyle name="20% - Accent3 4 2 3 3" xfId="6291"/>
    <cellStyle name="20% - Accent3 4 2 4" xfId="2253"/>
    <cellStyle name="20% - Accent3 4 2 4 2" xfId="2254"/>
    <cellStyle name="20% - Accent3 4 2 4 2 2" xfId="6294"/>
    <cellStyle name="20% - Accent3 4 2 4 3" xfId="6293"/>
    <cellStyle name="20% - Accent3 4 2 5" xfId="2255"/>
    <cellStyle name="20% - Accent3 4 2 5 2" xfId="2256"/>
    <cellStyle name="20% - Accent3 4 2 5 2 2" xfId="6296"/>
    <cellStyle name="20% - Accent3 4 2 5 3" xfId="6295"/>
    <cellStyle name="20% - Accent3 4 2 6" xfId="2257"/>
    <cellStyle name="20% - Accent3 4 2 6 2" xfId="2258"/>
    <cellStyle name="20% - Accent3 4 2 6 2 2" xfId="6298"/>
    <cellStyle name="20% - Accent3 4 2 6 3" xfId="6297"/>
    <cellStyle name="20% - Accent3 4 2 7" xfId="2259"/>
    <cellStyle name="20% - Accent3 4 2 7 2" xfId="2260"/>
    <cellStyle name="20% - Accent3 4 2 7 2 2" xfId="6300"/>
    <cellStyle name="20% - Accent3 4 2 7 3" xfId="6299"/>
    <cellStyle name="20% - Accent3 4 2 8" xfId="2261"/>
    <cellStyle name="20% - Accent3 4 2 8 2" xfId="6301"/>
    <cellStyle name="20% - Accent3 4 2 9" xfId="6288"/>
    <cellStyle name="20% - Accent3 4 3" xfId="2262"/>
    <cellStyle name="20% - Accent3 4 3 2" xfId="2263"/>
    <cellStyle name="20% - Accent3 4 3 2 2" xfId="2264"/>
    <cellStyle name="20% - Accent3 4 3 2 2 2" xfId="6304"/>
    <cellStyle name="20% - Accent3 4 3 2 3" xfId="6303"/>
    <cellStyle name="20% - Accent3 4 3 3" xfId="2265"/>
    <cellStyle name="20% - Accent3 4 3 3 2" xfId="2266"/>
    <cellStyle name="20% - Accent3 4 3 3 2 2" xfId="6306"/>
    <cellStyle name="20% - Accent3 4 3 3 3" xfId="6305"/>
    <cellStyle name="20% - Accent3 4 3 4" xfId="2267"/>
    <cellStyle name="20% - Accent3 4 3 4 2" xfId="2268"/>
    <cellStyle name="20% - Accent3 4 3 4 2 2" xfId="6308"/>
    <cellStyle name="20% - Accent3 4 3 4 3" xfId="6307"/>
    <cellStyle name="20% - Accent3 4 3 5" xfId="2269"/>
    <cellStyle name="20% - Accent3 4 3 5 2" xfId="2270"/>
    <cellStyle name="20% - Accent3 4 3 5 2 2" xfId="6310"/>
    <cellStyle name="20% - Accent3 4 3 5 3" xfId="6309"/>
    <cellStyle name="20% - Accent3 4 3 6" xfId="2271"/>
    <cellStyle name="20% - Accent3 4 3 6 2" xfId="2272"/>
    <cellStyle name="20% - Accent3 4 3 6 2 2" xfId="6312"/>
    <cellStyle name="20% - Accent3 4 3 6 3" xfId="6311"/>
    <cellStyle name="20% - Accent3 4 3 7" xfId="2273"/>
    <cellStyle name="20% - Accent3 4 3 7 2" xfId="2274"/>
    <cellStyle name="20% - Accent3 4 3 7 2 2" xfId="6314"/>
    <cellStyle name="20% - Accent3 4 3 7 3" xfId="6313"/>
    <cellStyle name="20% - Accent3 4 3 8" xfId="2275"/>
    <cellStyle name="20% - Accent3 4 3 8 2" xfId="6315"/>
    <cellStyle name="20% - Accent3 4 3 9" xfId="6302"/>
    <cellStyle name="20% - Accent3 4 4" xfId="2276"/>
    <cellStyle name="20% - Accent3 4 4 2" xfId="2277"/>
    <cellStyle name="20% - Accent3 4 4 2 2" xfId="6317"/>
    <cellStyle name="20% - Accent3 4 4 3" xfId="6316"/>
    <cellStyle name="20% - Accent3 4 5" xfId="2278"/>
    <cellStyle name="20% - Accent3 4 5 2" xfId="2279"/>
    <cellStyle name="20% - Accent3 4 5 2 2" xfId="6319"/>
    <cellStyle name="20% - Accent3 4 5 3" xfId="6318"/>
    <cellStyle name="20% - Accent3 4 6" xfId="2280"/>
    <cellStyle name="20% - Accent3 4 6 2" xfId="2281"/>
    <cellStyle name="20% - Accent3 4 6 2 2" xfId="6321"/>
    <cellStyle name="20% - Accent3 4 6 3" xfId="6320"/>
    <cellStyle name="20% - Accent3 4 7" xfId="2282"/>
    <cellStyle name="20% - Accent3 4 7 2" xfId="2283"/>
    <cellStyle name="20% - Accent3 4 7 2 2" xfId="6323"/>
    <cellStyle name="20% - Accent3 4 7 3" xfId="6322"/>
    <cellStyle name="20% - Accent3 4 8" xfId="2284"/>
    <cellStyle name="20% - Accent3 4 8 2" xfId="2285"/>
    <cellStyle name="20% - Accent3 4 8 2 2" xfId="6325"/>
    <cellStyle name="20% - Accent3 4 8 3" xfId="6324"/>
    <cellStyle name="20% - Accent3 4 9" xfId="2286"/>
    <cellStyle name="20% - Accent3 4 9 2" xfId="2287"/>
    <cellStyle name="20% - Accent3 4 9 2 2" xfId="6327"/>
    <cellStyle name="20% - Accent3 4 9 3" xfId="6326"/>
    <cellStyle name="20% - Accent3 40" xfId="2288"/>
    <cellStyle name="20% - Accent3 40 2" xfId="30860"/>
    <cellStyle name="20% - Accent3 40 3" xfId="6328"/>
    <cellStyle name="20% - Accent3 41" xfId="2289"/>
    <cellStyle name="20% - Accent3 41 2" xfId="32632"/>
    <cellStyle name="20% - Accent3 41 3" xfId="6329"/>
    <cellStyle name="20% - Accent3 42" xfId="2290"/>
    <cellStyle name="20% - Accent3 42 2" xfId="34373"/>
    <cellStyle name="20% - Accent3 42 3" xfId="6330"/>
    <cellStyle name="20% - Accent3 43" xfId="2291"/>
    <cellStyle name="20% - Accent3 43 2" xfId="36061"/>
    <cellStyle name="20% - Accent3 43 3" xfId="6331"/>
    <cellStyle name="20% - Accent3 44" xfId="2292"/>
    <cellStyle name="20% - Accent3 44 2" xfId="37678"/>
    <cellStyle name="20% - Accent3 44 3" xfId="6332"/>
    <cellStyle name="20% - Accent3 45" xfId="2293"/>
    <cellStyle name="20% - Accent3 45 2" xfId="39196"/>
    <cellStyle name="20% - Accent3 45 3" xfId="6333"/>
    <cellStyle name="20% - Accent3 46" xfId="2294"/>
    <cellStyle name="20% - Accent3 46 2" xfId="40575"/>
    <cellStyle name="20% - Accent3 46 3" xfId="6334"/>
    <cellStyle name="20% - Accent3 47" xfId="2295"/>
    <cellStyle name="20% - Accent3 47 2" xfId="42575"/>
    <cellStyle name="20% - Accent3 47 3" xfId="6335"/>
    <cellStyle name="20% - Accent3 48" xfId="2296"/>
    <cellStyle name="20% - Accent3 48 2" xfId="42701"/>
    <cellStyle name="20% - Accent3 48 3" xfId="6336"/>
    <cellStyle name="20% - Accent3 49" xfId="2297"/>
    <cellStyle name="20% - Accent3 49 2" xfId="42745"/>
    <cellStyle name="20% - Accent3 49 3" xfId="6337"/>
    <cellStyle name="20% - Accent3 5" xfId="2298"/>
    <cellStyle name="20% - Accent3 5 10" xfId="2299"/>
    <cellStyle name="20% - Accent3 5 10 2" xfId="6339"/>
    <cellStyle name="20% - Accent3 5 11" xfId="8997"/>
    <cellStyle name="20% - Accent3 5 12" xfId="6338"/>
    <cellStyle name="20% - Accent3 5 2" xfId="2300"/>
    <cellStyle name="20% - Accent3 5 2 2" xfId="2301"/>
    <cellStyle name="20% - Accent3 5 2 2 2" xfId="2302"/>
    <cellStyle name="20% - Accent3 5 2 2 2 2" xfId="6342"/>
    <cellStyle name="20% - Accent3 5 2 2 3" xfId="6341"/>
    <cellStyle name="20% - Accent3 5 2 3" xfId="2303"/>
    <cellStyle name="20% - Accent3 5 2 3 2" xfId="2304"/>
    <cellStyle name="20% - Accent3 5 2 3 2 2" xfId="6344"/>
    <cellStyle name="20% - Accent3 5 2 3 3" xfId="6343"/>
    <cellStyle name="20% - Accent3 5 2 4" xfId="2305"/>
    <cellStyle name="20% - Accent3 5 2 4 2" xfId="2306"/>
    <cellStyle name="20% - Accent3 5 2 4 2 2" xfId="6346"/>
    <cellStyle name="20% - Accent3 5 2 4 3" xfId="6345"/>
    <cellStyle name="20% - Accent3 5 2 5" xfId="2307"/>
    <cellStyle name="20% - Accent3 5 2 5 2" xfId="2308"/>
    <cellStyle name="20% - Accent3 5 2 5 2 2" xfId="6348"/>
    <cellStyle name="20% - Accent3 5 2 5 3" xfId="6347"/>
    <cellStyle name="20% - Accent3 5 2 6" xfId="2309"/>
    <cellStyle name="20% - Accent3 5 2 6 2" xfId="2310"/>
    <cellStyle name="20% - Accent3 5 2 6 2 2" xfId="6350"/>
    <cellStyle name="20% - Accent3 5 2 6 3" xfId="6349"/>
    <cellStyle name="20% - Accent3 5 2 7" xfId="2311"/>
    <cellStyle name="20% - Accent3 5 2 7 2" xfId="2312"/>
    <cellStyle name="20% - Accent3 5 2 7 2 2" xfId="6352"/>
    <cellStyle name="20% - Accent3 5 2 7 3" xfId="6351"/>
    <cellStyle name="20% - Accent3 5 2 8" xfId="2313"/>
    <cellStyle name="20% - Accent3 5 2 8 2" xfId="6353"/>
    <cellStyle name="20% - Accent3 5 2 9" xfId="6340"/>
    <cellStyle name="20% - Accent3 5 3" xfId="2314"/>
    <cellStyle name="20% - Accent3 5 3 2" xfId="2315"/>
    <cellStyle name="20% - Accent3 5 3 2 2" xfId="2316"/>
    <cellStyle name="20% - Accent3 5 3 2 2 2" xfId="6356"/>
    <cellStyle name="20% - Accent3 5 3 2 3" xfId="6355"/>
    <cellStyle name="20% - Accent3 5 3 3" xfId="2317"/>
    <cellStyle name="20% - Accent3 5 3 3 2" xfId="2318"/>
    <cellStyle name="20% - Accent3 5 3 3 2 2" xfId="6358"/>
    <cellStyle name="20% - Accent3 5 3 3 3" xfId="6357"/>
    <cellStyle name="20% - Accent3 5 3 4" xfId="2319"/>
    <cellStyle name="20% - Accent3 5 3 4 2" xfId="2320"/>
    <cellStyle name="20% - Accent3 5 3 4 2 2" xfId="6360"/>
    <cellStyle name="20% - Accent3 5 3 4 3" xfId="6359"/>
    <cellStyle name="20% - Accent3 5 3 5" xfId="2321"/>
    <cellStyle name="20% - Accent3 5 3 5 2" xfId="2322"/>
    <cellStyle name="20% - Accent3 5 3 5 2 2" xfId="6362"/>
    <cellStyle name="20% - Accent3 5 3 5 3" xfId="6361"/>
    <cellStyle name="20% - Accent3 5 3 6" xfId="2323"/>
    <cellStyle name="20% - Accent3 5 3 6 2" xfId="2324"/>
    <cellStyle name="20% - Accent3 5 3 6 2 2" xfId="6364"/>
    <cellStyle name="20% - Accent3 5 3 6 3" xfId="6363"/>
    <cellStyle name="20% - Accent3 5 3 7" xfId="2325"/>
    <cellStyle name="20% - Accent3 5 3 7 2" xfId="2326"/>
    <cellStyle name="20% - Accent3 5 3 7 2 2" xfId="6366"/>
    <cellStyle name="20% - Accent3 5 3 7 3" xfId="6365"/>
    <cellStyle name="20% - Accent3 5 3 8" xfId="2327"/>
    <cellStyle name="20% - Accent3 5 3 8 2" xfId="6367"/>
    <cellStyle name="20% - Accent3 5 3 9" xfId="6354"/>
    <cellStyle name="20% - Accent3 5 4" xfId="2328"/>
    <cellStyle name="20% - Accent3 5 4 2" xfId="2329"/>
    <cellStyle name="20% - Accent3 5 4 2 2" xfId="6369"/>
    <cellStyle name="20% - Accent3 5 4 3" xfId="6368"/>
    <cellStyle name="20% - Accent3 5 5" xfId="2330"/>
    <cellStyle name="20% - Accent3 5 5 2" xfId="2331"/>
    <cellStyle name="20% - Accent3 5 5 2 2" xfId="6371"/>
    <cellStyle name="20% - Accent3 5 5 3" xfId="6370"/>
    <cellStyle name="20% - Accent3 5 6" xfId="2332"/>
    <cellStyle name="20% - Accent3 5 6 2" xfId="2333"/>
    <cellStyle name="20% - Accent3 5 6 2 2" xfId="6373"/>
    <cellStyle name="20% - Accent3 5 6 3" xfId="6372"/>
    <cellStyle name="20% - Accent3 5 7" xfId="2334"/>
    <cellStyle name="20% - Accent3 5 7 2" xfId="2335"/>
    <cellStyle name="20% - Accent3 5 7 2 2" xfId="6375"/>
    <cellStyle name="20% - Accent3 5 7 3" xfId="6374"/>
    <cellStyle name="20% - Accent3 5 8" xfId="2336"/>
    <cellStyle name="20% - Accent3 5 8 2" xfId="2337"/>
    <cellStyle name="20% - Accent3 5 8 2 2" xfId="6377"/>
    <cellStyle name="20% - Accent3 5 8 3" xfId="6376"/>
    <cellStyle name="20% - Accent3 5 9" xfId="2338"/>
    <cellStyle name="20% - Accent3 5 9 2" xfId="2339"/>
    <cellStyle name="20% - Accent3 5 9 2 2" xfId="6379"/>
    <cellStyle name="20% - Accent3 5 9 3" xfId="6378"/>
    <cellStyle name="20% - Accent3 50" xfId="2340"/>
    <cellStyle name="20% - Accent3 50 2" xfId="42787"/>
    <cellStyle name="20% - Accent3 50 3" xfId="6380"/>
    <cellStyle name="20% - Accent3 51" xfId="2341"/>
    <cellStyle name="20% - Accent3 51 2" xfId="42828"/>
    <cellStyle name="20% - Accent3 51 3" xfId="6381"/>
    <cellStyle name="20% - Accent3 52" xfId="2342"/>
    <cellStyle name="20% - Accent3 52 2" xfId="42869"/>
    <cellStyle name="20% - Accent3 52 3" xfId="6382"/>
    <cellStyle name="20% - Accent3 53" xfId="2343"/>
    <cellStyle name="20% - Accent3 53 2" xfId="42909"/>
    <cellStyle name="20% - Accent3 53 3" xfId="6383"/>
    <cellStyle name="20% - Accent3 54" xfId="2344"/>
    <cellStyle name="20% - Accent3 54 2" xfId="42949"/>
    <cellStyle name="20% - Accent3 54 3" xfId="6384"/>
    <cellStyle name="20% - Accent3 55" xfId="2345"/>
    <cellStyle name="20% - Accent3 55 2" xfId="42986"/>
    <cellStyle name="20% - Accent3 55 3" xfId="6385"/>
    <cellStyle name="20% - Accent3 56" xfId="2346"/>
    <cellStyle name="20% - Accent3 56 2" xfId="43023"/>
    <cellStyle name="20% - Accent3 56 3" xfId="6386"/>
    <cellStyle name="20% - Accent3 57" xfId="2347"/>
    <cellStyle name="20% - Accent3 57 2" xfId="43057"/>
    <cellStyle name="20% - Accent3 57 3" xfId="6387"/>
    <cellStyle name="20% - Accent3 58" xfId="2348"/>
    <cellStyle name="20% - Accent3 58 2" xfId="43089"/>
    <cellStyle name="20% - Accent3 58 3" xfId="6388"/>
    <cellStyle name="20% - Accent3 59" xfId="2349"/>
    <cellStyle name="20% - Accent3 59 2" xfId="43112"/>
    <cellStyle name="20% - Accent3 59 3" xfId="6389"/>
    <cellStyle name="20% - Accent3 6" xfId="2350"/>
    <cellStyle name="20% - Accent3 6 10" xfId="2351"/>
    <cellStyle name="20% - Accent3 6 10 2" xfId="6391"/>
    <cellStyle name="20% - Accent3 6 11" xfId="9070"/>
    <cellStyle name="20% - Accent3 6 12" xfId="6390"/>
    <cellStyle name="20% - Accent3 6 2" xfId="2352"/>
    <cellStyle name="20% - Accent3 6 2 2" xfId="2353"/>
    <cellStyle name="20% - Accent3 6 2 2 2" xfId="2354"/>
    <cellStyle name="20% - Accent3 6 2 2 2 2" xfId="6394"/>
    <cellStyle name="20% - Accent3 6 2 2 3" xfId="6393"/>
    <cellStyle name="20% - Accent3 6 2 3" xfId="2355"/>
    <cellStyle name="20% - Accent3 6 2 3 2" xfId="2356"/>
    <cellStyle name="20% - Accent3 6 2 3 2 2" xfId="6396"/>
    <cellStyle name="20% - Accent3 6 2 3 3" xfId="6395"/>
    <cellStyle name="20% - Accent3 6 2 4" xfId="2357"/>
    <cellStyle name="20% - Accent3 6 2 4 2" xfId="2358"/>
    <cellStyle name="20% - Accent3 6 2 4 2 2" xfId="6398"/>
    <cellStyle name="20% - Accent3 6 2 4 3" xfId="6397"/>
    <cellStyle name="20% - Accent3 6 2 5" xfId="2359"/>
    <cellStyle name="20% - Accent3 6 2 5 2" xfId="2360"/>
    <cellStyle name="20% - Accent3 6 2 5 2 2" xfId="6400"/>
    <cellStyle name="20% - Accent3 6 2 5 3" xfId="6399"/>
    <cellStyle name="20% - Accent3 6 2 6" xfId="2361"/>
    <cellStyle name="20% - Accent3 6 2 6 2" xfId="2362"/>
    <cellStyle name="20% - Accent3 6 2 6 2 2" xfId="6402"/>
    <cellStyle name="20% - Accent3 6 2 6 3" xfId="6401"/>
    <cellStyle name="20% - Accent3 6 2 7" xfId="2363"/>
    <cellStyle name="20% - Accent3 6 2 7 2" xfId="2364"/>
    <cellStyle name="20% - Accent3 6 2 7 2 2" xfId="6404"/>
    <cellStyle name="20% - Accent3 6 2 7 3" xfId="6403"/>
    <cellStyle name="20% - Accent3 6 2 8" xfId="2365"/>
    <cellStyle name="20% - Accent3 6 2 8 2" xfId="6405"/>
    <cellStyle name="20% - Accent3 6 2 9" xfId="6392"/>
    <cellStyle name="20% - Accent3 6 3" xfId="2366"/>
    <cellStyle name="20% - Accent3 6 3 2" xfId="2367"/>
    <cellStyle name="20% - Accent3 6 3 2 2" xfId="2368"/>
    <cellStyle name="20% - Accent3 6 3 2 2 2" xfId="6408"/>
    <cellStyle name="20% - Accent3 6 3 2 3" xfId="6407"/>
    <cellStyle name="20% - Accent3 6 3 3" xfId="2369"/>
    <cellStyle name="20% - Accent3 6 3 3 2" xfId="2370"/>
    <cellStyle name="20% - Accent3 6 3 3 2 2" xfId="6410"/>
    <cellStyle name="20% - Accent3 6 3 3 3" xfId="6409"/>
    <cellStyle name="20% - Accent3 6 3 4" xfId="2371"/>
    <cellStyle name="20% - Accent3 6 3 4 2" xfId="2372"/>
    <cellStyle name="20% - Accent3 6 3 4 2 2" xfId="6412"/>
    <cellStyle name="20% - Accent3 6 3 4 3" xfId="6411"/>
    <cellStyle name="20% - Accent3 6 3 5" xfId="2373"/>
    <cellStyle name="20% - Accent3 6 3 5 2" xfId="2374"/>
    <cellStyle name="20% - Accent3 6 3 5 2 2" xfId="6414"/>
    <cellStyle name="20% - Accent3 6 3 5 3" xfId="6413"/>
    <cellStyle name="20% - Accent3 6 3 6" xfId="2375"/>
    <cellStyle name="20% - Accent3 6 3 6 2" xfId="2376"/>
    <cellStyle name="20% - Accent3 6 3 6 2 2" xfId="6416"/>
    <cellStyle name="20% - Accent3 6 3 6 3" xfId="6415"/>
    <cellStyle name="20% - Accent3 6 3 7" xfId="2377"/>
    <cellStyle name="20% - Accent3 6 3 7 2" xfId="2378"/>
    <cellStyle name="20% - Accent3 6 3 7 2 2" xfId="6418"/>
    <cellStyle name="20% - Accent3 6 3 7 3" xfId="6417"/>
    <cellStyle name="20% - Accent3 6 3 8" xfId="2379"/>
    <cellStyle name="20% - Accent3 6 3 8 2" xfId="6419"/>
    <cellStyle name="20% - Accent3 6 3 9" xfId="6406"/>
    <cellStyle name="20% - Accent3 6 4" xfId="2380"/>
    <cellStyle name="20% - Accent3 6 4 2" xfId="2381"/>
    <cellStyle name="20% - Accent3 6 4 2 2" xfId="6421"/>
    <cellStyle name="20% - Accent3 6 4 3" xfId="6420"/>
    <cellStyle name="20% - Accent3 6 5" xfId="2382"/>
    <cellStyle name="20% - Accent3 6 5 2" xfId="2383"/>
    <cellStyle name="20% - Accent3 6 5 2 2" xfId="6423"/>
    <cellStyle name="20% - Accent3 6 5 3" xfId="6422"/>
    <cellStyle name="20% - Accent3 6 6" xfId="2384"/>
    <cellStyle name="20% - Accent3 6 6 2" xfId="2385"/>
    <cellStyle name="20% - Accent3 6 6 2 2" xfId="6425"/>
    <cellStyle name="20% - Accent3 6 6 3" xfId="6424"/>
    <cellStyle name="20% - Accent3 6 7" xfId="2386"/>
    <cellStyle name="20% - Accent3 6 7 2" xfId="2387"/>
    <cellStyle name="20% - Accent3 6 7 2 2" xfId="6427"/>
    <cellStyle name="20% - Accent3 6 7 3" xfId="6426"/>
    <cellStyle name="20% - Accent3 6 8" xfId="2388"/>
    <cellStyle name="20% - Accent3 6 8 2" xfId="2389"/>
    <cellStyle name="20% - Accent3 6 8 2 2" xfId="6429"/>
    <cellStyle name="20% - Accent3 6 8 3" xfId="6428"/>
    <cellStyle name="20% - Accent3 6 9" xfId="2390"/>
    <cellStyle name="20% - Accent3 6 9 2" xfId="2391"/>
    <cellStyle name="20% - Accent3 6 9 2 2" xfId="6431"/>
    <cellStyle name="20% - Accent3 6 9 3" xfId="6430"/>
    <cellStyle name="20% - Accent3 60" xfId="2392"/>
    <cellStyle name="20% - Accent3 60 2" xfId="43126"/>
    <cellStyle name="20% - Accent3 60 3" xfId="6432"/>
    <cellStyle name="20% - Accent3 61" xfId="2393"/>
    <cellStyle name="20% - Accent3 61 2" xfId="43198"/>
    <cellStyle name="20% - Accent3 61 3" xfId="6433"/>
    <cellStyle name="20% - Accent3 62" xfId="2394"/>
    <cellStyle name="20% - Accent3 62 2" xfId="8614"/>
    <cellStyle name="20% - Accent3 62 3" xfId="6434"/>
    <cellStyle name="20% - Accent3 63" xfId="2395"/>
    <cellStyle name="20% - Accent3 63 2" xfId="6435"/>
    <cellStyle name="20% - Accent3 64" xfId="2396"/>
    <cellStyle name="20% - Accent3 64 2" xfId="6436"/>
    <cellStyle name="20% - Accent3 65" xfId="2397"/>
    <cellStyle name="20% - Accent3 65 2" xfId="6437"/>
    <cellStyle name="20% - Accent3 66" xfId="2398"/>
    <cellStyle name="20% - Accent3 66 2" xfId="6438"/>
    <cellStyle name="20% - Accent3 67" xfId="2399"/>
    <cellStyle name="20% - Accent3 67 2" xfId="6439"/>
    <cellStyle name="20% - Accent3 68" xfId="2400"/>
    <cellStyle name="20% - Accent3 68 2" xfId="6440"/>
    <cellStyle name="20% - Accent3 69" xfId="2401"/>
    <cellStyle name="20% - Accent3 69 2" xfId="6441"/>
    <cellStyle name="20% - Accent3 7" xfId="2402"/>
    <cellStyle name="20% - Accent3 7 10" xfId="2403"/>
    <cellStyle name="20% - Accent3 7 10 2" xfId="6443"/>
    <cellStyle name="20% - Accent3 7 11" xfId="9127"/>
    <cellStyle name="20% - Accent3 7 12" xfId="6442"/>
    <cellStyle name="20% - Accent3 7 2" xfId="2404"/>
    <cellStyle name="20% - Accent3 7 2 2" xfId="2405"/>
    <cellStyle name="20% - Accent3 7 2 2 2" xfId="2406"/>
    <cellStyle name="20% - Accent3 7 2 2 2 2" xfId="6446"/>
    <cellStyle name="20% - Accent3 7 2 2 3" xfId="6445"/>
    <cellStyle name="20% - Accent3 7 2 3" xfId="2407"/>
    <cellStyle name="20% - Accent3 7 2 3 2" xfId="2408"/>
    <cellStyle name="20% - Accent3 7 2 3 2 2" xfId="6448"/>
    <cellStyle name="20% - Accent3 7 2 3 3" xfId="6447"/>
    <cellStyle name="20% - Accent3 7 2 4" xfId="2409"/>
    <cellStyle name="20% - Accent3 7 2 4 2" xfId="2410"/>
    <cellStyle name="20% - Accent3 7 2 4 2 2" xfId="6450"/>
    <cellStyle name="20% - Accent3 7 2 4 3" xfId="6449"/>
    <cellStyle name="20% - Accent3 7 2 5" xfId="2411"/>
    <cellStyle name="20% - Accent3 7 2 5 2" xfId="2412"/>
    <cellStyle name="20% - Accent3 7 2 5 2 2" xfId="6452"/>
    <cellStyle name="20% - Accent3 7 2 5 3" xfId="6451"/>
    <cellStyle name="20% - Accent3 7 2 6" xfId="2413"/>
    <cellStyle name="20% - Accent3 7 2 6 2" xfId="2414"/>
    <cellStyle name="20% - Accent3 7 2 6 2 2" xfId="6454"/>
    <cellStyle name="20% - Accent3 7 2 6 3" xfId="6453"/>
    <cellStyle name="20% - Accent3 7 2 7" xfId="2415"/>
    <cellStyle name="20% - Accent3 7 2 7 2" xfId="2416"/>
    <cellStyle name="20% - Accent3 7 2 7 2 2" xfId="6456"/>
    <cellStyle name="20% - Accent3 7 2 7 3" xfId="6455"/>
    <cellStyle name="20% - Accent3 7 2 8" xfId="2417"/>
    <cellStyle name="20% - Accent3 7 2 8 2" xfId="6457"/>
    <cellStyle name="20% - Accent3 7 2 9" xfId="6444"/>
    <cellStyle name="20% - Accent3 7 3" xfId="2418"/>
    <cellStyle name="20% - Accent3 7 3 2" xfId="2419"/>
    <cellStyle name="20% - Accent3 7 3 2 2" xfId="2420"/>
    <cellStyle name="20% - Accent3 7 3 2 2 2" xfId="6460"/>
    <cellStyle name="20% - Accent3 7 3 2 3" xfId="6459"/>
    <cellStyle name="20% - Accent3 7 3 3" xfId="2421"/>
    <cellStyle name="20% - Accent3 7 3 3 2" xfId="2422"/>
    <cellStyle name="20% - Accent3 7 3 3 2 2" xfId="6462"/>
    <cellStyle name="20% - Accent3 7 3 3 3" xfId="6461"/>
    <cellStyle name="20% - Accent3 7 3 4" xfId="2423"/>
    <cellStyle name="20% - Accent3 7 3 4 2" xfId="2424"/>
    <cellStyle name="20% - Accent3 7 3 4 2 2" xfId="6464"/>
    <cellStyle name="20% - Accent3 7 3 4 3" xfId="6463"/>
    <cellStyle name="20% - Accent3 7 3 5" xfId="2425"/>
    <cellStyle name="20% - Accent3 7 3 5 2" xfId="2426"/>
    <cellStyle name="20% - Accent3 7 3 5 2 2" xfId="6466"/>
    <cellStyle name="20% - Accent3 7 3 5 3" xfId="6465"/>
    <cellStyle name="20% - Accent3 7 3 6" xfId="2427"/>
    <cellStyle name="20% - Accent3 7 3 6 2" xfId="2428"/>
    <cellStyle name="20% - Accent3 7 3 6 2 2" xfId="6468"/>
    <cellStyle name="20% - Accent3 7 3 6 3" xfId="6467"/>
    <cellStyle name="20% - Accent3 7 3 7" xfId="2429"/>
    <cellStyle name="20% - Accent3 7 3 7 2" xfId="2430"/>
    <cellStyle name="20% - Accent3 7 3 7 2 2" xfId="6470"/>
    <cellStyle name="20% - Accent3 7 3 7 3" xfId="6469"/>
    <cellStyle name="20% - Accent3 7 3 8" xfId="2431"/>
    <cellStyle name="20% - Accent3 7 3 8 2" xfId="6471"/>
    <cellStyle name="20% - Accent3 7 3 9" xfId="6458"/>
    <cellStyle name="20% - Accent3 7 4" xfId="2432"/>
    <cellStyle name="20% - Accent3 7 4 2" xfId="2433"/>
    <cellStyle name="20% - Accent3 7 4 2 2" xfId="6473"/>
    <cellStyle name="20% - Accent3 7 4 3" xfId="6472"/>
    <cellStyle name="20% - Accent3 7 5" xfId="2434"/>
    <cellStyle name="20% - Accent3 7 5 2" xfId="2435"/>
    <cellStyle name="20% - Accent3 7 5 2 2" xfId="6475"/>
    <cellStyle name="20% - Accent3 7 5 3" xfId="6474"/>
    <cellStyle name="20% - Accent3 7 6" xfId="2436"/>
    <cellStyle name="20% - Accent3 7 6 2" xfId="2437"/>
    <cellStyle name="20% - Accent3 7 6 2 2" xfId="6477"/>
    <cellStyle name="20% - Accent3 7 6 3" xfId="6476"/>
    <cellStyle name="20% - Accent3 7 7" xfId="2438"/>
    <cellStyle name="20% - Accent3 7 7 2" xfId="2439"/>
    <cellStyle name="20% - Accent3 7 7 2 2" xfId="6479"/>
    <cellStyle name="20% - Accent3 7 7 3" xfId="6478"/>
    <cellStyle name="20% - Accent3 7 8" xfId="2440"/>
    <cellStyle name="20% - Accent3 7 8 2" xfId="2441"/>
    <cellStyle name="20% - Accent3 7 8 2 2" xfId="6481"/>
    <cellStyle name="20% - Accent3 7 8 3" xfId="6480"/>
    <cellStyle name="20% - Accent3 7 9" xfId="2442"/>
    <cellStyle name="20% - Accent3 7 9 2" xfId="2443"/>
    <cellStyle name="20% - Accent3 7 9 2 2" xfId="6483"/>
    <cellStyle name="20% - Accent3 7 9 3" xfId="6482"/>
    <cellStyle name="20% - Accent3 70" xfId="2444"/>
    <cellStyle name="20% - Accent3 70 2" xfId="6484"/>
    <cellStyle name="20% - Accent3 71" xfId="2445"/>
    <cellStyle name="20% - Accent3 71 2" xfId="6485"/>
    <cellStyle name="20% - Accent3 72" xfId="2446"/>
    <cellStyle name="20% - Accent3 72 2" xfId="6486"/>
    <cellStyle name="20% - Accent3 73" xfId="2447"/>
    <cellStyle name="20% - Accent3 73 2" xfId="6487"/>
    <cellStyle name="20% - Accent3 74" xfId="2448"/>
    <cellStyle name="20% - Accent3 74 2" xfId="6488"/>
    <cellStyle name="20% - Accent3 75" xfId="2449"/>
    <cellStyle name="20% - Accent3 75 2" xfId="6489"/>
    <cellStyle name="20% - Accent3 76" xfId="2450"/>
    <cellStyle name="20% - Accent3 76 2" xfId="6490"/>
    <cellStyle name="20% - Accent3 77" xfId="2451"/>
    <cellStyle name="20% - Accent3 77 2" xfId="6491"/>
    <cellStyle name="20% - Accent3 78" xfId="2452"/>
    <cellStyle name="20% - Accent3 78 2" xfId="6492"/>
    <cellStyle name="20% - Accent3 79" xfId="2453"/>
    <cellStyle name="20% - Accent3 79 2" xfId="6493"/>
    <cellStyle name="20% - Accent3 8" xfId="2454"/>
    <cellStyle name="20% - Accent3 8 10" xfId="2455"/>
    <cellStyle name="20% - Accent3 8 10 2" xfId="6495"/>
    <cellStyle name="20% - Accent3 8 11" xfId="9243"/>
    <cellStyle name="20% - Accent3 8 12" xfId="6494"/>
    <cellStyle name="20% - Accent3 8 2" xfId="2456"/>
    <cellStyle name="20% - Accent3 8 2 2" xfId="2457"/>
    <cellStyle name="20% - Accent3 8 2 2 2" xfId="2458"/>
    <cellStyle name="20% - Accent3 8 2 2 2 2" xfId="6498"/>
    <cellStyle name="20% - Accent3 8 2 2 3" xfId="6497"/>
    <cellStyle name="20% - Accent3 8 2 3" xfId="2459"/>
    <cellStyle name="20% - Accent3 8 2 3 2" xfId="2460"/>
    <cellStyle name="20% - Accent3 8 2 3 2 2" xfId="6500"/>
    <cellStyle name="20% - Accent3 8 2 3 3" xfId="6499"/>
    <cellStyle name="20% - Accent3 8 2 4" xfId="2461"/>
    <cellStyle name="20% - Accent3 8 2 4 2" xfId="2462"/>
    <cellStyle name="20% - Accent3 8 2 4 2 2" xfId="6502"/>
    <cellStyle name="20% - Accent3 8 2 4 3" xfId="6501"/>
    <cellStyle name="20% - Accent3 8 2 5" xfId="2463"/>
    <cellStyle name="20% - Accent3 8 2 5 2" xfId="2464"/>
    <cellStyle name="20% - Accent3 8 2 5 2 2" xfId="6504"/>
    <cellStyle name="20% - Accent3 8 2 5 3" xfId="6503"/>
    <cellStyle name="20% - Accent3 8 2 6" xfId="2465"/>
    <cellStyle name="20% - Accent3 8 2 6 2" xfId="2466"/>
    <cellStyle name="20% - Accent3 8 2 6 2 2" xfId="6506"/>
    <cellStyle name="20% - Accent3 8 2 6 3" xfId="6505"/>
    <cellStyle name="20% - Accent3 8 2 7" xfId="2467"/>
    <cellStyle name="20% - Accent3 8 2 7 2" xfId="2468"/>
    <cellStyle name="20% - Accent3 8 2 7 2 2" xfId="6508"/>
    <cellStyle name="20% - Accent3 8 2 7 3" xfId="6507"/>
    <cellStyle name="20% - Accent3 8 2 8" xfId="2469"/>
    <cellStyle name="20% - Accent3 8 2 8 2" xfId="6509"/>
    <cellStyle name="20% - Accent3 8 2 9" xfId="6496"/>
    <cellStyle name="20% - Accent3 8 3" xfId="2470"/>
    <cellStyle name="20% - Accent3 8 3 2" xfId="2471"/>
    <cellStyle name="20% - Accent3 8 3 2 2" xfId="2472"/>
    <cellStyle name="20% - Accent3 8 3 2 2 2" xfId="6512"/>
    <cellStyle name="20% - Accent3 8 3 2 3" xfId="6511"/>
    <cellStyle name="20% - Accent3 8 3 3" xfId="2473"/>
    <cellStyle name="20% - Accent3 8 3 3 2" xfId="2474"/>
    <cellStyle name="20% - Accent3 8 3 3 2 2" xfId="6514"/>
    <cellStyle name="20% - Accent3 8 3 3 3" xfId="6513"/>
    <cellStyle name="20% - Accent3 8 3 4" xfId="2475"/>
    <cellStyle name="20% - Accent3 8 3 4 2" xfId="2476"/>
    <cellStyle name="20% - Accent3 8 3 4 2 2" xfId="6516"/>
    <cellStyle name="20% - Accent3 8 3 4 3" xfId="6515"/>
    <cellStyle name="20% - Accent3 8 3 5" xfId="2477"/>
    <cellStyle name="20% - Accent3 8 3 5 2" xfId="2478"/>
    <cellStyle name="20% - Accent3 8 3 5 2 2" xfId="6518"/>
    <cellStyle name="20% - Accent3 8 3 5 3" xfId="6517"/>
    <cellStyle name="20% - Accent3 8 3 6" xfId="2479"/>
    <cellStyle name="20% - Accent3 8 3 6 2" xfId="2480"/>
    <cellStyle name="20% - Accent3 8 3 6 2 2" xfId="6520"/>
    <cellStyle name="20% - Accent3 8 3 6 3" xfId="6519"/>
    <cellStyle name="20% - Accent3 8 3 7" xfId="2481"/>
    <cellStyle name="20% - Accent3 8 3 7 2" xfId="2482"/>
    <cellStyle name="20% - Accent3 8 3 7 2 2" xfId="6522"/>
    <cellStyle name="20% - Accent3 8 3 7 3" xfId="6521"/>
    <cellStyle name="20% - Accent3 8 3 8" xfId="2483"/>
    <cellStyle name="20% - Accent3 8 3 8 2" xfId="6523"/>
    <cellStyle name="20% - Accent3 8 3 9" xfId="6510"/>
    <cellStyle name="20% - Accent3 8 4" xfId="2484"/>
    <cellStyle name="20% - Accent3 8 4 2" xfId="2485"/>
    <cellStyle name="20% - Accent3 8 4 2 2" xfId="6525"/>
    <cellStyle name="20% - Accent3 8 4 3" xfId="6524"/>
    <cellStyle name="20% - Accent3 8 5" xfId="2486"/>
    <cellStyle name="20% - Accent3 8 5 2" xfId="2487"/>
    <cellStyle name="20% - Accent3 8 5 2 2" xfId="6527"/>
    <cellStyle name="20% - Accent3 8 5 3" xfId="6526"/>
    <cellStyle name="20% - Accent3 8 6" xfId="2488"/>
    <cellStyle name="20% - Accent3 8 6 2" xfId="2489"/>
    <cellStyle name="20% - Accent3 8 6 2 2" xfId="6529"/>
    <cellStyle name="20% - Accent3 8 6 3" xfId="6528"/>
    <cellStyle name="20% - Accent3 8 7" xfId="2490"/>
    <cellStyle name="20% - Accent3 8 7 2" xfId="2491"/>
    <cellStyle name="20% - Accent3 8 7 2 2" xfId="6531"/>
    <cellStyle name="20% - Accent3 8 7 3" xfId="6530"/>
    <cellStyle name="20% - Accent3 8 8" xfId="2492"/>
    <cellStyle name="20% - Accent3 8 8 2" xfId="2493"/>
    <cellStyle name="20% - Accent3 8 8 2 2" xfId="6533"/>
    <cellStyle name="20% - Accent3 8 8 3" xfId="6532"/>
    <cellStyle name="20% - Accent3 8 9" xfId="2494"/>
    <cellStyle name="20% - Accent3 8 9 2" xfId="2495"/>
    <cellStyle name="20% - Accent3 8 9 2 2" xfId="6535"/>
    <cellStyle name="20% - Accent3 8 9 3" xfId="6534"/>
    <cellStyle name="20% - Accent3 80" xfId="2496"/>
    <cellStyle name="20% - Accent3 80 2" xfId="6536"/>
    <cellStyle name="20% - Accent3 81" xfId="2497"/>
    <cellStyle name="20% - Accent3 81 2" xfId="6537"/>
    <cellStyle name="20% - Accent3 82" xfId="2498"/>
    <cellStyle name="20% - Accent3 82 2" xfId="6538"/>
    <cellStyle name="20% - Accent3 83" xfId="2499"/>
    <cellStyle name="20% - Accent3 83 2" xfId="6539"/>
    <cellStyle name="20% - Accent3 84" xfId="2500"/>
    <cellStyle name="20% - Accent3 84 2" xfId="6540"/>
    <cellStyle name="20% - Accent3 85" xfId="2501"/>
    <cellStyle name="20% - Accent3 85 2" xfId="6541"/>
    <cellStyle name="20% - Accent3 86" xfId="2502"/>
    <cellStyle name="20% - Accent3 86 2" xfId="6542"/>
    <cellStyle name="20% - Accent3 87" xfId="2503"/>
    <cellStyle name="20% - Accent3 87 2" xfId="6543"/>
    <cellStyle name="20% - Accent3 88" xfId="2504"/>
    <cellStyle name="20% - Accent3 88 2" xfId="6544"/>
    <cellStyle name="20% - Accent3 89" xfId="2505"/>
    <cellStyle name="20% - Accent3 89 2" xfId="6545"/>
    <cellStyle name="20% - Accent3 9" xfId="2506"/>
    <cellStyle name="20% - Accent3 9 10" xfId="2507"/>
    <cellStyle name="20% - Accent3 9 10 2" xfId="6547"/>
    <cellStyle name="20% - Accent3 9 11" xfId="9751"/>
    <cellStyle name="20% - Accent3 9 12" xfId="6546"/>
    <cellStyle name="20% - Accent3 9 2" xfId="2508"/>
    <cellStyle name="20% - Accent3 9 2 2" xfId="2509"/>
    <cellStyle name="20% - Accent3 9 2 2 2" xfId="2510"/>
    <cellStyle name="20% - Accent3 9 2 2 2 2" xfId="6550"/>
    <cellStyle name="20% - Accent3 9 2 2 3" xfId="6549"/>
    <cellStyle name="20% - Accent3 9 2 3" xfId="2511"/>
    <cellStyle name="20% - Accent3 9 2 3 2" xfId="2512"/>
    <cellStyle name="20% - Accent3 9 2 3 2 2" xfId="6552"/>
    <cellStyle name="20% - Accent3 9 2 3 3" xfId="6551"/>
    <cellStyle name="20% - Accent3 9 2 4" xfId="2513"/>
    <cellStyle name="20% - Accent3 9 2 4 2" xfId="2514"/>
    <cellStyle name="20% - Accent3 9 2 4 2 2" xfId="6554"/>
    <cellStyle name="20% - Accent3 9 2 4 3" xfId="6553"/>
    <cellStyle name="20% - Accent3 9 2 5" xfId="2515"/>
    <cellStyle name="20% - Accent3 9 2 5 2" xfId="2516"/>
    <cellStyle name="20% - Accent3 9 2 5 2 2" xfId="6556"/>
    <cellStyle name="20% - Accent3 9 2 5 3" xfId="6555"/>
    <cellStyle name="20% - Accent3 9 2 6" xfId="2517"/>
    <cellStyle name="20% - Accent3 9 2 6 2" xfId="2518"/>
    <cellStyle name="20% - Accent3 9 2 6 2 2" xfId="6558"/>
    <cellStyle name="20% - Accent3 9 2 6 3" xfId="6557"/>
    <cellStyle name="20% - Accent3 9 2 7" xfId="2519"/>
    <cellStyle name="20% - Accent3 9 2 7 2" xfId="2520"/>
    <cellStyle name="20% - Accent3 9 2 7 2 2" xfId="6560"/>
    <cellStyle name="20% - Accent3 9 2 7 3" xfId="6559"/>
    <cellStyle name="20% - Accent3 9 2 8" xfId="2521"/>
    <cellStyle name="20% - Accent3 9 2 8 2" xfId="6561"/>
    <cellStyle name="20% - Accent3 9 2 9" xfId="6548"/>
    <cellStyle name="20% - Accent3 9 3" xfId="2522"/>
    <cellStyle name="20% - Accent3 9 3 2" xfId="2523"/>
    <cellStyle name="20% - Accent3 9 3 2 2" xfId="2524"/>
    <cellStyle name="20% - Accent3 9 3 2 2 2" xfId="6564"/>
    <cellStyle name="20% - Accent3 9 3 2 3" xfId="6563"/>
    <cellStyle name="20% - Accent3 9 3 3" xfId="2525"/>
    <cellStyle name="20% - Accent3 9 3 3 2" xfId="2526"/>
    <cellStyle name="20% - Accent3 9 3 3 2 2" xfId="6566"/>
    <cellStyle name="20% - Accent3 9 3 3 3" xfId="6565"/>
    <cellStyle name="20% - Accent3 9 3 4" xfId="2527"/>
    <cellStyle name="20% - Accent3 9 3 4 2" xfId="2528"/>
    <cellStyle name="20% - Accent3 9 3 4 2 2" xfId="6568"/>
    <cellStyle name="20% - Accent3 9 3 4 3" xfId="6567"/>
    <cellStyle name="20% - Accent3 9 3 5" xfId="2529"/>
    <cellStyle name="20% - Accent3 9 3 5 2" xfId="2530"/>
    <cellStyle name="20% - Accent3 9 3 5 2 2" xfId="6570"/>
    <cellStyle name="20% - Accent3 9 3 5 3" xfId="6569"/>
    <cellStyle name="20% - Accent3 9 3 6" xfId="2531"/>
    <cellStyle name="20% - Accent3 9 3 6 2" xfId="2532"/>
    <cellStyle name="20% - Accent3 9 3 6 2 2" xfId="6572"/>
    <cellStyle name="20% - Accent3 9 3 6 3" xfId="6571"/>
    <cellStyle name="20% - Accent3 9 3 7" xfId="2533"/>
    <cellStyle name="20% - Accent3 9 3 7 2" xfId="2534"/>
    <cellStyle name="20% - Accent3 9 3 7 2 2" xfId="6574"/>
    <cellStyle name="20% - Accent3 9 3 7 3" xfId="6573"/>
    <cellStyle name="20% - Accent3 9 3 8" xfId="2535"/>
    <cellStyle name="20% - Accent3 9 3 8 2" xfId="6575"/>
    <cellStyle name="20% - Accent3 9 3 9" xfId="6562"/>
    <cellStyle name="20% - Accent3 9 4" xfId="2536"/>
    <cellStyle name="20% - Accent3 9 4 2" xfId="2537"/>
    <cellStyle name="20% - Accent3 9 4 2 2" xfId="6577"/>
    <cellStyle name="20% - Accent3 9 4 3" xfId="6576"/>
    <cellStyle name="20% - Accent3 9 5" xfId="2538"/>
    <cellStyle name="20% - Accent3 9 5 2" xfId="2539"/>
    <cellStyle name="20% - Accent3 9 5 2 2" xfId="6579"/>
    <cellStyle name="20% - Accent3 9 5 3" xfId="6578"/>
    <cellStyle name="20% - Accent3 9 6" xfId="2540"/>
    <cellStyle name="20% - Accent3 9 6 2" xfId="2541"/>
    <cellStyle name="20% - Accent3 9 6 2 2" xfId="6581"/>
    <cellStyle name="20% - Accent3 9 6 3" xfId="6580"/>
    <cellStyle name="20% - Accent3 9 7" xfId="2542"/>
    <cellStyle name="20% - Accent3 9 7 2" xfId="2543"/>
    <cellStyle name="20% - Accent3 9 7 2 2" xfId="6583"/>
    <cellStyle name="20% - Accent3 9 7 3" xfId="6582"/>
    <cellStyle name="20% - Accent3 9 8" xfId="2544"/>
    <cellStyle name="20% - Accent3 9 8 2" xfId="2545"/>
    <cellStyle name="20% - Accent3 9 8 2 2" xfId="6585"/>
    <cellStyle name="20% - Accent3 9 8 3" xfId="6584"/>
    <cellStyle name="20% - Accent3 9 9" xfId="2546"/>
    <cellStyle name="20% - Accent3 9 9 2" xfId="2547"/>
    <cellStyle name="20% - Accent3 9 9 2 2" xfId="6587"/>
    <cellStyle name="20% - Accent3 9 9 3" xfId="6586"/>
    <cellStyle name="20% - Accent3 90" xfId="2548"/>
    <cellStyle name="20% - Accent3 90 2" xfId="6588"/>
    <cellStyle name="20% - Accent3 91" xfId="3945"/>
    <cellStyle name="20% - Accent3 92" xfId="5782"/>
    <cellStyle name="20% - Accent3 93" xfId="1742"/>
    <cellStyle name="20% - Accent4" xfId="32" builtinId="42" customBuiltin="1"/>
    <cellStyle name="20% - Accent4 10" xfId="2550"/>
    <cellStyle name="20% - Accent4 10 10" xfId="2551"/>
    <cellStyle name="20% - Accent4 10 10 2" xfId="6591"/>
    <cellStyle name="20% - Accent4 10 11" xfId="9836"/>
    <cellStyle name="20% - Accent4 10 12" xfId="6590"/>
    <cellStyle name="20% - Accent4 10 2" xfId="2552"/>
    <cellStyle name="20% - Accent4 10 2 2" xfId="2553"/>
    <cellStyle name="20% - Accent4 10 2 2 2" xfId="2554"/>
    <cellStyle name="20% - Accent4 10 2 2 2 2" xfId="6594"/>
    <cellStyle name="20% - Accent4 10 2 2 3" xfId="6593"/>
    <cellStyle name="20% - Accent4 10 2 3" xfId="2555"/>
    <cellStyle name="20% - Accent4 10 2 3 2" xfId="2556"/>
    <cellStyle name="20% - Accent4 10 2 3 2 2" xfId="6596"/>
    <cellStyle name="20% - Accent4 10 2 3 3" xfId="6595"/>
    <cellStyle name="20% - Accent4 10 2 4" xfId="2557"/>
    <cellStyle name="20% - Accent4 10 2 4 2" xfId="2558"/>
    <cellStyle name="20% - Accent4 10 2 4 2 2" xfId="6598"/>
    <cellStyle name="20% - Accent4 10 2 4 3" xfId="6597"/>
    <cellStyle name="20% - Accent4 10 2 5" xfId="2559"/>
    <cellStyle name="20% - Accent4 10 2 5 2" xfId="2560"/>
    <cellStyle name="20% - Accent4 10 2 5 2 2" xfId="6600"/>
    <cellStyle name="20% - Accent4 10 2 5 3" xfId="6599"/>
    <cellStyle name="20% - Accent4 10 2 6" xfId="2561"/>
    <cellStyle name="20% - Accent4 10 2 6 2" xfId="2562"/>
    <cellStyle name="20% - Accent4 10 2 6 2 2" xfId="6602"/>
    <cellStyle name="20% - Accent4 10 2 6 3" xfId="6601"/>
    <cellStyle name="20% - Accent4 10 2 7" xfId="2563"/>
    <cellStyle name="20% - Accent4 10 2 7 2" xfId="2564"/>
    <cellStyle name="20% - Accent4 10 2 7 2 2" xfId="6604"/>
    <cellStyle name="20% - Accent4 10 2 7 3" xfId="6603"/>
    <cellStyle name="20% - Accent4 10 2 8" xfId="2565"/>
    <cellStyle name="20% - Accent4 10 2 8 2" xfId="6605"/>
    <cellStyle name="20% - Accent4 10 2 9" xfId="6592"/>
    <cellStyle name="20% - Accent4 10 3" xfId="2566"/>
    <cellStyle name="20% - Accent4 10 3 2" xfId="2567"/>
    <cellStyle name="20% - Accent4 10 3 2 2" xfId="2568"/>
    <cellStyle name="20% - Accent4 10 3 2 2 2" xfId="6608"/>
    <cellStyle name="20% - Accent4 10 3 2 3" xfId="6607"/>
    <cellStyle name="20% - Accent4 10 3 3" xfId="2569"/>
    <cellStyle name="20% - Accent4 10 3 3 2" xfId="2570"/>
    <cellStyle name="20% - Accent4 10 3 3 2 2" xfId="6610"/>
    <cellStyle name="20% - Accent4 10 3 3 3" xfId="6609"/>
    <cellStyle name="20% - Accent4 10 3 4" xfId="2571"/>
    <cellStyle name="20% - Accent4 10 3 4 2" xfId="2572"/>
    <cellStyle name="20% - Accent4 10 3 4 2 2" xfId="6612"/>
    <cellStyle name="20% - Accent4 10 3 4 3" xfId="6611"/>
    <cellStyle name="20% - Accent4 10 3 5" xfId="2573"/>
    <cellStyle name="20% - Accent4 10 3 5 2" xfId="2574"/>
    <cellStyle name="20% - Accent4 10 3 5 2 2" xfId="6614"/>
    <cellStyle name="20% - Accent4 10 3 5 3" xfId="6613"/>
    <cellStyle name="20% - Accent4 10 3 6" xfId="2575"/>
    <cellStyle name="20% - Accent4 10 3 6 2" xfId="2576"/>
    <cellStyle name="20% - Accent4 10 3 6 2 2" xfId="6616"/>
    <cellStyle name="20% - Accent4 10 3 6 3" xfId="6615"/>
    <cellStyle name="20% - Accent4 10 3 7" xfId="2577"/>
    <cellStyle name="20% - Accent4 10 3 7 2" xfId="2578"/>
    <cellStyle name="20% - Accent4 10 3 7 2 2" xfId="6618"/>
    <cellStyle name="20% - Accent4 10 3 7 3" xfId="6617"/>
    <cellStyle name="20% - Accent4 10 3 8" xfId="2579"/>
    <cellStyle name="20% - Accent4 10 3 8 2" xfId="6619"/>
    <cellStyle name="20% - Accent4 10 3 9" xfId="6606"/>
    <cellStyle name="20% - Accent4 10 4" xfId="2580"/>
    <cellStyle name="20% - Accent4 10 4 2" xfId="2581"/>
    <cellStyle name="20% - Accent4 10 4 2 2" xfId="6621"/>
    <cellStyle name="20% - Accent4 10 4 3" xfId="6620"/>
    <cellStyle name="20% - Accent4 10 5" xfId="2582"/>
    <cellStyle name="20% - Accent4 10 5 2" xfId="2583"/>
    <cellStyle name="20% - Accent4 10 5 2 2" xfId="6623"/>
    <cellStyle name="20% - Accent4 10 5 3" xfId="6622"/>
    <cellStyle name="20% - Accent4 10 6" xfId="2584"/>
    <cellStyle name="20% - Accent4 10 6 2" xfId="2585"/>
    <cellStyle name="20% - Accent4 10 6 2 2" xfId="6625"/>
    <cellStyle name="20% - Accent4 10 6 3" xfId="6624"/>
    <cellStyle name="20% - Accent4 10 7" xfId="2586"/>
    <cellStyle name="20% - Accent4 10 7 2" xfId="2587"/>
    <cellStyle name="20% - Accent4 10 7 2 2" xfId="6627"/>
    <cellStyle name="20% - Accent4 10 7 3" xfId="6626"/>
    <cellStyle name="20% - Accent4 10 8" xfId="2588"/>
    <cellStyle name="20% - Accent4 10 8 2" xfId="2589"/>
    <cellStyle name="20% - Accent4 10 8 2 2" xfId="6629"/>
    <cellStyle name="20% - Accent4 10 8 3" xfId="6628"/>
    <cellStyle name="20% - Accent4 10 9" xfId="2590"/>
    <cellStyle name="20% - Accent4 10 9 2" xfId="2591"/>
    <cellStyle name="20% - Accent4 10 9 2 2" xfId="6631"/>
    <cellStyle name="20% - Accent4 10 9 3" xfId="6630"/>
    <cellStyle name="20% - Accent4 11" xfId="2592"/>
    <cellStyle name="20% - Accent4 11 10" xfId="2593"/>
    <cellStyle name="20% - Accent4 11 10 2" xfId="37975"/>
    <cellStyle name="20% - Accent4 11 10 3" xfId="6633"/>
    <cellStyle name="20% - Accent4 11 11" xfId="39444"/>
    <cellStyle name="20% - Accent4 11 12" xfId="9917"/>
    <cellStyle name="20% - Accent4 11 13" xfId="6632"/>
    <cellStyle name="20% - Accent4 11 2" xfId="2594"/>
    <cellStyle name="20% - Accent4 11 2 10" xfId="6634"/>
    <cellStyle name="20% - Accent4 11 2 2" xfId="2595"/>
    <cellStyle name="20% - Accent4 11 2 2 2" xfId="2596"/>
    <cellStyle name="20% - Accent4 11 2 2 2 2" xfId="6636"/>
    <cellStyle name="20% - Accent4 11 2 2 3" xfId="6635"/>
    <cellStyle name="20% - Accent4 11 2 3" xfId="2597"/>
    <cellStyle name="20% - Accent4 11 2 3 2" xfId="2598"/>
    <cellStyle name="20% - Accent4 11 2 3 2 2" xfId="6638"/>
    <cellStyle name="20% - Accent4 11 2 3 3" xfId="6637"/>
    <cellStyle name="20% - Accent4 11 2 4" xfId="2599"/>
    <cellStyle name="20% - Accent4 11 2 4 2" xfId="2600"/>
    <cellStyle name="20% - Accent4 11 2 4 2 2" xfId="6640"/>
    <cellStyle name="20% - Accent4 11 2 4 3" xfId="6639"/>
    <cellStyle name="20% - Accent4 11 2 5" xfId="2601"/>
    <cellStyle name="20% - Accent4 11 2 5 2" xfId="2602"/>
    <cellStyle name="20% - Accent4 11 2 5 2 2" xfId="6642"/>
    <cellStyle name="20% - Accent4 11 2 5 3" xfId="6641"/>
    <cellStyle name="20% - Accent4 11 2 6" xfId="2603"/>
    <cellStyle name="20% - Accent4 11 2 6 2" xfId="2604"/>
    <cellStyle name="20% - Accent4 11 2 6 2 2" xfId="6644"/>
    <cellStyle name="20% - Accent4 11 2 6 3" xfId="6643"/>
    <cellStyle name="20% - Accent4 11 2 7" xfId="2605"/>
    <cellStyle name="20% - Accent4 11 2 7 2" xfId="2606"/>
    <cellStyle name="20% - Accent4 11 2 7 2 2" xfId="6646"/>
    <cellStyle name="20% - Accent4 11 2 7 3" xfId="6645"/>
    <cellStyle name="20% - Accent4 11 2 8" xfId="2607"/>
    <cellStyle name="20% - Accent4 11 2 8 2" xfId="6647"/>
    <cellStyle name="20% - Accent4 11 2 9" xfId="23713"/>
    <cellStyle name="20% - Accent4 11 3" xfId="2608"/>
    <cellStyle name="20% - Accent4 11 3 10" xfId="6648"/>
    <cellStyle name="20% - Accent4 11 3 2" xfId="2609"/>
    <cellStyle name="20% - Accent4 11 3 2 2" xfId="2610"/>
    <cellStyle name="20% - Accent4 11 3 2 2 2" xfId="6650"/>
    <cellStyle name="20% - Accent4 11 3 2 3" xfId="6649"/>
    <cellStyle name="20% - Accent4 11 3 3" xfId="2611"/>
    <cellStyle name="20% - Accent4 11 3 3 2" xfId="2612"/>
    <cellStyle name="20% - Accent4 11 3 3 2 2" xfId="6652"/>
    <cellStyle name="20% - Accent4 11 3 3 3" xfId="6651"/>
    <cellStyle name="20% - Accent4 11 3 4" xfId="2613"/>
    <cellStyle name="20% - Accent4 11 3 4 2" xfId="2614"/>
    <cellStyle name="20% - Accent4 11 3 4 2 2" xfId="6654"/>
    <cellStyle name="20% - Accent4 11 3 4 3" xfId="6653"/>
    <cellStyle name="20% - Accent4 11 3 5" xfId="2615"/>
    <cellStyle name="20% - Accent4 11 3 5 2" xfId="2616"/>
    <cellStyle name="20% - Accent4 11 3 5 2 2" xfId="6656"/>
    <cellStyle name="20% - Accent4 11 3 5 3" xfId="6655"/>
    <cellStyle name="20% - Accent4 11 3 6" xfId="2617"/>
    <cellStyle name="20% - Accent4 11 3 6 2" xfId="2618"/>
    <cellStyle name="20% - Accent4 11 3 6 2 2" xfId="6658"/>
    <cellStyle name="20% - Accent4 11 3 6 3" xfId="6657"/>
    <cellStyle name="20% - Accent4 11 3 7" xfId="2619"/>
    <cellStyle name="20% - Accent4 11 3 7 2" xfId="2620"/>
    <cellStyle name="20% - Accent4 11 3 7 2 2" xfId="6660"/>
    <cellStyle name="20% - Accent4 11 3 7 3" xfId="6659"/>
    <cellStyle name="20% - Accent4 11 3 8" xfId="2621"/>
    <cellStyle name="20% - Accent4 11 3 8 2" xfId="6661"/>
    <cellStyle name="20% - Accent4 11 3 9" xfId="27133"/>
    <cellStyle name="20% - Accent4 11 4" xfId="2622"/>
    <cellStyle name="20% - Accent4 11 4 2" xfId="2623"/>
    <cellStyle name="20% - Accent4 11 4 2 2" xfId="6663"/>
    <cellStyle name="20% - Accent4 11 4 3" xfId="23252"/>
    <cellStyle name="20% - Accent4 11 4 4" xfId="6662"/>
    <cellStyle name="20% - Accent4 11 5" xfId="2624"/>
    <cellStyle name="20% - Accent4 11 5 2" xfId="2625"/>
    <cellStyle name="20% - Accent4 11 5 2 2" xfId="6665"/>
    <cellStyle name="20% - Accent4 11 5 3" xfId="29468"/>
    <cellStyle name="20% - Accent4 11 5 4" xfId="6664"/>
    <cellStyle name="20% - Accent4 11 6" xfId="2626"/>
    <cellStyle name="20% - Accent4 11 6 2" xfId="2627"/>
    <cellStyle name="20% - Accent4 11 6 2 2" xfId="6667"/>
    <cellStyle name="20% - Accent4 11 6 3" xfId="31245"/>
    <cellStyle name="20% - Accent4 11 6 4" xfId="6666"/>
    <cellStyle name="20% - Accent4 11 7" xfId="2628"/>
    <cellStyle name="20% - Accent4 11 7 2" xfId="2629"/>
    <cellStyle name="20% - Accent4 11 7 2 2" xfId="6669"/>
    <cellStyle name="20% - Accent4 11 7 3" xfId="33010"/>
    <cellStyle name="20% - Accent4 11 7 4" xfId="6668"/>
    <cellStyle name="20% - Accent4 11 8" xfId="2630"/>
    <cellStyle name="20% - Accent4 11 8 2" xfId="2631"/>
    <cellStyle name="20% - Accent4 11 8 2 2" xfId="6671"/>
    <cellStyle name="20% - Accent4 11 8 3" xfId="34731"/>
    <cellStyle name="20% - Accent4 11 8 4" xfId="6670"/>
    <cellStyle name="20% - Accent4 11 9" xfId="2632"/>
    <cellStyle name="20% - Accent4 11 9 2" xfId="2633"/>
    <cellStyle name="20% - Accent4 11 9 2 2" xfId="6673"/>
    <cellStyle name="20% - Accent4 11 9 3" xfId="36391"/>
    <cellStyle name="20% - Accent4 11 9 4" xfId="6672"/>
    <cellStyle name="20% - Accent4 12" xfId="2634"/>
    <cellStyle name="20% - Accent4 12 10" xfId="2635"/>
    <cellStyle name="20% - Accent4 12 10 2" xfId="38571"/>
    <cellStyle name="20% - Accent4 12 10 3" xfId="6675"/>
    <cellStyle name="20% - Accent4 12 11" xfId="40009"/>
    <cellStyle name="20% - Accent4 12 12" xfId="9996"/>
    <cellStyle name="20% - Accent4 12 13" xfId="6674"/>
    <cellStyle name="20% - Accent4 12 2" xfId="2636"/>
    <cellStyle name="20% - Accent4 12 2 10" xfId="6676"/>
    <cellStyle name="20% - Accent4 12 2 2" xfId="2637"/>
    <cellStyle name="20% - Accent4 12 2 2 2" xfId="2638"/>
    <cellStyle name="20% - Accent4 12 2 2 2 2" xfId="6678"/>
    <cellStyle name="20% - Accent4 12 2 2 3" xfId="6677"/>
    <cellStyle name="20% - Accent4 12 2 3" xfId="2639"/>
    <cellStyle name="20% - Accent4 12 2 3 2" xfId="2640"/>
    <cellStyle name="20% - Accent4 12 2 3 2 2" xfId="6680"/>
    <cellStyle name="20% - Accent4 12 2 3 3" xfId="6679"/>
    <cellStyle name="20% - Accent4 12 2 4" xfId="2641"/>
    <cellStyle name="20% - Accent4 12 2 4 2" xfId="2642"/>
    <cellStyle name="20% - Accent4 12 2 4 2 2" xfId="6682"/>
    <cellStyle name="20% - Accent4 12 2 4 3" xfId="6681"/>
    <cellStyle name="20% - Accent4 12 2 5" xfId="2643"/>
    <cellStyle name="20% - Accent4 12 2 5 2" xfId="2644"/>
    <cellStyle name="20% - Accent4 12 2 5 2 2" xfId="6684"/>
    <cellStyle name="20% - Accent4 12 2 5 3" xfId="6683"/>
    <cellStyle name="20% - Accent4 12 2 6" xfId="2645"/>
    <cellStyle name="20% - Accent4 12 2 6 2" xfId="2646"/>
    <cellStyle name="20% - Accent4 12 2 6 2 2" xfId="6686"/>
    <cellStyle name="20% - Accent4 12 2 6 3" xfId="6685"/>
    <cellStyle name="20% - Accent4 12 2 7" xfId="2647"/>
    <cellStyle name="20% - Accent4 12 2 7 2" xfId="2648"/>
    <cellStyle name="20% - Accent4 12 2 7 2 2" xfId="6688"/>
    <cellStyle name="20% - Accent4 12 2 7 3" xfId="6687"/>
    <cellStyle name="20% - Accent4 12 2 8" xfId="2649"/>
    <cellStyle name="20% - Accent4 12 2 8 2" xfId="6689"/>
    <cellStyle name="20% - Accent4 12 2 9" xfId="24866"/>
    <cellStyle name="20% - Accent4 12 3" xfId="2650"/>
    <cellStyle name="20% - Accent4 12 3 10" xfId="6690"/>
    <cellStyle name="20% - Accent4 12 3 2" xfId="2651"/>
    <cellStyle name="20% - Accent4 12 3 2 2" xfId="2652"/>
    <cellStyle name="20% - Accent4 12 3 2 2 2" xfId="6692"/>
    <cellStyle name="20% - Accent4 12 3 2 3" xfId="6691"/>
    <cellStyle name="20% - Accent4 12 3 3" xfId="2653"/>
    <cellStyle name="20% - Accent4 12 3 3 2" xfId="2654"/>
    <cellStyle name="20% - Accent4 12 3 3 2 2" xfId="6694"/>
    <cellStyle name="20% - Accent4 12 3 3 3" xfId="6693"/>
    <cellStyle name="20% - Accent4 12 3 4" xfId="2655"/>
    <cellStyle name="20% - Accent4 12 3 4 2" xfId="2656"/>
    <cellStyle name="20% - Accent4 12 3 4 2 2" xfId="6696"/>
    <cellStyle name="20% - Accent4 12 3 4 3" xfId="6695"/>
    <cellStyle name="20% - Accent4 12 3 5" xfId="2657"/>
    <cellStyle name="20% - Accent4 12 3 5 2" xfId="2658"/>
    <cellStyle name="20% - Accent4 12 3 5 2 2" xfId="6698"/>
    <cellStyle name="20% - Accent4 12 3 5 3" xfId="6697"/>
    <cellStyle name="20% - Accent4 12 3 6" xfId="2659"/>
    <cellStyle name="20% - Accent4 12 3 6 2" xfId="2660"/>
    <cellStyle name="20% - Accent4 12 3 6 2 2" xfId="6700"/>
    <cellStyle name="20% - Accent4 12 3 6 3" xfId="6699"/>
    <cellStyle name="20% - Accent4 12 3 7" xfId="2661"/>
    <cellStyle name="20% - Accent4 12 3 7 2" xfId="2662"/>
    <cellStyle name="20% - Accent4 12 3 7 2 2" xfId="6702"/>
    <cellStyle name="20% - Accent4 12 3 7 3" xfId="6701"/>
    <cellStyle name="20% - Accent4 12 3 8" xfId="2663"/>
    <cellStyle name="20% - Accent4 12 3 8 2" xfId="6703"/>
    <cellStyle name="20% - Accent4 12 3 9" xfId="28254"/>
    <cellStyle name="20% - Accent4 12 4" xfId="2664"/>
    <cellStyle name="20% - Accent4 12 4 2" xfId="2665"/>
    <cellStyle name="20% - Accent4 12 4 2 2" xfId="6705"/>
    <cellStyle name="20% - Accent4 12 4 3" xfId="27521"/>
    <cellStyle name="20% - Accent4 12 4 4" xfId="6704"/>
    <cellStyle name="20% - Accent4 12 5" xfId="2666"/>
    <cellStyle name="20% - Accent4 12 5 2" xfId="2667"/>
    <cellStyle name="20% - Accent4 12 5 2 2" xfId="6707"/>
    <cellStyle name="20% - Accent4 12 5 3" xfId="30124"/>
    <cellStyle name="20% - Accent4 12 5 4" xfId="6706"/>
    <cellStyle name="20% - Accent4 12 6" xfId="2668"/>
    <cellStyle name="20% - Accent4 12 6 2" xfId="2669"/>
    <cellStyle name="20% - Accent4 12 6 2 2" xfId="6709"/>
    <cellStyle name="20% - Accent4 12 6 3" xfId="31899"/>
    <cellStyle name="20% - Accent4 12 6 4" xfId="6708"/>
    <cellStyle name="20% - Accent4 12 7" xfId="2670"/>
    <cellStyle name="20% - Accent4 12 7 2" xfId="2671"/>
    <cellStyle name="20% - Accent4 12 7 2 2" xfId="6711"/>
    <cellStyle name="20% - Accent4 12 7 3" xfId="33654"/>
    <cellStyle name="20% - Accent4 12 7 4" xfId="6710"/>
    <cellStyle name="20% - Accent4 12 8" xfId="2672"/>
    <cellStyle name="20% - Accent4 12 8 2" xfId="2673"/>
    <cellStyle name="20% - Accent4 12 8 2 2" xfId="6713"/>
    <cellStyle name="20% - Accent4 12 8 3" xfId="35367"/>
    <cellStyle name="20% - Accent4 12 8 4" xfId="6712"/>
    <cellStyle name="20% - Accent4 12 9" xfId="2674"/>
    <cellStyle name="20% - Accent4 12 9 2" xfId="2675"/>
    <cellStyle name="20% - Accent4 12 9 2 2" xfId="6715"/>
    <cellStyle name="20% - Accent4 12 9 3" xfId="37012"/>
    <cellStyle name="20% - Accent4 12 9 4" xfId="6714"/>
    <cellStyle name="20% - Accent4 13" xfId="2676"/>
    <cellStyle name="20% - Accent4 13 10" xfId="41303"/>
    <cellStyle name="20% - Accent4 13 11" xfId="42354"/>
    <cellStyle name="20% - Accent4 13 12" xfId="10075"/>
    <cellStyle name="20% - Accent4 13 13" xfId="6716"/>
    <cellStyle name="20% - Accent4 13 2" xfId="2677"/>
    <cellStyle name="20% - Accent4 13 2 2" xfId="2678"/>
    <cellStyle name="20% - Accent4 13 2 2 2" xfId="6718"/>
    <cellStyle name="20% - Accent4 13 2 3" xfId="26848"/>
    <cellStyle name="20% - Accent4 13 2 4" xfId="6717"/>
    <cellStyle name="20% - Accent4 13 3" xfId="2679"/>
    <cellStyle name="20% - Accent4 13 3 2" xfId="2680"/>
    <cellStyle name="20% - Accent4 13 3 2 2" xfId="6720"/>
    <cellStyle name="20% - Accent4 13 3 3" xfId="30176"/>
    <cellStyle name="20% - Accent4 13 3 4" xfId="6719"/>
    <cellStyle name="20% - Accent4 13 4" xfId="2681"/>
    <cellStyle name="20% - Accent4 13 4 2" xfId="2682"/>
    <cellStyle name="20% - Accent4 13 4 2 2" xfId="6722"/>
    <cellStyle name="20% - Accent4 13 4 3" xfId="31951"/>
    <cellStyle name="20% - Accent4 13 4 4" xfId="6721"/>
    <cellStyle name="20% - Accent4 13 5" xfId="2683"/>
    <cellStyle name="20% - Accent4 13 5 2" xfId="2684"/>
    <cellStyle name="20% - Accent4 13 5 2 2" xfId="6724"/>
    <cellStyle name="20% - Accent4 13 5 3" xfId="33706"/>
    <cellStyle name="20% - Accent4 13 5 4" xfId="6723"/>
    <cellStyle name="20% - Accent4 13 6" xfId="2685"/>
    <cellStyle name="20% - Accent4 13 6 2" xfId="2686"/>
    <cellStyle name="20% - Accent4 13 6 2 2" xfId="6726"/>
    <cellStyle name="20% - Accent4 13 6 3" xfId="35419"/>
    <cellStyle name="20% - Accent4 13 6 4" xfId="6725"/>
    <cellStyle name="20% - Accent4 13 7" xfId="2687"/>
    <cellStyle name="20% - Accent4 13 7 2" xfId="2688"/>
    <cellStyle name="20% - Accent4 13 7 2 2" xfId="6728"/>
    <cellStyle name="20% - Accent4 13 7 3" xfId="37064"/>
    <cellStyle name="20% - Accent4 13 7 4" xfId="6727"/>
    <cellStyle name="20% - Accent4 13 8" xfId="2689"/>
    <cellStyle name="20% - Accent4 13 8 2" xfId="38621"/>
    <cellStyle name="20% - Accent4 13 8 3" xfId="6729"/>
    <cellStyle name="20% - Accent4 13 9" xfId="40055"/>
    <cellStyle name="20% - Accent4 14" xfId="2690"/>
    <cellStyle name="20% - Accent4 14 10" xfId="40896"/>
    <cellStyle name="20% - Accent4 14 11" xfId="41975"/>
    <cellStyle name="20% - Accent4 14 12" xfId="10139"/>
    <cellStyle name="20% - Accent4 14 13" xfId="6730"/>
    <cellStyle name="20% - Accent4 14 2" xfId="2691"/>
    <cellStyle name="20% - Accent4 14 2 2" xfId="2692"/>
    <cellStyle name="20% - Accent4 14 2 2 2" xfId="6732"/>
    <cellStyle name="20% - Accent4 14 2 3" xfId="26359"/>
    <cellStyle name="20% - Accent4 14 2 4" xfId="6731"/>
    <cellStyle name="20% - Accent4 14 3" xfId="2693"/>
    <cellStyle name="20% - Accent4 14 3 2" xfId="2694"/>
    <cellStyle name="20% - Accent4 14 3 2 2" xfId="6734"/>
    <cellStyle name="20% - Accent4 14 3 3" xfId="29690"/>
    <cellStyle name="20% - Accent4 14 3 4" xfId="6733"/>
    <cellStyle name="20% - Accent4 14 4" xfId="2695"/>
    <cellStyle name="20% - Accent4 14 4 2" xfId="2696"/>
    <cellStyle name="20% - Accent4 14 4 2 2" xfId="6736"/>
    <cellStyle name="20% - Accent4 14 4 3" xfId="31465"/>
    <cellStyle name="20% - Accent4 14 4 4" xfId="6735"/>
    <cellStyle name="20% - Accent4 14 5" xfId="2697"/>
    <cellStyle name="20% - Accent4 14 5 2" xfId="2698"/>
    <cellStyle name="20% - Accent4 14 5 2 2" xfId="6738"/>
    <cellStyle name="20% - Accent4 14 5 3" xfId="33226"/>
    <cellStyle name="20% - Accent4 14 5 4" xfId="6737"/>
    <cellStyle name="20% - Accent4 14 6" xfId="2699"/>
    <cellStyle name="20% - Accent4 14 6 2" xfId="2700"/>
    <cellStyle name="20% - Accent4 14 6 2 2" xfId="6740"/>
    <cellStyle name="20% - Accent4 14 6 3" xfId="34944"/>
    <cellStyle name="20% - Accent4 14 6 4" xfId="6739"/>
    <cellStyle name="20% - Accent4 14 7" xfId="2701"/>
    <cellStyle name="20% - Accent4 14 7 2" xfId="2702"/>
    <cellStyle name="20% - Accent4 14 7 2 2" xfId="6742"/>
    <cellStyle name="20% - Accent4 14 7 3" xfId="36597"/>
    <cellStyle name="20% - Accent4 14 7 4" xfId="6741"/>
    <cellStyle name="20% - Accent4 14 8" xfId="2703"/>
    <cellStyle name="20% - Accent4 14 8 2" xfId="38171"/>
    <cellStyle name="20% - Accent4 14 8 3" xfId="6743"/>
    <cellStyle name="20% - Accent4 14 9" xfId="39624"/>
    <cellStyle name="20% - Accent4 15" xfId="2704"/>
    <cellStyle name="20% - Accent4 15 10" xfId="20403"/>
    <cellStyle name="20% - Accent4 15 11" xfId="21239"/>
    <cellStyle name="20% - Accent4 15 12" xfId="22039"/>
    <cellStyle name="20% - Accent4 15 13" xfId="26742"/>
    <cellStyle name="20% - Accent4 15 14" xfId="30071"/>
    <cellStyle name="20% - Accent4 15 15" xfId="31846"/>
    <cellStyle name="20% - Accent4 15 16" xfId="33602"/>
    <cellStyle name="20% - Accent4 15 17" xfId="35315"/>
    <cellStyle name="20% - Accent4 15 18" xfId="36961"/>
    <cellStyle name="20% - Accent4 15 19" xfId="38522"/>
    <cellStyle name="20% - Accent4 15 2" xfId="2705"/>
    <cellStyle name="20% - Accent4 15 2 2" xfId="2706"/>
    <cellStyle name="20% - Accent4 15 2 2 2" xfId="6746"/>
    <cellStyle name="20% - Accent4 15 2 3" xfId="12953"/>
    <cellStyle name="20% - Accent4 15 2 4" xfId="6745"/>
    <cellStyle name="20% - Accent4 15 20" xfId="39962"/>
    <cellStyle name="20% - Accent4 15 21" xfId="41215"/>
    <cellStyle name="20% - Accent4 15 22" xfId="42271"/>
    <cellStyle name="20% - Accent4 15 23" xfId="9923"/>
    <cellStyle name="20% - Accent4 15 24" xfId="6744"/>
    <cellStyle name="20% - Accent4 15 3" xfId="2707"/>
    <cellStyle name="20% - Accent4 15 3 2" xfId="2708"/>
    <cellStyle name="20% - Accent4 15 3 2 2" xfId="6748"/>
    <cellStyle name="20% - Accent4 15 3 3" xfId="14079"/>
    <cellStyle name="20% - Accent4 15 3 4" xfId="6747"/>
    <cellStyle name="20% - Accent4 15 4" xfId="2709"/>
    <cellStyle name="20% - Accent4 15 4 2" xfId="2710"/>
    <cellStyle name="20% - Accent4 15 4 2 2" xfId="6750"/>
    <cellStyle name="20% - Accent4 15 4 3" xfId="15009"/>
    <cellStyle name="20% - Accent4 15 4 4" xfId="6749"/>
    <cellStyle name="20% - Accent4 15 5" xfId="2711"/>
    <cellStyle name="20% - Accent4 15 5 2" xfId="2712"/>
    <cellStyle name="20% - Accent4 15 5 2 2" xfId="6752"/>
    <cellStyle name="20% - Accent4 15 5 3" xfId="15936"/>
    <cellStyle name="20% - Accent4 15 5 4" xfId="6751"/>
    <cellStyle name="20% - Accent4 15 6" xfId="2713"/>
    <cellStyle name="20% - Accent4 15 6 2" xfId="2714"/>
    <cellStyle name="20% - Accent4 15 6 2 2" xfId="6754"/>
    <cellStyle name="20% - Accent4 15 6 3" xfId="16866"/>
    <cellStyle name="20% - Accent4 15 6 4" xfId="6753"/>
    <cellStyle name="20% - Accent4 15 7" xfId="2715"/>
    <cellStyle name="20% - Accent4 15 7 2" xfId="2716"/>
    <cellStyle name="20% - Accent4 15 7 2 2" xfId="6756"/>
    <cellStyle name="20% - Accent4 15 7 3" xfId="17774"/>
    <cellStyle name="20% - Accent4 15 7 4" xfId="6755"/>
    <cellStyle name="20% - Accent4 15 8" xfId="2717"/>
    <cellStyle name="20% - Accent4 15 8 2" xfId="18664"/>
    <cellStyle name="20% - Accent4 15 8 3" xfId="6757"/>
    <cellStyle name="20% - Accent4 15 9" xfId="19542"/>
    <cellStyle name="20% - Accent4 16" xfId="2718"/>
    <cellStyle name="20% - Accent4 16 10" xfId="20482"/>
    <cellStyle name="20% - Accent4 16 11" xfId="21318"/>
    <cellStyle name="20% - Accent4 16 12" xfId="22115"/>
    <cellStyle name="20% - Accent4 16 13" xfId="26474"/>
    <cellStyle name="20% - Accent4 16 14" xfId="29805"/>
    <cellStyle name="20% - Accent4 16 15" xfId="31580"/>
    <cellStyle name="20% - Accent4 16 16" xfId="33339"/>
    <cellStyle name="20% - Accent4 16 17" xfId="35055"/>
    <cellStyle name="20% - Accent4 16 18" xfId="36706"/>
    <cellStyle name="20% - Accent4 16 19" xfId="38275"/>
    <cellStyle name="20% - Accent4 16 2" xfId="2719"/>
    <cellStyle name="20% - Accent4 16 2 2" xfId="2720"/>
    <cellStyle name="20% - Accent4 16 2 2 2" xfId="6760"/>
    <cellStyle name="20% - Accent4 16 2 3" xfId="13032"/>
    <cellStyle name="20% - Accent4 16 2 4" xfId="6759"/>
    <cellStyle name="20% - Accent4 16 20" xfId="39725"/>
    <cellStyle name="20% - Accent4 16 21" xfId="40992"/>
    <cellStyle name="20% - Accent4 16 22" xfId="42066"/>
    <cellStyle name="20% - Accent4 16 23" xfId="11179"/>
    <cellStyle name="20% - Accent4 16 24" xfId="6758"/>
    <cellStyle name="20% - Accent4 16 3" xfId="2721"/>
    <cellStyle name="20% - Accent4 16 3 2" xfId="2722"/>
    <cellStyle name="20% - Accent4 16 3 2 2" xfId="6762"/>
    <cellStyle name="20% - Accent4 16 3 3" xfId="14158"/>
    <cellStyle name="20% - Accent4 16 3 4" xfId="6761"/>
    <cellStyle name="20% - Accent4 16 4" xfId="2723"/>
    <cellStyle name="20% - Accent4 16 4 2" xfId="2724"/>
    <cellStyle name="20% - Accent4 16 4 2 2" xfId="6764"/>
    <cellStyle name="20% - Accent4 16 4 3" xfId="15088"/>
    <cellStyle name="20% - Accent4 16 4 4" xfId="6763"/>
    <cellStyle name="20% - Accent4 16 5" xfId="2725"/>
    <cellStyle name="20% - Accent4 16 5 2" xfId="2726"/>
    <cellStyle name="20% - Accent4 16 5 2 2" xfId="6766"/>
    <cellStyle name="20% - Accent4 16 5 3" xfId="16015"/>
    <cellStyle name="20% - Accent4 16 5 4" xfId="6765"/>
    <cellStyle name="20% - Accent4 16 6" xfId="2727"/>
    <cellStyle name="20% - Accent4 16 6 2" xfId="2728"/>
    <cellStyle name="20% - Accent4 16 6 2 2" xfId="6768"/>
    <cellStyle name="20% - Accent4 16 6 3" xfId="16945"/>
    <cellStyle name="20% - Accent4 16 6 4" xfId="6767"/>
    <cellStyle name="20% - Accent4 16 7" xfId="2729"/>
    <cellStyle name="20% - Accent4 16 7 2" xfId="2730"/>
    <cellStyle name="20% - Accent4 16 7 2 2" xfId="6770"/>
    <cellStyle name="20% - Accent4 16 7 3" xfId="17853"/>
    <cellStyle name="20% - Accent4 16 7 4" xfId="6769"/>
    <cellStyle name="20% - Accent4 16 8" xfId="2731"/>
    <cellStyle name="20% - Accent4 16 8 2" xfId="18743"/>
    <cellStyle name="20% - Accent4 16 8 3" xfId="6771"/>
    <cellStyle name="20% - Accent4 16 9" xfId="19621"/>
    <cellStyle name="20% - Accent4 17" xfId="2732"/>
    <cellStyle name="20% - Accent4 17 10" xfId="20563"/>
    <cellStyle name="20% - Accent4 17 11" xfId="21399"/>
    <cellStyle name="20% - Accent4 17 12" xfId="22193"/>
    <cellStyle name="20% - Accent4 17 13" xfId="26858"/>
    <cellStyle name="20% - Accent4 17 14" xfId="30186"/>
    <cellStyle name="20% - Accent4 17 15" xfId="31961"/>
    <cellStyle name="20% - Accent4 17 16" xfId="33716"/>
    <cellStyle name="20% - Accent4 17 17" xfId="35429"/>
    <cellStyle name="20% - Accent4 17 18" xfId="37074"/>
    <cellStyle name="20% - Accent4 17 19" xfId="38630"/>
    <cellStyle name="20% - Accent4 17 2" xfId="2733"/>
    <cellStyle name="20% - Accent4 17 2 2" xfId="2734"/>
    <cellStyle name="20% - Accent4 17 2 2 2" xfId="6774"/>
    <cellStyle name="20% - Accent4 17 2 3" xfId="13113"/>
    <cellStyle name="20% - Accent4 17 2 4" xfId="6773"/>
    <cellStyle name="20% - Accent4 17 20" xfId="40064"/>
    <cellStyle name="20% - Accent4 17 21" xfId="41312"/>
    <cellStyle name="20% - Accent4 17 22" xfId="42363"/>
    <cellStyle name="20% - Accent4 17 23" xfId="11372"/>
    <cellStyle name="20% - Accent4 17 24" xfId="6772"/>
    <cellStyle name="20% - Accent4 17 3" xfId="2735"/>
    <cellStyle name="20% - Accent4 17 3 2" xfId="2736"/>
    <cellStyle name="20% - Accent4 17 3 2 2" xfId="6776"/>
    <cellStyle name="20% - Accent4 17 3 3" xfId="14239"/>
    <cellStyle name="20% - Accent4 17 3 4" xfId="6775"/>
    <cellStyle name="20% - Accent4 17 4" xfId="2737"/>
    <cellStyle name="20% - Accent4 17 4 2" xfId="2738"/>
    <cellStyle name="20% - Accent4 17 4 2 2" xfId="6778"/>
    <cellStyle name="20% - Accent4 17 4 3" xfId="15168"/>
    <cellStyle name="20% - Accent4 17 4 4" xfId="6777"/>
    <cellStyle name="20% - Accent4 17 5" xfId="2739"/>
    <cellStyle name="20% - Accent4 17 5 2" xfId="2740"/>
    <cellStyle name="20% - Accent4 17 5 2 2" xfId="6780"/>
    <cellStyle name="20% - Accent4 17 5 3" xfId="16096"/>
    <cellStyle name="20% - Accent4 17 5 4" xfId="6779"/>
    <cellStyle name="20% - Accent4 17 6" xfId="2741"/>
    <cellStyle name="20% - Accent4 17 6 2" xfId="2742"/>
    <cellStyle name="20% - Accent4 17 6 2 2" xfId="6782"/>
    <cellStyle name="20% - Accent4 17 6 3" xfId="17026"/>
    <cellStyle name="20% - Accent4 17 6 4" xfId="6781"/>
    <cellStyle name="20% - Accent4 17 7" xfId="2743"/>
    <cellStyle name="20% - Accent4 17 7 2" xfId="2744"/>
    <cellStyle name="20% - Accent4 17 7 2 2" xfId="6784"/>
    <cellStyle name="20% - Accent4 17 7 3" xfId="17934"/>
    <cellStyle name="20% - Accent4 17 7 4" xfId="6783"/>
    <cellStyle name="20% - Accent4 17 8" xfId="2745"/>
    <cellStyle name="20% - Accent4 17 8 2" xfId="18824"/>
    <cellStyle name="20% - Accent4 17 8 3" xfId="6785"/>
    <cellStyle name="20% - Accent4 17 9" xfId="19702"/>
    <cellStyle name="20% - Accent4 18" xfId="2746"/>
    <cellStyle name="20% - Accent4 18 10" xfId="20642"/>
    <cellStyle name="20% - Accent4 18 11" xfId="21479"/>
    <cellStyle name="20% - Accent4 18 12" xfId="22270"/>
    <cellStyle name="20% - Accent4 18 13" xfId="26349"/>
    <cellStyle name="20% - Accent4 18 14" xfId="29680"/>
    <cellStyle name="20% - Accent4 18 15" xfId="31455"/>
    <cellStyle name="20% - Accent4 18 16" xfId="33217"/>
    <cellStyle name="20% - Accent4 18 17" xfId="34935"/>
    <cellStyle name="20% - Accent4 18 18" xfId="36588"/>
    <cellStyle name="20% - Accent4 18 19" xfId="38162"/>
    <cellStyle name="20% - Accent4 18 2" xfId="2747"/>
    <cellStyle name="20% - Accent4 18 2 2" xfId="2748"/>
    <cellStyle name="20% - Accent4 18 2 2 2" xfId="6788"/>
    <cellStyle name="20% - Accent4 18 2 3" xfId="13193"/>
    <cellStyle name="20% - Accent4 18 2 4" xfId="6787"/>
    <cellStyle name="20% - Accent4 18 20" xfId="39615"/>
    <cellStyle name="20% - Accent4 18 21" xfId="40887"/>
    <cellStyle name="20% - Accent4 18 22" xfId="41966"/>
    <cellStyle name="20% - Accent4 18 23" xfId="11562"/>
    <cellStyle name="20% - Accent4 18 24" xfId="6786"/>
    <cellStyle name="20% - Accent4 18 3" xfId="2749"/>
    <cellStyle name="20% - Accent4 18 3 2" xfId="2750"/>
    <cellStyle name="20% - Accent4 18 3 2 2" xfId="6790"/>
    <cellStyle name="20% - Accent4 18 3 3" xfId="14319"/>
    <cellStyle name="20% - Accent4 18 3 4" xfId="6789"/>
    <cellStyle name="20% - Accent4 18 4" xfId="2751"/>
    <cellStyle name="20% - Accent4 18 4 2" xfId="2752"/>
    <cellStyle name="20% - Accent4 18 4 2 2" xfId="6792"/>
    <cellStyle name="20% - Accent4 18 4 3" xfId="15247"/>
    <cellStyle name="20% - Accent4 18 4 4" xfId="6791"/>
    <cellStyle name="20% - Accent4 18 5" xfId="2753"/>
    <cellStyle name="20% - Accent4 18 5 2" xfId="2754"/>
    <cellStyle name="20% - Accent4 18 5 2 2" xfId="6794"/>
    <cellStyle name="20% - Accent4 18 5 3" xfId="16176"/>
    <cellStyle name="20% - Accent4 18 5 4" xfId="6793"/>
    <cellStyle name="20% - Accent4 18 6" xfId="2755"/>
    <cellStyle name="20% - Accent4 18 6 2" xfId="2756"/>
    <cellStyle name="20% - Accent4 18 6 2 2" xfId="6796"/>
    <cellStyle name="20% - Accent4 18 6 3" xfId="17106"/>
    <cellStyle name="20% - Accent4 18 6 4" xfId="6795"/>
    <cellStyle name="20% - Accent4 18 7" xfId="2757"/>
    <cellStyle name="20% - Accent4 18 7 2" xfId="2758"/>
    <cellStyle name="20% - Accent4 18 7 2 2" xfId="6798"/>
    <cellStyle name="20% - Accent4 18 7 3" xfId="18014"/>
    <cellStyle name="20% - Accent4 18 7 4" xfId="6797"/>
    <cellStyle name="20% - Accent4 18 8" xfId="2759"/>
    <cellStyle name="20% - Accent4 18 8 2" xfId="18904"/>
    <cellStyle name="20% - Accent4 18 8 3" xfId="6799"/>
    <cellStyle name="20% - Accent4 18 9" xfId="19782"/>
    <cellStyle name="20% - Accent4 19" xfId="2760"/>
    <cellStyle name="20% - Accent4 19 10" xfId="20720"/>
    <cellStyle name="20% - Accent4 19 11" xfId="21558"/>
    <cellStyle name="20% - Accent4 19 12" xfId="22346"/>
    <cellStyle name="20% - Accent4 19 13" xfId="26749"/>
    <cellStyle name="20% - Accent4 19 14" xfId="30078"/>
    <cellStyle name="20% - Accent4 19 15" xfId="31853"/>
    <cellStyle name="20% - Accent4 19 16" xfId="33609"/>
    <cellStyle name="20% - Accent4 19 17" xfId="35322"/>
    <cellStyle name="20% - Accent4 19 18" xfId="36968"/>
    <cellStyle name="20% - Accent4 19 19" xfId="38529"/>
    <cellStyle name="20% - Accent4 19 2" xfId="2761"/>
    <cellStyle name="20% - Accent4 19 2 2" xfId="2762"/>
    <cellStyle name="20% - Accent4 19 2 2 2" xfId="6802"/>
    <cellStyle name="20% - Accent4 19 2 3" xfId="13272"/>
    <cellStyle name="20% - Accent4 19 2 4" xfId="6801"/>
    <cellStyle name="20% - Accent4 19 20" xfId="39968"/>
    <cellStyle name="20% - Accent4 19 21" xfId="41221"/>
    <cellStyle name="20% - Accent4 19 22" xfId="42277"/>
    <cellStyle name="20% - Accent4 19 23" xfId="11742"/>
    <cellStyle name="20% - Accent4 19 24" xfId="6800"/>
    <cellStyle name="20% - Accent4 19 3" xfId="2763"/>
    <cellStyle name="20% - Accent4 19 3 2" xfId="2764"/>
    <cellStyle name="20% - Accent4 19 3 2 2" xfId="6804"/>
    <cellStyle name="20% - Accent4 19 3 3" xfId="14397"/>
    <cellStyle name="20% - Accent4 19 3 4" xfId="6803"/>
    <cellStyle name="20% - Accent4 19 4" xfId="2765"/>
    <cellStyle name="20% - Accent4 19 4 2" xfId="2766"/>
    <cellStyle name="20% - Accent4 19 4 2 2" xfId="6806"/>
    <cellStyle name="20% - Accent4 19 4 3" xfId="15325"/>
    <cellStyle name="20% - Accent4 19 4 4" xfId="6805"/>
    <cellStyle name="20% - Accent4 19 5" xfId="2767"/>
    <cellStyle name="20% - Accent4 19 5 2" xfId="2768"/>
    <cellStyle name="20% - Accent4 19 5 2 2" xfId="6808"/>
    <cellStyle name="20% - Accent4 19 5 3" xfId="16255"/>
    <cellStyle name="20% - Accent4 19 5 4" xfId="6807"/>
    <cellStyle name="20% - Accent4 19 6" xfId="2769"/>
    <cellStyle name="20% - Accent4 19 6 2" xfId="2770"/>
    <cellStyle name="20% - Accent4 19 6 2 2" xfId="6810"/>
    <cellStyle name="20% - Accent4 19 6 3" xfId="17185"/>
    <cellStyle name="20% - Accent4 19 6 4" xfId="6809"/>
    <cellStyle name="20% - Accent4 19 7" xfId="2771"/>
    <cellStyle name="20% - Accent4 19 7 2" xfId="2772"/>
    <cellStyle name="20% - Accent4 19 7 2 2" xfId="6812"/>
    <cellStyle name="20% - Accent4 19 7 3" xfId="18093"/>
    <cellStyle name="20% - Accent4 19 7 4" xfId="6811"/>
    <cellStyle name="20% - Accent4 19 8" xfId="2773"/>
    <cellStyle name="20% - Accent4 19 8 2" xfId="18983"/>
    <cellStyle name="20% - Accent4 19 8 3" xfId="6813"/>
    <cellStyle name="20% - Accent4 19 9" xfId="19860"/>
    <cellStyle name="20% - Accent4 2" xfId="2774"/>
    <cellStyle name="20% - Accent4 2 10" xfId="2775"/>
    <cellStyle name="20% - Accent4 2 10 2" xfId="11757"/>
    <cellStyle name="20% - Accent4 2 10 3" xfId="6815"/>
    <cellStyle name="20% - Accent4 2 11" xfId="11500"/>
    <cellStyle name="20% - Accent4 2 12" xfId="12488"/>
    <cellStyle name="20% - Accent4 2 13" xfId="11783"/>
    <cellStyle name="20% - Accent4 2 14" xfId="14049"/>
    <cellStyle name="20% - Accent4 2 15" xfId="14007"/>
    <cellStyle name="20% - Accent4 2 16" xfId="16727"/>
    <cellStyle name="20% - Accent4 2 17" xfId="17642"/>
    <cellStyle name="20% - Accent4 2 18" xfId="18543"/>
    <cellStyle name="20% - Accent4 2 19" xfId="19421"/>
    <cellStyle name="20% - Accent4 2 2" xfId="2776"/>
    <cellStyle name="20% - Accent4 2 2 10" xfId="6816"/>
    <cellStyle name="20% - Accent4 2 2 2" xfId="2777"/>
    <cellStyle name="20% - Accent4 2 2 2 2" xfId="2778"/>
    <cellStyle name="20% - Accent4 2 2 2 2 2" xfId="6818"/>
    <cellStyle name="20% - Accent4 2 2 2 3" xfId="9546"/>
    <cellStyle name="20% - Accent4 2 2 2 4" xfId="6817"/>
    <cellStyle name="20% - Accent4 2 2 3" xfId="2779"/>
    <cellStyle name="20% - Accent4 2 2 3 2" xfId="2780"/>
    <cellStyle name="20% - Accent4 2 2 3 2 2" xfId="6820"/>
    <cellStyle name="20% - Accent4 2 2 3 3" xfId="6819"/>
    <cellStyle name="20% - Accent4 2 2 4" xfId="2781"/>
    <cellStyle name="20% - Accent4 2 2 4 2" xfId="2782"/>
    <cellStyle name="20% - Accent4 2 2 4 2 2" xfId="6822"/>
    <cellStyle name="20% - Accent4 2 2 4 3" xfId="6821"/>
    <cellStyle name="20% - Accent4 2 2 5" xfId="2783"/>
    <cellStyle name="20% - Accent4 2 2 5 2" xfId="2784"/>
    <cellStyle name="20% - Accent4 2 2 5 2 2" xfId="6824"/>
    <cellStyle name="20% - Accent4 2 2 5 3" xfId="6823"/>
    <cellStyle name="20% - Accent4 2 2 6" xfId="2785"/>
    <cellStyle name="20% - Accent4 2 2 6 2" xfId="2786"/>
    <cellStyle name="20% - Accent4 2 2 6 2 2" xfId="6826"/>
    <cellStyle name="20% - Accent4 2 2 6 3" xfId="6825"/>
    <cellStyle name="20% - Accent4 2 2 7" xfId="2787"/>
    <cellStyle name="20% - Accent4 2 2 7 2" xfId="2788"/>
    <cellStyle name="20% - Accent4 2 2 7 2 2" xfId="6828"/>
    <cellStyle name="20% - Accent4 2 2 7 3" xfId="6827"/>
    <cellStyle name="20% - Accent4 2 2 8" xfId="2789"/>
    <cellStyle name="20% - Accent4 2 2 8 2" xfId="6829"/>
    <cellStyle name="20% - Accent4 2 2 9" xfId="9344"/>
    <cellStyle name="20% - Accent4 2 20" xfId="19515"/>
    <cellStyle name="20% - Accent4 2 21" xfId="12573"/>
    <cellStyle name="20% - Accent4 2 22" xfId="21964"/>
    <cellStyle name="20% - Accent4 2 23" xfId="22981"/>
    <cellStyle name="20% - Accent4 2 24" xfId="22890"/>
    <cellStyle name="20% - Accent4 2 25" xfId="28775"/>
    <cellStyle name="20% - Accent4 2 26" xfId="30563"/>
    <cellStyle name="20% - Accent4 2 27" xfId="32337"/>
    <cellStyle name="20% - Accent4 2 28" xfId="34089"/>
    <cellStyle name="20% - Accent4 2 29" xfId="35799"/>
    <cellStyle name="20% - Accent4 2 3" xfId="2790"/>
    <cellStyle name="20% - Accent4 2 3 10" xfId="6830"/>
    <cellStyle name="20% - Accent4 2 3 2" xfId="2791"/>
    <cellStyle name="20% - Accent4 2 3 2 2" xfId="2792"/>
    <cellStyle name="20% - Accent4 2 3 2 2 2" xfId="6832"/>
    <cellStyle name="20% - Accent4 2 3 2 3" xfId="6831"/>
    <cellStyle name="20% - Accent4 2 3 3" xfId="2793"/>
    <cellStyle name="20% - Accent4 2 3 3 2" xfId="2794"/>
    <cellStyle name="20% - Accent4 2 3 3 2 2" xfId="6834"/>
    <cellStyle name="20% - Accent4 2 3 3 3" xfId="6833"/>
    <cellStyle name="20% - Accent4 2 3 4" xfId="2795"/>
    <cellStyle name="20% - Accent4 2 3 4 2" xfId="2796"/>
    <cellStyle name="20% - Accent4 2 3 4 2 2" xfId="6836"/>
    <cellStyle name="20% - Accent4 2 3 4 3" xfId="6835"/>
    <cellStyle name="20% - Accent4 2 3 5" xfId="2797"/>
    <cellStyle name="20% - Accent4 2 3 5 2" xfId="2798"/>
    <cellStyle name="20% - Accent4 2 3 5 2 2" xfId="6838"/>
    <cellStyle name="20% - Accent4 2 3 5 3" xfId="6837"/>
    <cellStyle name="20% - Accent4 2 3 6" xfId="2799"/>
    <cellStyle name="20% - Accent4 2 3 6 2" xfId="2800"/>
    <cellStyle name="20% - Accent4 2 3 6 2 2" xfId="6840"/>
    <cellStyle name="20% - Accent4 2 3 6 3" xfId="6839"/>
    <cellStyle name="20% - Accent4 2 3 7" xfId="2801"/>
    <cellStyle name="20% - Accent4 2 3 7 2" xfId="2802"/>
    <cellStyle name="20% - Accent4 2 3 7 2 2" xfId="6842"/>
    <cellStyle name="20% - Accent4 2 3 7 3" xfId="6841"/>
    <cellStyle name="20% - Accent4 2 3 8" xfId="2803"/>
    <cellStyle name="20% - Accent4 2 3 8 2" xfId="6843"/>
    <cellStyle name="20% - Accent4 2 3 9" xfId="10299"/>
    <cellStyle name="20% - Accent4 2 30" xfId="37435"/>
    <cellStyle name="20% - Accent4 2 31" xfId="38982"/>
    <cellStyle name="20% - Accent4 2 32" xfId="40399"/>
    <cellStyle name="20% - Accent4 2 33" xfId="8691"/>
    <cellStyle name="20% - Accent4 2 34" xfId="6814"/>
    <cellStyle name="20% - Accent4 2 4" xfId="2804"/>
    <cellStyle name="20% - Accent4 2 4 2" xfId="2805"/>
    <cellStyle name="20% - Accent4 2 4 2 2" xfId="6845"/>
    <cellStyle name="20% - Accent4 2 4 3" xfId="10626"/>
    <cellStyle name="20% - Accent4 2 4 4" xfId="6844"/>
    <cellStyle name="20% - Accent4 2 5" xfId="2806"/>
    <cellStyle name="20% - Accent4 2 5 2" xfId="2807"/>
    <cellStyle name="20% - Accent4 2 5 2 2" xfId="6847"/>
    <cellStyle name="20% - Accent4 2 5 3" xfId="10956"/>
    <cellStyle name="20% - Accent4 2 5 4" xfId="6846"/>
    <cellStyle name="20% - Accent4 2 6" xfId="2808"/>
    <cellStyle name="20% - Accent4 2 6 2" xfId="2809"/>
    <cellStyle name="20% - Accent4 2 6 2 2" xfId="6849"/>
    <cellStyle name="20% - Accent4 2 6 3" xfId="11020"/>
    <cellStyle name="20% - Accent4 2 6 4" xfId="6848"/>
    <cellStyle name="20% - Accent4 2 7" xfId="2810"/>
    <cellStyle name="20% - Accent4 2 7 2" xfId="2811"/>
    <cellStyle name="20% - Accent4 2 7 2 2" xfId="6851"/>
    <cellStyle name="20% - Accent4 2 7 3" xfId="10589"/>
    <cellStyle name="20% - Accent4 2 7 4" xfId="6850"/>
    <cellStyle name="20% - Accent4 2 8" xfId="2812"/>
    <cellStyle name="20% - Accent4 2 8 2" xfId="2813"/>
    <cellStyle name="20% - Accent4 2 8 2 2" xfId="6853"/>
    <cellStyle name="20% - Accent4 2 8 3" xfId="11110"/>
    <cellStyle name="20% - Accent4 2 8 4" xfId="6852"/>
    <cellStyle name="20% - Accent4 2 9" xfId="2814"/>
    <cellStyle name="20% - Accent4 2 9 2" xfId="2815"/>
    <cellStyle name="20% - Accent4 2 9 2 2" xfId="6855"/>
    <cellStyle name="20% - Accent4 2 9 3" xfId="11304"/>
    <cellStyle name="20% - Accent4 2 9 4" xfId="6854"/>
    <cellStyle name="20% - Accent4 20" xfId="2816"/>
    <cellStyle name="20% - Accent4 20 10" xfId="20800"/>
    <cellStyle name="20% - Accent4 20 11" xfId="21638"/>
    <cellStyle name="20% - Accent4 20 12" xfId="22424"/>
    <cellStyle name="20% - Accent4 20 13" xfId="26467"/>
    <cellStyle name="20% - Accent4 20 14" xfId="29798"/>
    <cellStyle name="20% - Accent4 20 15" xfId="31573"/>
    <cellStyle name="20% - Accent4 20 16" xfId="33332"/>
    <cellStyle name="20% - Accent4 20 17" xfId="35049"/>
    <cellStyle name="20% - Accent4 20 18" xfId="36700"/>
    <cellStyle name="20% - Accent4 20 19" xfId="38269"/>
    <cellStyle name="20% - Accent4 20 2" xfId="2817"/>
    <cellStyle name="20% - Accent4 20 2 2" xfId="2818"/>
    <cellStyle name="20% - Accent4 20 2 2 2" xfId="6858"/>
    <cellStyle name="20% - Accent4 20 2 3" xfId="13353"/>
    <cellStyle name="20% - Accent4 20 2 4" xfId="6857"/>
    <cellStyle name="20% - Accent4 20 20" xfId="39719"/>
    <cellStyle name="20% - Accent4 20 21" xfId="40986"/>
    <cellStyle name="20% - Accent4 20 22" xfId="42060"/>
    <cellStyle name="20% - Accent4 20 23" xfId="11926"/>
    <cellStyle name="20% - Accent4 20 24" xfId="6856"/>
    <cellStyle name="20% - Accent4 20 3" xfId="2819"/>
    <cellStyle name="20% - Accent4 20 3 2" xfId="2820"/>
    <cellStyle name="20% - Accent4 20 3 2 2" xfId="6860"/>
    <cellStyle name="20% - Accent4 20 3 3" xfId="14477"/>
    <cellStyle name="20% - Accent4 20 3 4" xfId="6859"/>
    <cellStyle name="20% - Accent4 20 4" xfId="2821"/>
    <cellStyle name="20% - Accent4 20 4 2" xfId="2822"/>
    <cellStyle name="20% - Accent4 20 4 2 2" xfId="6862"/>
    <cellStyle name="20% - Accent4 20 4 3" xfId="15406"/>
    <cellStyle name="20% - Accent4 20 4 4" xfId="6861"/>
    <cellStyle name="20% - Accent4 20 5" xfId="2823"/>
    <cellStyle name="20% - Accent4 20 5 2" xfId="2824"/>
    <cellStyle name="20% - Accent4 20 5 2 2" xfId="6864"/>
    <cellStyle name="20% - Accent4 20 5 3" xfId="16335"/>
    <cellStyle name="20% - Accent4 20 5 4" xfId="6863"/>
    <cellStyle name="20% - Accent4 20 6" xfId="2825"/>
    <cellStyle name="20% - Accent4 20 6 2" xfId="2826"/>
    <cellStyle name="20% - Accent4 20 6 2 2" xfId="6866"/>
    <cellStyle name="20% - Accent4 20 6 3" xfId="17265"/>
    <cellStyle name="20% - Accent4 20 6 4" xfId="6865"/>
    <cellStyle name="20% - Accent4 20 7" xfId="2827"/>
    <cellStyle name="20% - Accent4 20 7 2" xfId="2828"/>
    <cellStyle name="20% - Accent4 20 7 2 2" xfId="6868"/>
    <cellStyle name="20% - Accent4 20 7 3" xfId="18173"/>
    <cellStyle name="20% - Accent4 20 7 4" xfId="6867"/>
    <cellStyle name="20% - Accent4 20 8" xfId="2829"/>
    <cellStyle name="20% - Accent4 20 8 2" xfId="19063"/>
    <cellStyle name="20% - Accent4 20 8 3" xfId="6869"/>
    <cellStyle name="20% - Accent4 20 9" xfId="19940"/>
    <cellStyle name="20% - Accent4 21" xfId="2830"/>
    <cellStyle name="20% - Accent4 21 10" xfId="20879"/>
    <cellStyle name="20% - Accent4 21 11" xfId="21718"/>
    <cellStyle name="20% - Accent4 21 12" xfId="22502"/>
    <cellStyle name="20% - Accent4 21 13" xfId="26865"/>
    <cellStyle name="20% - Accent4 21 14" xfId="30193"/>
    <cellStyle name="20% - Accent4 21 15" xfId="31968"/>
    <cellStyle name="20% - Accent4 21 16" xfId="33723"/>
    <cellStyle name="20% - Accent4 21 17" xfId="35436"/>
    <cellStyle name="20% - Accent4 21 18" xfId="37081"/>
    <cellStyle name="20% - Accent4 21 19" xfId="38637"/>
    <cellStyle name="20% - Accent4 21 2" xfId="2831"/>
    <cellStyle name="20% - Accent4 21 2 2" xfId="2832"/>
    <cellStyle name="20% - Accent4 21 2 2 2" xfId="6872"/>
    <cellStyle name="20% - Accent4 21 2 3" xfId="13433"/>
    <cellStyle name="20% - Accent4 21 2 4" xfId="6871"/>
    <cellStyle name="20% - Accent4 21 20" xfId="40071"/>
    <cellStyle name="20% - Accent4 21 21" xfId="41318"/>
    <cellStyle name="20% - Accent4 21 22" xfId="42369"/>
    <cellStyle name="20% - Accent4 21 23" xfId="12107"/>
    <cellStyle name="20% - Accent4 21 24" xfId="6870"/>
    <cellStyle name="20% - Accent4 21 3" xfId="2833"/>
    <cellStyle name="20% - Accent4 21 3 2" xfId="2834"/>
    <cellStyle name="20% - Accent4 21 3 2 2" xfId="6874"/>
    <cellStyle name="20% - Accent4 21 3 3" xfId="14557"/>
    <cellStyle name="20% - Accent4 21 3 4" xfId="6873"/>
    <cellStyle name="20% - Accent4 21 4" xfId="2835"/>
    <cellStyle name="20% - Accent4 21 4 2" xfId="2836"/>
    <cellStyle name="20% - Accent4 21 4 2 2" xfId="6876"/>
    <cellStyle name="20% - Accent4 21 4 3" xfId="15484"/>
    <cellStyle name="20% - Accent4 21 4 4" xfId="6875"/>
    <cellStyle name="20% - Accent4 21 5" xfId="2837"/>
    <cellStyle name="20% - Accent4 21 5 2" xfId="2838"/>
    <cellStyle name="20% - Accent4 21 5 2 2" xfId="6878"/>
    <cellStyle name="20% - Accent4 21 5 3" xfId="16415"/>
    <cellStyle name="20% - Accent4 21 5 4" xfId="6877"/>
    <cellStyle name="20% - Accent4 21 6" xfId="2839"/>
    <cellStyle name="20% - Accent4 21 6 2" xfId="2840"/>
    <cellStyle name="20% - Accent4 21 6 2 2" xfId="6880"/>
    <cellStyle name="20% - Accent4 21 6 3" xfId="17345"/>
    <cellStyle name="20% - Accent4 21 6 4" xfId="6879"/>
    <cellStyle name="20% - Accent4 21 7" xfId="2841"/>
    <cellStyle name="20% - Accent4 21 7 2" xfId="2842"/>
    <cellStyle name="20% - Accent4 21 7 2 2" xfId="6882"/>
    <cellStyle name="20% - Accent4 21 7 3" xfId="18253"/>
    <cellStyle name="20% - Accent4 21 7 4" xfId="6881"/>
    <cellStyle name="20% - Accent4 21 8" xfId="2843"/>
    <cellStyle name="20% - Accent4 21 8 2" xfId="19143"/>
    <cellStyle name="20% - Accent4 21 8 3" xfId="6883"/>
    <cellStyle name="20% - Accent4 21 9" xfId="20020"/>
    <cellStyle name="20% - Accent4 22" xfId="2844"/>
    <cellStyle name="20% - Accent4 22 10" xfId="20957"/>
    <cellStyle name="20% - Accent4 22 11" xfId="21798"/>
    <cellStyle name="20% - Accent4 22 12" xfId="22580"/>
    <cellStyle name="20% - Accent4 22 13" xfId="26336"/>
    <cellStyle name="20% - Accent4 22 14" xfId="29667"/>
    <cellStyle name="20% - Accent4 22 15" xfId="31442"/>
    <cellStyle name="20% - Accent4 22 16" xfId="33204"/>
    <cellStyle name="20% - Accent4 22 17" xfId="34922"/>
    <cellStyle name="20% - Accent4 22 18" xfId="36575"/>
    <cellStyle name="20% - Accent4 22 19" xfId="38149"/>
    <cellStyle name="20% - Accent4 22 2" xfId="2845"/>
    <cellStyle name="20% - Accent4 22 2 2" xfId="2846"/>
    <cellStyle name="20% - Accent4 22 2 2 2" xfId="6886"/>
    <cellStyle name="20% - Accent4 22 2 3" xfId="13513"/>
    <cellStyle name="20% - Accent4 22 2 4" xfId="6885"/>
    <cellStyle name="20% - Accent4 22 20" xfId="39602"/>
    <cellStyle name="20% - Accent4 22 21" xfId="40875"/>
    <cellStyle name="20% - Accent4 22 22" xfId="41954"/>
    <cellStyle name="20% - Accent4 22 23" xfId="10258"/>
    <cellStyle name="20% - Accent4 22 24" xfId="6884"/>
    <cellStyle name="20% - Accent4 22 3" xfId="2847"/>
    <cellStyle name="20% - Accent4 22 3 2" xfId="2848"/>
    <cellStyle name="20% - Accent4 22 3 2 2" xfId="6888"/>
    <cellStyle name="20% - Accent4 22 3 3" xfId="14636"/>
    <cellStyle name="20% - Accent4 22 3 4" xfId="6887"/>
    <cellStyle name="20% - Accent4 22 4" xfId="2849"/>
    <cellStyle name="20% - Accent4 22 4 2" xfId="2850"/>
    <cellStyle name="20% - Accent4 22 4 2 2" xfId="6890"/>
    <cellStyle name="20% - Accent4 22 4 3" xfId="15564"/>
    <cellStyle name="20% - Accent4 22 4 4" xfId="6889"/>
    <cellStyle name="20% - Accent4 22 5" xfId="2851"/>
    <cellStyle name="20% - Accent4 22 5 2" xfId="2852"/>
    <cellStyle name="20% - Accent4 22 5 2 2" xfId="6892"/>
    <cellStyle name="20% - Accent4 22 5 3" xfId="16495"/>
    <cellStyle name="20% - Accent4 22 5 4" xfId="6891"/>
    <cellStyle name="20% - Accent4 22 6" xfId="2853"/>
    <cellStyle name="20% - Accent4 22 6 2" xfId="2854"/>
    <cellStyle name="20% - Accent4 22 6 2 2" xfId="6894"/>
    <cellStyle name="20% - Accent4 22 6 3" xfId="17425"/>
    <cellStyle name="20% - Accent4 22 6 4" xfId="6893"/>
    <cellStyle name="20% - Accent4 22 7" xfId="2855"/>
    <cellStyle name="20% - Accent4 22 7 2" xfId="2856"/>
    <cellStyle name="20% - Accent4 22 7 2 2" xfId="6896"/>
    <cellStyle name="20% - Accent4 22 7 3" xfId="18333"/>
    <cellStyle name="20% - Accent4 22 7 4" xfId="6895"/>
    <cellStyle name="20% - Accent4 22 8" xfId="2857"/>
    <cellStyle name="20% - Accent4 22 8 2" xfId="19223"/>
    <cellStyle name="20% - Accent4 22 8 3" xfId="6897"/>
    <cellStyle name="20% - Accent4 22 9" xfId="20099"/>
    <cellStyle name="20% - Accent4 23" xfId="2858"/>
    <cellStyle name="20% - Accent4 23 10" xfId="21029"/>
    <cellStyle name="20% - Accent4 23 11" xfId="21867"/>
    <cellStyle name="20% - Accent4 23 12" xfId="22648"/>
    <cellStyle name="20% - Accent4 23 13" xfId="12480"/>
    <cellStyle name="20% - Accent4 23 14" xfId="6898"/>
    <cellStyle name="20% - Accent4 23 2" xfId="2859"/>
    <cellStyle name="20% - Accent4 23 2 2" xfId="2860"/>
    <cellStyle name="20% - Accent4 23 2 2 2" xfId="6900"/>
    <cellStyle name="20% - Accent4 23 2 3" xfId="13593"/>
    <cellStyle name="20% - Accent4 23 2 4" xfId="6899"/>
    <cellStyle name="20% - Accent4 23 3" xfId="2861"/>
    <cellStyle name="20% - Accent4 23 3 2" xfId="2862"/>
    <cellStyle name="20% - Accent4 23 3 2 2" xfId="6902"/>
    <cellStyle name="20% - Accent4 23 3 3" xfId="14712"/>
    <cellStyle name="20% - Accent4 23 3 4" xfId="6901"/>
    <cellStyle name="20% - Accent4 23 4" xfId="2863"/>
    <cellStyle name="20% - Accent4 23 4 2" xfId="2864"/>
    <cellStyle name="20% - Accent4 23 4 2 2" xfId="6904"/>
    <cellStyle name="20% - Accent4 23 4 3" xfId="15641"/>
    <cellStyle name="20% - Accent4 23 4 4" xfId="6903"/>
    <cellStyle name="20% - Accent4 23 5" xfId="2865"/>
    <cellStyle name="20% - Accent4 23 5 2" xfId="2866"/>
    <cellStyle name="20% - Accent4 23 5 2 2" xfId="6906"/>
    <cellStyle name="20% - Accent4 23 5 3" xfId="16572"/>
    <cellStyle name="20% - Accent4 23 5 4" xfId="6905"/>
    <cellStyle name="20% - Accent4 23 6" xfId="2867"/>
    <cellStyle name="20% - Accent4 23 6 2" xfId="2868"/>
    <cellStyle name="20% - Accent4 23 6 2 2" xfId="6908"/>
    <cellStyle name="20% - Accent4 23 6 3" xfId="17500"/>
    <cellStyle name="20% - Accent4 23 6 4" xfId="6907"/>
    <cellStyle name="20% - Accent4 23 7" xfId="2869"/>
    <cellStyle name="20% - Accent4 23 7 2" xfId="2870"/>
    <cellStyle name="20% - Accent4 23 7 2 2" xfId="6910"/>
    <cellStyle name="20% - Accent4 23 7 3" xfId="18406"/>
    <cellStyle name="20% - Accent4 23 7 4" xfId="6909"/>
    <cellStyle name="20% - Accent4 23 8" xfId="2871"/>
    <cellStyle name="20% - Accent4 23 8 2" xfId="19293"/>
    <cellStyle name="20% - Accent4 23 8 3" xfId="6911"/>
    <cellStyle name="20% - Accent4 23 9" xfId="20169"/>
    <cellStyle name="20% - Accent4 24" xfId="2872"/>
    <cellStyle name="20% - Accent4 24 10" xfId="21088"/>
    <cellStyle name="20% - Accent4 24 11" xfId="21923"/>
    <cellStyle name="20% - Accent4 24 12" xfId="22704"/>
    <cellStyle name="20% - Accent4 24 13" xfId="11436"/>
    <cellStyle name="20% - Accent4 24 14" xfId="6912"/>
    <cellStyle name="20% - Accent4 24 2" xfId="2873"/>
    <cellStyle name="20% - Accent4 24 2 2" xfId="2874"/>
    <cellStyle name="20% - Accent4 24 2 2 2" xfId="6914"/>
    <cellStyle name="20% - Accent4 24 2 3" xfId="13673"/>
    <cellStyle name="20% - Accent4 24 2 4" xfId="6913"/>
    <cellStyle name="20% - Accent4 24 3" xfId="2875"/>
    <cellStyle name="20% - Accent4 24 3 2" xfId="2876"/>
    <cellStyle name="20% - Accent4 24 3 2 2" xfId="6916"/>
    <cellStyle name="20% - Accent4 24 3 3" xfId="14785"/>
    <cellStyle name="20% - Accent4 24 3 4" xfId="6915"/>
    <cellStyle name="20% - Accent4 24 4" xfId="2877"/>
    <cellStyle name="20% - Accent4 24 4 2" xfId="2878"/>
    <cellStyle name="20% - Accent4 24 4 2 2" xfId="6918"/>
    <cellStyle name="20% - Accent4 24 4 3" xfId="15713"/>
    <cellStyle name="20% - Accent4 24 4 4" xfId="6917"/>
    <cellStyle name="20% - Accent4 24 5" xfId="2879"/>
    <cellStyle name="20% - Accent4 24 5 2" xfId="2880"/>
    <cellStyle name="20% - Accent4 24 5 2 2" xfId="6920"/>
    <cellStyle name="20% - Accent4 24 5 3" xfId="16644"/>
    <cellStyle name="20% - Accent4 24 5 4" xfId="6919"/>
    <cellStyle name="20% - Accent4 24 6" xfId="2881"/>
    <cellStyle name="20% - Accent4 24 6 2" xfId="2882"/>
    <cellStyle name="20% - Accent4 24 6 2 2" xfId="6922"/>
    <cellStyle name="20% - Accent4 24 6 3" xfId="17573"/>
    <cellStyle name="20% - Accent4 24 6 4" xfId="6921"/>
    <cellStyle name="20% - Accent4 24 7" xfId="2883"/>
    <cellStyle name="20% - Accent4 24 7 2" xfId="2884"/>
    <cellStyle name="20% - Accent4 24 7 2 2" xfId="6924"/>
    <cellStyle name="20% - Accent4 24 7 3" xfId="18475"/>
    <cellStyle name="20% - Accent4 24 7 4" xfId="6923"/>
    <cellStyle name="20% - Accent4 24 8" xfId="2885"/>
    <cellStyle name="20% - Accent4 24 8 2" xfId="19359"/>
    <cellStyle name="20% - Accent4 24 8 3" xfId="6925"/>
    <cellStyle name="20% - Accent4 24 9" xfId="20234"/>
    <cellStyle name="20% - Accent4 25" xfId="2886"/>
    <cellStyle name="20% - Accent4 25 10" xfId="6926"/>
    <cellStyle name="20% - Accent4 25 2" xfId="2887"/>
    <cellStyle name="20% - Accent4 25 2 2" xfId="2888"/>
    <cellStyle name="20% - Accent4 25 2 2 2" xfId="6928"/>
    <cellStyle name="20% - Accent4 25 2 3" xfId="6927"/>
    <cellStyle name="20% - Accent4 25 3" xfId="2889"/>
    <cellStyle name="20% - Accent4 25 3 2" xfId="2890"/>
    <cellStyle name="20% - Accent4 25 3 2 2" xfId="6930"/>
    <cellStyle name="20% - Accent4 25 3 3" xfId="6929"/>
    <cellStyle name="20% - Accent4 25 4" xfId="2891"/>
    <cellStyle name="20% - Accent4 25 4 2" xfId="2892"/>
    <cellStyle name="20% - Accent4 25 4 2 2" xfId="6932"/>
    <cellStyle name="20% - Accent4 25 4 3" xfId="6931"/>
    <cellStyle name="20% - Accent4 25 5" xfId="2893"/>
    <cellStyle name="20% - Accent4 25 5 2" xfId="2894"/>
    <cellStyle name="20% - Accent4 25 5 2 2" xfId="6934"/>
    <cellStyle name="20% - Accent4 25 5 3" xfId="6933"/>
    <cellStyle name="20% - Accent4 25 6" xfId="2895"/>
    <cellStyle name="20% - Accent4 25 6 2" xfId="2896"/>
    <cellStyle name="20% - Accent4 25 6 2 2" xfId="6936"/>
    <cellStyle name="20% - Accent4 25 6 3" xfId="6935"/>
    <cellStyle name="20% - Accent4 25 7" xfId="2897"/>
    <cellStyle name="20% - Accent4 25 7 2" xfId="2898"/>
    <cellStyle name="20% - Accent4 25 7 2 2" xfId="6938"/>
    <cellStyle name="20% - Accent4 25 7 3" xfId="6937"/>
    <cellStyle name="20% - Accent4 25 8" xfId="2899"/>
    <cellStyle name="20% - Accent4 25 8 2" xfId="6939"/>
    <cellStyle name="20% - Accent4 25 9" xfId="13743"/>
    <cellStyle name="20% - Accent4 26" xfId="2900"/>
    <cellStyle name="20% - Accent4 26 10" xfId="6940"/>
    <cellStyle name="20% - Accent4 26 2" xfId="2901"/>
    <cellStyle name="20% - Accent4 26 2 2" xfId="2902"/>
    <cellStyle name="20% - Accent4 26 2 2 2" xfId="6942"/>
    <cellStyle name="20% - Accent4 26 2 3" xfId="6941"/>
    <cellStyle name="20% - Accent4 26 3" xfId="2903"/>
    <cellStyle name="20% - Accent4 26 3 2" xfId="2904"/>
    <cellStyle name="20% - Accent4 26 3 2 2" xfId="6944"/>
    <cellStyle name="20% - Accent4 26 3 3" xfId="6943"/>
    <cellStyle name="20% - Accent4 26 4" xfId="2905"/>
    <cellStyle name="20% - Accent4 26 4 2" xfId="2906"/>
    <cellStyle name="20% - Accent4 26 4 2 2" xfId="6946"/>
    <cellStyle name="20% - Accent4 26 4 3" xfId="6945"/>
    <cellStyle name="20% - Accent4 26 5" xfId="2907"/>
    <cellStyle name="20% - Accent4 26 5 2" xfId="2908"/>
    <cellStyle name="20% - Accent4 26 5 2 2" xfId="6948"/>
    <cellStyle name="20% - Accent4 26 5 3" xfId="6947"/>
    <cellStyle name="20% - Accent4 26 6" xfId="2909"/>
    <cellStyle name="20% - Accent4 26 6 2" xfId="2910"/>
    <cellStyle name="20% - Accent4 26 6 2 2" xfId="6950"/>
    <cellStyle name="20% - Accent4 26 6 3" xfId="6949"/>
    <cellStyle name="20% - Accent4 26 7" xfId="2911"/>
    <cellStyle name="20% - Accent4 26 7 2" xfId="2912"/>
    <cellStyle name="20% - Accent4 26 7 2 2" xfId="6952"/>
    <cellStyle name="20% - Accent4 26 7 3" xfId="6951"/>
    <cellStyle name="20% - Accent4 26 8" xfId="2913"/>
    <cellStyle name="20% - Accent4 26 8 2" xfId="6953"/>
    <cellStyle name="20% - Accent4 26 9" xfId="13801"/>
    <cellStyle name="20% - Accent4 27" xfId="2914"/>
    <cellStyle name="20% - Accent4 27 10" xfId="6954"/>
    <cellStyle name="20% - Accent4 27 2" xfId="2915"/>
    <cellStyle name="20% - Accent4 27 2 2" xfId="2916"/>
    <cellStyle name="20% - Accent4 27 2 2 2" xfId="6956"/>
    <cellStyle name="20% - Accent4 27 2 3" xfId="6955"/>
    <cellStyle name="20% - Accent4 27 3" xfId="2917"/>
    <cellStyle name="20% - Accent4 27 3 2" xfId="2918"/>
    <cellStyle name="20% - Accent4 27 3 2 2" xfId="6958"/>
    <cellStyle name="20% - Accent4 27 3 3" xfId="6957"/>
    <cellStyle name="20% - Accent4 27 4" xfId="2919"/>
    <cellStyle name="20% - Accent4 27 4 2" xfId="2920"/>
    <cellStyle name="20% - Accent4 27 4 2 2" xfId="6960"/>
    <cellStyle name="20% - Accent4 27 4 3" xfId="6959"/>
    <cellStyle name="20% - Accent4 27 5" xfId="2921"/>
    <cellStyle name="20% - Accent4 27 5 2" xfId="2922"/>
    <cellStyle name="20% - Accent4 27 5 2 2" xfId="6962"/>
    <cellStyle name="20% - Accent4 27 5 3" xfId="6961"/>
    <cellStyle name="20% - Accent4 27 6" xfId="2923"/>
    <cellStyle name="20% - Accent4 27 6 2" xfId="2924"/>
    <cellStyle name="20% - Accent4 27 6 2 2" xfId="6964"/>
    <cellStyle name="20% - Accent4 27 6 3" xfId="6963"/>
    <cellStyle name="20% - Accent4 27 7" xfId="2925"/>
    <cellStyle name="20% - Accent4 27 7 2" xfId="2926"/>
    <cellStyle name="20% - Accent4 27 7 2 2" xfId="6966"/>
    <cellStyle name="20% - Accent4 27 7 3" xfId="6965"/>
    <cellStyle name="20% - Accent4 27 8" xfId="2927"/>
    <cellStyle name="20% - Accent4 27 8 2" xfId="6967"/>
    <cellStyle name="20% - Accent4 27 9" xfId="13122"/>
    <cellStyle name="20% - Accent4 28" xfId="2928"/>
    <cellStyle name="20% - Accent4 28 10" xfId="6968"/>
    <cellStyle name="20% - Accent4 28 2" xfId="2929"/>
    <cellStyle name="20% - Accent4 28 2 2" xfId="2930"/>
    <cellStyle name="20% - Accent4 28 2 2 2" xfId="6970"/>
    <cellStyle name="20% - Accent4 28 2 3" xfId="6969"/>
    <cellStyle name="20% - Accent4 28 3" xfId="2931"/>
    <cellStyle name="20% - Accent4 28 3 2" xfId="2932"/>
    <cellStyle name="20% - Accent4 28 3 2 2" xfId="6972"/>
    <cellStyle name="20% - Accent4 28 3 3" xfId="6971"/>
    <cellStyle name="20% - Accent4 28 4" xfId="2933"/>
    <cellStyle name="20% - Accent4 28 4 2" xfId="2934"/>
    <cellStyle name="20% - Accent4 28 4 2 2" xfId="6974"/>
    <cellStyle name="20% - Accent4 28 4 3" xfId="6973"/>
    <cellStyle name="20% - Accent4 28 5" xfId="2935"/>
    <cellStyle name="20% - Accent4 28 5 2" xfId="2936"/>
    <cellStyle name="20% - Accent4 28 5 2 2" xfId="6976"/>
    <cellStyle name="20% - Accent4 28 5 3" xfId="6975"/>
    <cellStyle name="20% - Accent4 28 6" xfId="2937"/>
    <cellStyle name="20% - Accent4 28 6 2" xfId="2938"/>
    <cellStyle name="20% - Accent4 28 6 2 2" xfId="6978"/>
    <cellStyle name="20% - Accent4 28 6 3" xfId="6977"/>
    <cellStyle name="20% - Accent4 28 7" xfId="2939"/>
    <cellStyle name="20% - Accent4 28 7 2" xfId="2940"/>
    <cellStyle name="20% - Accent4 28 7 2 2" xfId="6980"/>
    <cellStyle name="20% - Accent4 28 7 3" xfId="6979"/>
    <cellStyle name="20% - Accent4 28 8" xfId="2941"/>
    <cellStyle name="20% - Accent4 28 8 2" xfId="6981"/>
    <cellStyle name="20% - Accent4 28 9" xfId="14019"/>
    <cellStyle name="20% - Accent4 29" xfId="2942"/>
    <cellStyle name="20% - Accent4 29 10" xfId="6982"/>
    <cellStyle name="20% - Accent4 29 2" xfId="2943"/>
    <cellStyle name="20% - Accent4 29 2 2" xfId="2944"/>
    <cellStyle name="20% - Accent4 29 2 2 2" xfId="6984"/>
    <cellStyle name="20% - Accent4 29 2 3" xfId="6983"/>
    <cellStyle name="20% - Accent4 29 3" xfId="2945"/>
    <cellStyle name="20% - Accent4 29 3 2" xfId="2946"/>
    <cellStyle name="20% - Accent4 29 3 2 2" xfId="6986"/>
    <cellStyle name="20% - Accent4 29 3 3" xfId="6985"/>
    <cellStyle name="20% - Accent4 29 4" xfId="2947"/>
    <cellStyle name="20% - Accent4 29 4 2" xfId="2948"/>
    <cellStyle name="20% - Accent4 29 4 2 2" xfId="6988"/>
    <cellStyle name="20% - Accent4 29 4 3" xfId="6987"/>
    <cellStyle name="20% - Accent4 29 5" xfId="2949"/>
    <cellStyle name="20% - Accent4 29 5 2" xfId="2950"/>
    <cellStyle name="20% - Accent4 29 5 2 2" xfId="6990"/>
    <cellStyle name="20% - Accent4 29 5 3" xfId="6989"/>
    <cellStyle name="20% - Accent4 29 6" xfId="2951"/>
    <cellStyle name="20% - Accent4 29 6 2" xfId="2952"/>
    <cellStyle name="20% - Accent4 29 6 2 2" xfId="6992"/>
    <cellStyle name="20% - Accent4 29 6 3" xfId="6991"/>
    <cellStyle name="20% - Accent4 29 7" xfId="2953"/>
    <cellStyle name="20% - Accent4 29 7 2" xfId="2954"/>
    <cellStyle name="20% - Accent4 29 7 2 2" xfId="6994"/>
    <cellStyle name="20% - Accent4 29 7 3" xfId="6993"/>
    <cellStyle name="20% - Accent4 29 8" xfId="2955"/>
    <cellStyle name="20% - Accent4 29 8 2" xfId="6995"/>
    <cellStyle name="20% - Accent4 29 9" xfId="14829"/>
    <cellStyle name="20% - Accent4 3" xfId="2956"/>
    <cellStyle name="20% - Accent4 3 10" xfId="2957"/>
    <cellStyle name="20% - Accent4 3 10 2" xfId="6997"/>
    <cellStyle name="20% - Accent4 3 11" xfId="8827"/>
    <cellStyle name="20% - Accent4 3 12" xfId="6996"/>
    <cellStyle name="20% - Accent4 3 2" xfId="2958"/>
    <cellStyle name="20% - Accent4 3 2 2" xfId="2959"/>
    <cellStyle name="20% - Accent4 3 2 2 2" xfId="2960"/>
    <cellStyle name="20% - Accent4 3 2 2 2 2" xfId="7000"/>
    <cellStyle name="20% - Accent4 3 2 2 3" xfId="6999"/>
    <cellStyle name="20% - Accent4 3 2 3" xfId="2961"/>
    <cellStyle name="20% - Accent4 3 2 3 2" xfId="2962"/>
    <cellStyle name="20% - Accent4 3 2 3 2 2" xfId="7002"/>
    <cellStyle name="20% - Accent4 3 2 3 3" xfId="7001"/>
    <cellStyle name="20% - Accent4 3 2 4" xfId="2963"/>
    <cellStyle name="20% - Accent4 3 2 4 2" xfId="2964"/>
    <cellStyle name="20% - Accent4 3 2 4 2 2" xfId="7004"/>
    <cellStyle name="20% - Accent4 3 2 4 3" xfId="7003"/>
    <cellStyle name="20% - Accent4 3 2 5" xfId="2965"/>
    <cellStyle name="20% - Accent4 3 2 5 2" xfId="2966"/>
    <cellStyle name="20% - Accent4 3 2 5 2 2" xfId="7006"/>
    <cellStyle name="20% - Accent4 3 2 5 3" xfId="7005"/>
    <cellStyle name="20% - Accent4 3 2 6" xfId="2967"/>
    <cellStyle name="20% - Accent4 3 2 6 2" xfId="2968"/>
    <cellStyle name="20% - Accent4 3 2 6 2 2" xfId="7008"/>
    <cellStyle name="20% - Accent4 3 2 6 3" xfId="7007"/>
    <cellStyle name="20% - Accent4 3 2 7" xfId="2969"/>
    <cellStyle name="20% - Accent4 3 2 7 2" xfId="2970"/>
    <cellStyle name="20% - Accent4 3 2 7 2 2" xfId="7010"/>
    <cellStyle name="20% - Accent4 3 2 7 3" xfId="7009"/>
    <cellStyle name="20% - Accent4 3 2 8" xfId="2971"/>
    <cellStyle name="20% - Accent4 3 2 8 2" xfId="7011"/>
    <cellStyle name="20% - Accent4 3 2 9" xfId="6998"/>
    <cellStyle name="20% - Accent4 3 3" xfId="2972"/>
    <cellStyle name="20% - Accent4 3 3 2" xfId="2973"/>
    <cellStyle name="20% - Accent4 3 3 2 2" xfId="2974"/>
    <cellStyle name="20% - Accent4 3 3 2 2 2" xfId="7014"/>
    <cellStyle name="20% - Accent4 3 3 2 3" xfId="7013"/>
    <cellStyle name="20% - Accent4 3 3 3" xfId="2975"/>
    <cellStyle name="20% - Accent4 3 3 3 2" xfId="2976"/>
    <cellStyle name="20% - Accent4 3 3 3 2 2" xfId="7016"/>
    <cellStyle name="20% - Accent4 3 3 3 3" xfId="7015"/>
    <cellStyle name="20% - Accent4 3 3 4" xfId="2977"/>
    <cellStyle name="20% - Accent4 3 3 4 2" xfId="2978"/>
    <cellStyle name="20% - Accent4 3 3 4 2 2" xfId="7018"/>
    <cellStyle name="20% - Accent4 3 3 4 3" xfId="7017"/>
    <cellStyle name="20% - Accent4 3 3 5" xfId="2979"/>
    <cellStyle name="20% - Accent4 3 3 5 2" xfId="2980"/>
    <cellStyle name="20% - Accent4 3 3 5 2 2" xfId="7020"/>
    <cellStyle name="20% - Accent4 3 3 5 3" xfId="7019"/>
    <cellStyle name="20% - Accent4 3 3 6" xfId="2981"/>
    <cellStyle name="20% - Accent4 3 3 6 2" xfId="2982"/>
    <cellStyle name="20% - Accent4 3 3 6 2 2" xfId="7022"/>
    <cellStyle name="20% - Accent4 3 3 6 3" xfId="7021"/>
    <cellStyle name="20% - Accent4 3 3 7" xfId="2983"/>
    <cellStyle name="20% - Accent4 3 3 7 2" xfId="2984"/>
    <cellStyle name="20% - Accent4 3 3 7 2 2" xfId="7024"/>
    <cellStyle name="20% - Accent4 3 3 7 3" xfId="7023"/>
    <cellStyle name="20% - Accent4 3 3 8" xfId="2985"/>
    <cellStyle name="20% - Accent4 3 3 8 2" xfId="7025"/>
    <cellStyle name="20% - Accent4 3 3 9" xfId="7012"/>
    <cellStyle name="20% - Accent4 3 4" xfId="2986"/>
    <cellStyle name="20% - Accent4 3 4 2" xfId="2987"/>
    <cellStyle name="20% - Accent4 3 4 2 2" xfId="7027"/>
    <cellStyle name="20% - Accent4 3 4 3" xfId="7026"/>
    <cellStyle name="20% - Accent4 3 5" xfId="2988"/>
    <cellStyle name="20% - Accent4 3 5 2" xfId="2989"/>
    <cellStyle name="20% - Accent4 3 5 2 2" xfId="7029"/>
    <cellStyle name="20% - Accent4 3 5 3" xfId="7028"/>
    <cellStyle name="20% - Accent4 3 6" xfId="2990"/>
    <cellStyle name="20% - Accent4 3 6 2" xfId="2991"/>
    <cellStyle name="20% - Accent4 3 6 2 2" xfId="7031"/>
    <cellStyle name="20% - Accent4 3 6 3" xfId="7030"/>
    <cellStyle name="20% - Accent4 3 7" xfId="2992"/>
    <cellStyle name="20% - Accent4 3 7 2" xfId="2993"/>
    <cellStyle name="20% - Accent4 3 7 2 2" xfId="7033"/>
    <cellStyle name="20% - Accent4 3 7 3" xfId="7032"/>
    <cellStyle name="20% - Accent4 3 8" xfId="2994"/>
    <cellStyle name="20% - Accent4 3 8 2" xfId="2995"/>
    <cellStyle name="20% - Accent4 3 8 2 2" xfId="7035"/>
    <cellStyle name="20% - Accent4 3 8 3" xfId="7034"/>
    <cellStyle name="20% - Accent4 3 9" xfId="2996"/>
    <cellStyle name="20% - Accent4 3 9 2" xfId="2997"/>
    <cellStyle name="20% - Accent4 3 9 2 2" xfId="7037"/>
    <cellStyle name="20% - Accent4 3 9 3" xfId="7036"/>
    <cellStyle name="20% - Accent4 30" xfId="2998"/>
    <cellStyle name="20% - Accent4 30 10" xfId="7038"/>
    <cellStyle name="20% - Accent4 30 2" xfId="2999"/>
    <cellStyle name="20% - Accent4 30 2 2" xfId="3000"/>
    <cellStyle name="20% - Accent4 30 2 2 2" xfId="7040"/>
    <cellStyle name="20% - Accent4 30 2 3" xfId="7039"/>
    <cellStyle name="20% - Accent4 30 3" xfId="3001"/>
    <cellStyle name="20% - Accent4 30 3 2" xfId="3002"/>
    <cellStyle name="20% - Accent4 30 3 2 2" xfId="7042"/>
    <cellStyle name="20% - Accent4 30 3 3" xfId="7041"/>
    <cellStyle name="20% - Accent4 30 4" xfId="3003"/>
    <cellStyle name="20% - Accent4 30 4 2" xfId="3004"/>
    <cellStyle name="20% - Accent4 30 4 2 2" xfId="7044"/>
    <cellStyle name="20% - Accent4 30 4 3" xfId="7043"/>
    <cellStyle name="20% - Accent4 30 5" xfId="3005"/>
    <cellStyle name="20% - Accent4 30 5 2" xfId="3006"/>
    <cellStyle name="20% - Accent4 30 5 2 2" xfId="7046"/>
    <cellStyle name="20% - Accent4 30 5 3" xfId="7045"/>
    <cellStyle name="20% - Accent4 30 6" xfId="3007"/>
    <cellStyle name="20% - Accent4 30 6 2" xfId="3008"/>
    <cellStyle name="20% - Accent4 30 6 2 2" xfId="7048"/>
    <cellStyle name="20% - Accent4 30 6 3" xfId="7047"/>
    <cellStyle name="20% - Accent4 30 7" xfId="3009"/>
    <cellStyle name="20% - Accent4 30 7 2" xfId="3010"/>
    <cellStyle name="20% - Accent4 30 7 2 2" xfId="7050"/>
    <cellStyle name="20% - Accent4 30 7 3" xfId="7049"/>
    <cellStyle name="20% - Accent4 30 8" xfId="3011"/>
    <cellStyle name="20% - Accent4 30 8 2" xfId="7051"/>
    <cellStyle name="20% - Accent4 30 9" xfId="15947"/>
    <cellStyle name="20% - Accent4 31" xfId="3012"/>
    <cellStyle name="20% - Accent4 31 10" xfId="7052"/>
    <cellStyle name="20% - Accent4 31 2" xfId="3013"/>
    <cellStyle name="20% - Accent4 31 2 2" xfId="3014"/>
    <cellStyle name="20% - Accent4 31 2 2 2" xfId="7054"/>
    <cellStyle name="20% - Accent4 31 2 3" xfId="7053"/>
    <cellStyle name="20% - Accent4 31 3" xfId="3015"/>
    <cellStyle name="20% - Accent4 31 3 2" xfId="3016"/>
    <cellStyle name="20% - Accent4 31 3 2 2" xfId="7056"/>
    <cellStyle name="20% - Accent4 31 3 3" xfId="7055"/>
    <cellStyle name="20% - Accent4 31 4" xfId="3017"/>
    <cellStyle name="20% - Accent4 31 4 2" xfId="3018"/>
    <cellStyle name="20% - Accent4 31 4 2 2" xfId="7058"/>
    <cellStyle name="20% - Accent4 31 4 3" xfId="7057"/>
    <cellStyle name="20% - Accent4 31 5" xfId="3019"/>
    <cellStyle name="20% - Accent4 31 5 2" xfId="3020"/>
    <cellStyle name="20% - Accent4 31 5 2 2" xfId="7060"/>
    <cellStyle name="20% - Accent4 31 5 3" xfId="7059"/>
    <cellStyle name="20% - Accent4 31 6" xfId="3021"/>
    <cellStyle name="20% - Accent4 31 6 2" xfId="3022"/>
    <cellStyle name="20% - Accent4 31 6 2 2" xfId="7062"/>
    <cellStyle name="20% - Accent4 31 6 3" xfId="7061"/>
    <cellStyle name="20% - Accent4 31 7" xfId="3023"/>
    <cellStyle name="20% - Accent4 31 7 2" xfId="3024"/>
    <cellStyle name="20% - Accent4 31 7 2 2" xfId="7064"/>
    <cellStyle name="20% - Accent4 31 7 3" xfId="7063"/>
    <cellStyle name="20% - Accent4 31 8" xfId="3025"/>
    <cellStyle name="20% - Accent4 31 8 2" xfId="7065"/>
    <cellStyle name="20% - Accent4 31 9" xfId="16877"/>
    <cellStyle name="20% - Accent4 32" xfId="3026"/>
    <cellStyle name="20% - Accent4 32 10" xfId="7066"/>
    <cellStyle name="20% - Accent4 32 2" xfId="3027"/>
    <cellStyle name="20% - Accent4 32 2 2" xfId="3028"/>
    <cellStyle name="20% - Accent4 32 2 2 2" xfId="7068"/>
    <cellStyle name="20% - Accent4 32 2 3" xfId="7067"/>
    <cellStyle name="20% - Accent4 32 3" xfId="3029"/>
    <cellStyle name="20% - Accent4 32 3 2" xfId="3030"/>
    <cellStyle name="20% - Accent4 32 3 2 2" xfId="7070"/>
    <cellStyle name="20% - Accent4 32 3 3" xfId="7069"/>
    <cellStyle name="20% - Accent4 32 4" xfId="3031"/>
    <cellStyle name="20% - Accent4 32 4 2" xfId="3032"/>
    <cellStyle name="20% - Accent4 32 4 2 2" xfId="7072"/>
    <cellStyle name="20% - Accent4 32 4 3" xfId="7071"/>
    <cellStyle name="20% - Accent4 32 5" xfId="3033"/>
    <cellStyle name="20% - Accent4 32 5 2" xfId="3034"/>
    <cellStyle name="20% - Accent4 32 5 2 2" xfId="7074"/>
    <cellStyle name="20% - Accent4 32 5 3" xfId="7073"/>
    <cellStyle name="20% - Accent4 32 6" xfId="3035"/>
    <cellStyle name="20% - Accent4 32 6 2" xfId="3036"/>
    <cellStyle name="20% - Accent4 32 6 2 2" xfId="7076"/>
    <cellStyle name="20% - Accent4 32 6 3" xfId="7075"/>
    <cellStyle name="20% - Accent4 32 7" xfId="3037"/>
    <cellStyle name="20% - Accent4 32 7 2" xfId="3038"/>
    <cellStyle name="20% - Accent4 32 7 2 2" xfId="7078"/>
    <cellStyle name="20% - Accent4 32 7 3" xfId="7077"/>
    <cellStyle name="20% - Accent4 32 8" xfId="3039"/>
    <cellStyle name="20% - Accent4 32 8 2" xfId="7079"/>
    <cellStyle name="20% - Accent4 32 9" xfId="17785"/>
    <cellStyle name="20% - Accent4 33" xfId="3040"/>
    <cellStyle name="20% - Accent4 33 2" xfId="3041"/>
    <cellStyle name="20% - Accent4 33 2 2" xfId="7081"/>
    <cellStyle name="20% - Accent4 33 3" xfId="18675"/>
    <cellStyle name="20% - Accent4 33 4" xfId="7080"/>
    <cellStyle name="20% - Accent4 34" xfId="3042"/>
    <cellStyle name="20% - Accent4 34 2" xfId="3043"/>
    <cellStyle name="20% - Accent4 34 2 2" xfId="7083"/>
    <cellStyle name="20% - Accent4 34 3" xfId="19489"/>
    <cellStyle name="20% - Accent4 34 4" xfId="7082"/>
    <cellStyle name="20% - Accent4 35" xfId="3044"/>
    <cellStyle name="20% - Accent4 35 2" xfId="3045"/>
    <cellStyle name="20% - Accent4 35 2 2" xfId="7085"/>
    <cellStyle name="20% - Accent4 35 3" xfId="18435"/>
    <cellStyle name="20% - Accent4 35 4" xfId="7084"/>
    <cellStyle name="20% - Accent4 36" xfId="3046"/>
    <cellStyle name="20% - Accent4 36 2" xfId="3047"/>
    <cellStyle name="20% - Accent4 36 2 2" xfId="7087"/>
    <cellStyle name="20% - Accent4 36 3" xfId="21250"/>
    <cellStyle name="20% - Accent4 36 4" xfId="7086"/>
    <cellStyle name="20% - Accent4 37" xfId="3048"/>
    <cellStyle name="20% - Accent4 37 2" xfId="3049"/>
    <cellStyle name="20% - Accent4 37 2 2" xfId="7089"/>
    <cellStyle name="20% - Accent4 37 3" xfId="22772"/>
    <cellStyle name="20% - Accent4 37 4" xfId="7088"/>
    <cellStyle name="20% - Accent4 38" xfId="3050"/>
    <cellStyle name="20% - Accent4 38 2" xfId="3051"/>
    <cellStyle name="20% - Accent4 38 2 2" xfId="7091"/>
    <cellStyle name="20% - Accent4 38 3" xfId="26793"/>
    <cellStyle name="20% - Accent4 38 4" xfId="7090"/>
    <cellStyle name="20% - Accent4 39" xfId="3052"/>
    <cellStyle name="20% - Accent4 39 2" xfId="29074"/>
    <cellStyle name="20% - Accent4 39 3" xfId="7092"/>
    <cellStyle name="20% - Accent4 4" xfId="3053"/>
    <cellStyle name="20% - Accent4 4 10" xfId="3054"/>
    <cellStyle name="20% - Accent4 4 10 2" xfId="7094"/>
    <cellStyle name="20% - Accent4 4 11" xfId="8918"/>
    <cellStyle name="20% - Accent4 4 12" xfId="7093"/>
    <cellStyle name="20% - Accent4 4 2" xfId="3055"/>
    <cellStyle name="20% - Accent4 4 2 2" xfId="3056"/>
    <cellStyle name="20% - Accent4 4 2 2 2" xfId="3057"/>
    <cellStyle name="20% - Accent4 4 2 2 2 2" xfId="7097"/>
    <cellStyle name="20% - Accent4 4 2 2 3" xfId="7096"/>
    <cellStyle name="20% - Accent4 4 2 3" xfId="3058"/>
    <cellStyle name="20% - Accent4 4 2 3 2" xfId="3059"/>
    <cellStyle name="20% - Accent4 4 2 3 2 2" xfId="7099"/>
    <cellStyle name="20% - Accent4 4 2 3 3" xfId="7098"/>
    <cellStyle name="20% - Accent4 4 2 4" xfId="3060"/>
    <cellStyle name="20% - Accent4 4 2 4 2" xfId="3061"/>
    <cellStyle name="20% - Accent4 4 2 4 2 2" xfId="7101"/>
    <cellStyle name="20% - Accent4 4 2 4 3" xfId="7100"/>
    <cellStyle name="20% - Accent4 4 2 5" xfId="3062"/>
    <cellStyle name="20% - Accent4 4 2 5 2" xfId="3063"/>
    <cellStyle name="20% - Accent4 4 2 5 2 2" xfId="7103"/>
    <cellStyle name="20% - Accent4 4 2 5 3" xfId="7102"/>
    <cellStyle name="20% - Accent4 4 2 6" xfId="3064"/>
    <cellStyle name="20% - Accent4 4 2 6 2" xfId="3065"/>
    <cellStyle name="20% - Accent4 4 2 6 2 2" xfId="7105"/>
    <cellStyle name="20% - Accent4 4 2 6 3" xfId="7104"/>
    <cellStyle name="20% - Accent4 4 2 7" xfId="3066"/>
    <cellStyle name="20% - Accent4 4 2 7 2" xfId="3067"/>
    <cellStyle name="20% - Accent4 4 2 7 2 2" xfId="7107"/>
    <cellStyle name="20% - Accent4 4 2 7 3" xfId="7106"/>
    <cellStyle name="20% - Accent4 4 2 8" xfId="3068"/>
    <cellStyle name="20% - Accent4 4 2 8 2" xfId="7108"/>
    <cellStyle name="20% - Accent4 4 2 9" xfId="7095"/>
    <cellStyle name="20% - Accent4 4 3" xfId="3069"/>
    <cellStyle name="20% - Accent4 4 3 2" xfId="3070"/>
    <cellStyle name="20% - Accent4 4 3 2 2" xfId="3071"/>
    <cellStyle name="20% - Accent4 4 3 2 2 2" xfId="7111"/>
    <cellStyle name="20% - Accent4 4 3 2 3" xfId="7110"/>
    <cellStyle name="20% - Accent4 4 3 3" xfId="3072"/>
    <cellStyle name="20% - Accent4 4 3 3 2" xfId="3073"/>
    <cellStyle name="20% - Accent4 4 3 3 2 2" xfId="7113"/>
    <cellStyle name="20% - Accent4 4 3 3 3" xfId="7112"/>
    <cellStyle name="20% - Accent4 4 3 4" xfId="3074"/>
    <cellStyle name="20% - Accent4 4 3 4 2" xfId="3075"/>
    <cellStyle name="20% - Accent4 4 3 4 2 2" xfId="7115"/>
    <cellStyle name="20% - Accent4 4 3 4 3" xfId="7114"/>
    <cellStyle name="20% - Accent4 4 3 5" xfId="3076"/>
    <cellStyle name="20% - Accent4 4 3 5 2" xfId="3077"/>
    <cellStyle name="20% - Accent4 4 3 5 2 2" xfId="7117"/>
    <cellStyle name="20% - Accent4 4 3 5 3" xfId="7116"/>
    <cellStyle name="20% - Accent4 4 3 6" xfId="3078"/>
    <cellStyle name="20% - Accent4 4 3 6 2" xfId="3079"/>
    <cellStyle name="20% - Accent4 4 3 6 2 2" xfId="7119"/>
    <cellStyle name="20% - Accent4 4 3 6 3" xfId="7118"/>
    <cellStyle name="20% - Accent4 4 3 7" xfId="3080"/>
    <cellStyle name="20% - Accent4 4 3 7 2" xfId="3081"/>
    <cellStyle name="20% - Accent4 4 3 7 2 2" xfId="7121"/>
    <cellStyle name="20% - Accent4 4 3 7 3" xfId="7120"/>
    <cellStyle name="20% - Accent4 4 3 8" xfId="3082"/>
    <cellStyle name="20% - Accent4 4 3 8 2" xfId="7122"/>
    <cellStyle name="20% - Accent4 4 3 9" xfId="7109"/>
    <cellStyle name="20% - Accent4 4 4" xfId="3083"/>
    <cellStyle name="20% - Accent4 4 4 2" xfId="3084"/>
    <cellStyle name="20% - Accent4 4 4 2 2" xfId="7124"/>
    <cellStyle name="20% - Accent4 4 4 3" xfId="7123"/>
    <cellStyle name="20% - Accent4 4 5" xfId="3085"/>
    <cellStyle name="20% - Accent4 4 5 2" xfId="3086"/>
    <cellStyle name="20% - Accent4 4 5 2 2" xfId="7126"/>
    <cellStyle name="20% - Accent4 4 5 3" xfId="7125"/>
    <cellStyle name="20% - Accent4 4 6" xfId="3087"/>
    <cellStyle name="20% - Accent4 4 6 2" xfId="3088"/>
    <cellStyle name="20% - Accent4 4 6 2 2" xfId="7128"/>
    <cellStyle name="20% - Accent4 4 6 3" xfId="7127"/>
    <cellStyle name="20% - Accent4 4 7" xfId="3089"/>
    <cellStyle name="20% - Accent4 4 7 2" xfId="3090"/>
    <cellStyle name="20% - Accent4 4 7 2 2" xfId="7130"/>
    <cellStyle name="20% - Accent4 4 7 3" xfId="7129"/>
    <cellStyle name="20% - Accent4 4 8" xfId="3091"/>
    <cellStyle name="20% - Accent4 4 8 2" xfId="3092"/>
    <cellStyle name="20% - Accent4 4 8 2 2" xfId="7132"/>
    <cellStyle name="20% - Accent4 4 8 3" xfId="7131"/>
    <cellStyle name="20% - Accent4 4 9" xfId="3093"/>
    <cellStyle name="20% - Accent4 4 9 2" xfId="3094"/>
    <cellStyle name="20% - Accent4 4 9 2 2" xfId="7134"/>
    <cellStyle name="20% - Accent4 4 9 3" xfId="7133"/>
    <cellStyle name="20% - Accent4 40" xfId="3095"/>
    <cellStyle name="20% - Accent4 40 2" xfId="30859"/>
    <cellStyle name="20% - Accent4 40 3" xfId="7135"/>
    <cellStyle name="20% - Accent4 41" xfId="3096"/>
    <cellStyle name="20% - Accent4 41 2" xfId="32631"/>
    <cellStyle name="20% - Accent4 41 3" xfId="7136"/>
    <cellStyle name="20% - Accent4 42" xfId="3097"/>
    <cellStyle name="20% - Accent4 42 2" xfId="34372"/>
    <cellStyle name="20% - Accent4 42 3" xfId="7137"/>
    <cellStyle name="20% - Accent4 43" xfId="3098"/>
    <cellStyle name="20% - Accent4 43 2" xfId="36060"/>
    <cellStyle name="20% - Accent4 43 3" xfId="7138"/>
    <cellStyle name="20% - Accent4 44" xfId="3099"/>
    <cellStyle name="20% - Accent4 44 2" xfId="37677"/>
    <cellStyle name="20% - Accent4 44 3" xfId="7139"/>
    <cellStyle name="20% - Accent4 45" xfId="3100"/>
    <cellStyle name="20% - Accent4 45 2" xfId="39195"/>
    <cellStyle name="20% - Accent4 45 3" xfId="7140"/>
    <cellStyle name="20% - Accent4 46" xfId="3101"/>
    <cellStyle name="20% - Accent4 46 2" xfId="40574"/>
    <cellStyle name="20% - Accent4 46 3" xfId="7141"/>
    <cellStyle name="20% - Accent4 47" xfId="3102"/>
    <cellStyle name="20% - Accent4 47 2" xfId="42576"/>
    <cellStyle name="20% - Accent4 47 3" xfId="7142"/>
    <cellStyle name="20% - Accent4 48" xfId="3103"/>
    <cellStyle name="20% - Accent4 48 2" xfId="42700"/>
    <cellStyle name="20% - Accent4 48 3" xfId="7143"/>
    <cellStyle name="20% - Accent4 49" xfId="3104"/>
    <cellStyle name="20% - Accent4 49 2" xfId="42744"/>
    <cellStyle name="20% - Accent4 49 3" xfId="7144"/>
    <cellStyle name="20% - Accent4 5" xfId="3105"/>
    <cellStyle name="20% - Accent4 5 10" xfId="3106"/>
    <cellStyle name="20% - Accent4 5 10 2" xfId="7146"/>
    <cellStyle name="20% - Accent4 5 11" xfId="8996"/>
    <cellStyle name="20% - Accent4 5 12" xfId="7145"/>
    <cellStyle name="20% - Accent4 5 2" xfId="3107"/>
    <cellStyle name="20% - Accent4 5 2 2" xfId="3108"/>
    <cellStyle name="20% - Accent4 5 2 2 2" xfId="3109"/>
    <cellStyle name="20% - Accent4 5 2 2 2 2" xfId="7149"/>
    <cellStyle name="20% - Accent4 5 2 2 3" xfId="7148"/>
    <cellStyle name="20% - Accent4 5 2 3" xfId="3110"/>
    <cellStyle name="20% - Accent4 5 2 3 2" xfId="3111"/>
    <cellStyle name="20% - Accent4 5 2 3 2 2" xfId="7151"/>
    <cellStyle name="20% - Accent4 5 2 3 3" xfId="7150"/>
    <cellStyle name="20% - Accent4 5 2 4" xfId="3112"/>
    <cellStyle name="20% - Accent4 5 2 4 2" xfId="3113"/>
    <cellStyle name="20% - Accent4 5 2 4 2 2" xfId="7153"/>
    <cellStyle name="20% - Accent4 5 2 4 3" xfId="7152"/>
    <cellStyle name="20% - Accent4 5 2 5" xfId="3114"/>
    <cellStyle name="20% - Accent4 5 2 5 2" xfId="3115"/>
    <cellStyle name="20% - Accent4 5 2 5 2 2" xfId="7155"/>
    <cellStyle name="20% - Accent4 5 2 5 3" xfId="7154"/>
    <cellStyle name="20% - Accent4 5 2 6" xfId="3116"/>
    <cellStyle name="20% - Accent4 5 2 6 2" xfId="3117"/>
    <cellStyle name="20% - Accent4 5 2 6 2 2" xfId="7157"/>
    <cellStyle name="20% - Accent4 5 2 6 3" xfId="7156"/>
    <cellStyle name="20% - Accent4 5 2 7" xfId="3118"/>
    <cellStyle name="20% - Accent4 5 2 7 2" xfId="3119"/>
    <cellStyle name="20% - Accent4 5 2 7 2 2" xfId="7159"/>
    <cellStyle name="20% - Accent4 5 2 7 3" xfId="7158"/>
    <cellStyle name="20% - Accent4 5 2 8" xfId="3120"/>
    <cellStyle name="20% - Accent4 5 2 8 2" xfId="7160"/>
    <cellStyle name="20% - Accent4 5 2 9" xfId="7147"/>
    <cellStyle name="20% - Accent4 5 3" xfId="3121"/>
    <cellStyle name="20% - Accent4 5 3 2" xfId="3122"/>
    <cellStyle name="20% - Accent4 5 3 2 2" xfId="3123"/>
    <cellStyle name="20% - Accent4 5 3 2 2 2" xfId="7163"/>
    <cellStyle name="20% - Accent4 5 3 2 3" xfId="7162"/>
    <cellStyle name="20% - Accent4 5 3 3" xfId="3124"/>
    <cellStyle name="20% - Accent4 5 3 3 2" xfId="3125"/>
    <cellStyle name="20% - Accent4 5 3 3 2 2" xfId="7165"/>
    <cellStyle name="20% - Accent4 5 3 3 3" xfId="7164"/>
    <cellStyle name="20% - Accent4 5 3 4" xfId="3126"/>
    <cellStyle name="20% - Accent4 5 3 4 2" xfId="3127"/>
    <cellStyle name="20% - Accent4 5 3 4 2 2" xfId="7167"/>
    <cellStyle name="20% - Accent4 5 3 4 3" xfId="7166"/>
    <cellStyle name="20% - Accent4 5 3 5" xfId="3128"/>
    <cellStyle name="20% - Accent4 5 3 5 2" xfId="3129"/>
    <cellStyle name="20% - Accent4 5 3 5 2 2" xfId="7169"/>
    <cellStyle name="20% - Accent4 5 3 5 3" xfId="7168"/>
    <cellStyle name="20% - Accent4 5 3 6" xfId="3130"/>
    <cellStyle name="20% - Accent4 5 3 6 2" xfId="3131"/>
    <cellStyle name="20% - Accent4 5 3 6 2 2" xfId="7171"/>
    <cellStyle name="20% - Accent4 5 3 6 3" xfId="7170"/>
    <cellStyle name="20% - Accent4 5 3 7" xfId="3132"/>
    <cellStyle name="20% - Accent4 5 3 7 2" xfId="3133"/>
    <cellStyle name="20% - Accent4 5 3 7 2 2" xfId="7173"/>
    <cellStyle name="20% - Accent4 5 3 7 3" xfId="7172"/>
    <cellStyle name="20% - Accent4 5 3 8" xfId="3134"/>
    <cellStyle name="20% - Accent4 5 3 8 2" xfId="7174"/>
    <cellStyle name="20% - Accent4 5 3 9" xfId="7161"/>
    <cellStyle name="20% - Accent4 5 4" xfId="3135"/>
    <cellStyle name="20% - Accent4 5 4 2" xfId="3136"/>
    <cellStyle name="20% - Accent4 5 4 2 2" xfId="7176"/>
    <cellStyle name="20% - Accent4 5 4 3" xfId="7175"/>
    <cellStyle name="20% - Accent4 5 5" xfId="3137"/>
    <cellStyle name="20% - Accent4 5 5 2" xfId="3138"/>
    <cellStyle name="20% - Accent4 5 5 2 2" xfId="7178"/>
    <cellStyle name="20% - Accent4 5 5 3" xfId="7177"/>
    <cellStyle name="20% - Accent4 5 6" xfId="3139"/>
    <cellStyle name="20% - Accent4 5 6 2" xfId="3140"/>
    <cellStyle name="20% - Accent4 5 6 2 2" xfId="7180"/>
    <cellStyle name="20% - Accent4 5 6 3" xfId="7179"/>
    <cellStyle name="20% - Accent4 5 7" xfId="3141"/>
    <cellStyle name="20% - Accent4 5 7 2" xfId="3142"/>
    <cellStyle name="20% - Accent4 5 7 2 2" xfId="7182"/>
    <cellStyle name="20% - Accent4 5 7 3" xfId="7181"/>
    <cellStyle name="20% - Accent4 5 8" xfId="3143"/>
    <cellStyle name="20% - Accent4 5 8 2" xfId="3144"/>
    <cellStyle name="20% - Accent4 5 8 2 2" xfId="7184"/>
    <cellStyle name="20% - Accent4 5 8 3" xfId="7183"/>
    <cellStyle name="20% - Accent4 5 9" xfId="3145"/>
    <cellStyle name="20% - Accent4 5 9 2" xfId="3146"/>
    <cellStyle name="20% - Accent4 5 9 2 2" xfId="7186"/>
    <cellStyle name="20% - Accent4 5 9 3" xfId="7185"/>
    <cellStyle name="20% - Accent4 50" xfId="3147"/>
    <cellStyle name="20% - Accent4 50 2" xfId="42786"/>
    <cellStyle name="20% - Accent4 50 3" xfId="7187"/>
    <cellStyle name="20% - Accent4 51" xfId="3148"/>
    <cellStyle name="20% - Accent4 51 2" xfId="42827"/>
    <cellStyle name="20% - Accent4 51 3" xfId="7188"/>
    <cellStyle name="20% - Accent4 52" xfId="3149"/>
    <cellStyle name="20% - Accent4 52 2" xfId="42868"/>
    <cellStyle name="20% - Accent4 52 3" xfId="7189"/>
    <cellStyle name="20% - Accent4 53" xfId="3150"/>
    <cellStyle name="20% - Accent4 53 2" xfId="42908"/>
    <cellStyle name="20% - Accent4 53 3" xfId="7190"/>
    <cellStyle name="20% - Accent4 54" xfId="3151"/>
    <cellStyle name="20% - Accent4 54 2" xfId="42948"/>
    <cellStyle name="20% - Accent4 54 3" xfId="7191"/>
    <cellStyle name="20% - Accent4 55" xfId="3152"/>
    <cellStyle name="20% - Accent4 55 2" xfId="42985"/>
    <cellStyle name="20% - Accent4 55 3" xfId="7192"/>
    <cellStyle name="20% - Accent4 56" xfId="3153"/>
    <cellStyle name="20% - Accent4 56 2" xfId="43022"/>
    <cellStyle name="20% - Accent4 56 3" xfId="7193"/>
    <cellStyle name="20% - Accent4 57" xfId="3154"/>
    <cellStyle name="20% - Accent4 57 2" xfId="43056"/>
    <cellStyle name="20% - Accent4 57 3" xfId="7194"/>
    <cellStyle name="20% - Accent4 58" xfId="3155"/>
    <cellStyle name="20% - Accent4 58 2" xfId="43088"/>
    <cellStyle name="20% - Accent4 58 3" xfId="7195"/>
    <cellStyle name="20% - Accent4 59" xfId="3156"/>
    <cellStyle name="20% - Accent4 59 2" xfId="43111"/>
    <cellStyle name="20% - Accent4 59 3" xfId="7196"/>
    <cellStyle name="20% - Accent4 6" xfId="3157"/>
    <cellStyle name="20% - Accent4 6 10" xfId="3158"/>
    <cellStyle name="20% - Accent4 6 10 2" xfId="7198"/>
    <cellStyle name="20% - Accent4 6 11" xfId="9069"/>
    <cellStyle name="20% - Accent4 6 12" xfId="7197"/>
    <cellStyle name="20% - Accent4 6 2" xfId="3159"/>
    <cellStyle name="20% - Accent4 6 2 2" xfId="3160"/>
    <cellStyle name="20% - Accent4 6 2 2 2" xfId="3161"/>
    <cellStyle name="20% - Accent4 6 2 2 2 2" xfId="7201"/>
    <cellStyle name="20% - Accent4 6 2 2 3" xfId="7200"/>
    <cellStyle name="20% - Accent4 6 2 3" xfId="3162"/>
    <cellStyle name="20% - Accent4 6 2 3 2" xfId="3163"/>
    <cellStyle name="20% - Accent4 6 2 3 2 2" xfId="7203"/>
    <cellStyle name="20% - Accent4 6 2 3 3" xfId="7202"/>
    <cellStyle name="20% - Accent4 6 2 4" xfId="3164"/>
    <cellStyle name="20% - Accent4 6 2 4 2" xfId="3165"/>
    <cellStyle name="20% - Accent4 6 2 4 2 2" xfId="7205"/>
    <cellStyle name="20% - Accent4 6 2 4 3" xfId="7204"/>
    <cellStyle name="20% - Accent4 6 2 5" xfId="3166"/>
    <cellStyle name="20% - Accent4 6 2 5 2" xfId="3167"/>
    <cellStyle name="20% - Accent4 6 2 5 2 2" xfId="7207"/>
    <cellStyle name="20% - Accent4 6 2 5 3" xfId="7206"/>
    <cellStyle name="20% - Accent4 6 2 6" xfId="3168"/>
    <cellStyle name="20% - Accent4 6 2 6 2" xfId="3169"/>
    <cellStyle name="20% - Accent4 6 2 6 2 2" xfId="7209"/>
    <cellStyle name="20% - Accent4 6 2 6 3" xfId="7208"/>
    <cellStyle name="20% - Accent4 6 2 7" xfId="3170"/>
    <cellStyle name="20% - Accent4 6 2 7 2" xfId="3171"/>
    <cellStyle name="20% - Accent4 6 2 7 2 2" xfId="7211"/>
    <cellStyle name="20% - Accent4 6 2 7 3" xfId="7210"/>
    <cellStyle name="20% - Accent4 6 2 8" xfId="3172"/>
    <cellStyle name="20% - Accent4 6 2 8 2" xfId="7212"/>
    <cellStyle name="20% - Accent4 6 2 9" xfId="7199"/>
    <cellStyle name="20% - Accent4 6 3" xfId="3173"/>
    <cellStyle name="20% - Accent4 6 3 2" xfId="3174"/>
    <cellStyle name="20% - Accent4 6 3 2 2" xfId="3175"/>
    <cellStyle name="20% - Accent4 6 3 2 2 2" xfId="7215"/>
    <cellStyle name="20% - Accent4 6 3 2 3" xfId="7214"/>
    <cellStyle name="20% - Accent4 6 3 3" xfId="3176"/>
    <cellStyle name="20% - Accent4 6 3 3 2" xfId="3177"/>
    <cellStyle name="20% - Accent4 6 3 3 2 2" xfId="7217"/>
    <cellStyle name="20% - Accent4 6 3 3 3" xfId="7216"/>
    <cellStyle name="20% - Accent4 6 3 4" xfId="3178"/>
    <cellStyle name="20% - Accent4 6 3 4 2" xfId="3179"/>
    <cellStyle name="20% - Accent4 6 3 4 2 2" xfId="7219"/>
    <cellStyle name="20% - Accent4 6 3 4 3" xfId="7218"/>
    <cellStyle name="20% - Accent4 6 3 5" xfId="3180"/>
    <cellStyle name="20% - Accent4 6 3 5 2" xfId="3181"/>
    <cellStyle name="20% - Accent4 6 3 5 2 2" xfId="7221"/>
    <cellStyle name="20% - Accent4 6 3 5 3" xfId="7220"/>
    <cellStyle name="20% - Accent4 6 3 6" xfId="3182"/>
    <cellStyle name="20% - Accent4 6 3 6 2" xfId="3183"/>
    <cellStyle name="20% - Accent4 6 3 6 2 2" xfId="7223"/>
    <cellStyle name="20% - Accent4 6 3 6 3" xfId="7222"/>
    <cellStyle name="20% - Accent4 6 3 7" xfId="3184"/>
    <cellStyle name="20% - Accent4 6 3 7 2" xfId="3185"/>
    <cellStyle name="20% - Accent4 6 3 7 2 2" xfId="7225"/>
    <cellStyle name="20% - Accent4 6 3 7 3" xfId="7224"/>
    <cellStyle name="20% - Accent4 6 3 8" xfId="3186"/>
    <cellStyle name="20% - Accent4 6 3 8 2" xfId="7226"/>
    <cellStyle name="20% - Accent4 6 3 9" xfId="7213"/>
    <cellStyle name="20% - Accent4 6 4" xfId="3187"/>
    <cellStyle name="20% - Accent4 6 4 2" xfId="3188"/>
    <cellStyle name="20% - Accent4 6 4 2 2" xfId="7228"/>
    <cellStyle name="20% - Accent4 6 4 3" xfId="7227"/>
    <cellStyle name="20% - Accent4 6 5" xfId="3189"/>
    <cellStyle name="20% - Accent4 6 5 2" xfId="3190"/>
    <cellStyle name="20% - Accent4 6 5 2 2" xfId="7230"/>
    <cellStyle name="20% - Accent4 6 5 3" xfId="7229"/>
    <cellStyle name="20% - Accent4 6 6" xfId="3191"/>
    <cellStyle name="20% - Accent4 6 6 2" xfId="3192"/>
    <cellStyle name="20% - Accent4 6 6 2 2" xfId="7232"/>
    <cellStyle name="20% - Accent4 6 6 3" xfId="7231"/>
    <cellStyle name="20% - Accent4 6 7" xfId="3193"/>
    <cellStyle name="20% - Accent4 6 7 2" xfId="3194"/>
    <cellStyle name="20% - Accent4 6 7 2 2" xfId="7234"/>
    <cellStyle name="20% - Accent4 6 7 3" xfId="7233"/>
    <cellStyle name="20% - Accent4 6 8" xfId="3195"/>
    <cellStyle name="20% - Accent4 6 8 2" xfId="3196"/>
    <cellStyle name="20% - Accent4 6 8 2 2" xfId="7236"/>
    <cellStyle name="20% - Accent4 6 8 3" xfId="7235"/>
    <cellStyle name="20% - Accent4 6 9" xfId="3197"/>
    <cellStyle name="20% - Accent4 6 9 2" xfId="3198"/>
    <cellStyle name="20% - Accent4 6 9 2 2" xfId="7238"/>
    <cellStyle name="20% - Accent4 6 9 3" xfId="7237"/>
    <cellStyle name="20% - Accent4 60" xfId="3199"/>
    <cellStyle name="20% - Accent4 60 2" xfId="43127"/>
    <cellStyle name="20% - Accent4 60 3" xfId="7239"/>
    <cellStyle name="20% - Accent4 61" xfId="3200"/>
    <cellStyle name="20% - Accent4 61 2" xfId="43197"/>
    <cellStyle name="20% - Accent4 61 3" xfId="7240"/>
    <cellStyle name="20% - Accent4 62" xfId="3201"/>
    <cellStyle name="20% - Accent4 62 2" xfId="8615"/>
    <cellStyle name="20% - Accent4 62 3" xfId="7241"/>
    <cellStyle name="20% - Accent4 63" xfId="3202"/>
    <cellStyle name="20% - Accent4 63 2" xfId="7242"/>
    <cellStyle name="20% - Accent4 64" xfId="3203"/>
    <cellStyle name="20% - Accent4 64 2" xfId="7243"/>
    <cellStyle name="20% - Accent4 65" xfId="3204"/>
    <cellStyle name="20% - Accent4 65 2" xfId="7244"/>
    <cellStyle name="20% - Accent4 66" xfId="3205"/>
    <cellStyle name="20% - Accent4 66 2" xfId="7245"/>
    <cellStyle name="20% - Accent4 67" xfId="3206"/>
    <cellStyle name="20% - Accent4 67 2" xfId="7246"/>
    <cellStyle name="20% - Accent4 68" xfId="3207"/>
    <cellStyle name="20% - Accent4 68 2" xfId="7247"/>
    <cellStyle name="20% - Accent4 69" xfId="3208"/>
    <cellStyle name="20% - Accent4 69 2" xfId="7248"/>
    <cellStyle name="20% - Accent4 7" xfId="3209"/>
    <cellStyle name="20% - Accent4 7 10" xfId="3210"/>
    <cellStyle name="20% - Accent4 7 10 2" xfId="7250"/>
    <cellStyle name="20% - Accent4 7 11" xfId="9126"/>
    <cellStyle name="20% - Accent4 7 12" xfId="7249"/>
    <cellStyle name="20% - Accent4 7 2" xfId="3211"/>
    <cellStyle name="20% - Accent4 7 2 2" xfId="3212"/>
    <cellStyle name="20% - Accent4 7 2 2 2" xfId="3213"/>
    <cellStyle name="20% - Accent4 7 2 2 2 2" xfId="7253"/>
    <cellStyle name="20% - Accent4 7 2 2 3" xfId="7252"/>
    <cellStyle name="20% - Accent4 7 2 3" xfId="3214"/>
    <cellStyle name="20% - Accent4 7 2 3 2" xfId="3215"/>
    <cellStyle name="20% - Accent4 7 2 3 2 2" xfId="7255"/>
    <cellStyle name="20% - Accent4 7 2 3 3" xfId="7254"/>
    <cellStyle name="20% - Accent4 7 2 4" xfId="3216"/>
    <cellStyle name="20% - Accent4 7 2 4 2" xfId="3217"/>
    <cellStyle name="20% - Accent4 7 2 4 2 2" xfId="7257"/>
    <cellStyle name="20% - Accent4 7 2 4 3" xfId="7256"/>
    <cellStyle name="20% - Accent4 7 2 5" xfId="3218"/>
    <cellStyle name="20% - Accent4 7 2 5 2" xfId="3219"/>
    <cellStyle name="20% - Accent4 7 2 5 2 2" xfId="7259"/>
    <cellStyle name="20% - Accent4 7 2 5 3" xfId="7258"/>
    <cellStyle name="20% - Accent4 7 2 6" xfId="3220"/>
    <cellStyle name="20% - Accent4 7 2 6 2" xfId="3221"/>
    <cellStyle name="20% - Accent4 7 2 6 2 2" xfId="7261"/>
    <cellStyle name="20% - Accent4 7 2 6 3" xfId="7260"/>
    <cellStyle name="20% - Accent4 7 2 7" xfId="3222"/>
    <cellStyle name="20% - Accent4 7 2 7 2" xfId="3223"/>
    <cellStyle name="20% - Accent4 7 2 7 2 2" xfId="7263"/>
    <cellStyle name="20% - Accent4 7 2 7 3" xfId="7262"/>
    <cellStyle name="20% - Accent4 7 2 8" xfId="3224"/>
    <cellStyle name="20% - Accent4 7 2 8 2" xfId="7264"/>
    <cellStyle name="20% - Accent4 7 2 9" xfId="7251"/>
    <cellStyle name="20% - Accent4 7 3" xfId="3225"/>
    <cellStyle name="20% - Accent4 7 3 2" xfId="3226"/>
    <cellStyle name="20% - Accent4 7 3 2 2" xfId="3227"/>
    <cellStyle name="20% - Accent4 7 3 2 2 2" xfId="7267"/>
    <cellStyle name="20% - Accent4 7 3 2 3" xfId="7266"/>
    <cellStyle name="20% - Accent4 7 3 3" xfId="3228"/>
    <cellStyle name="20% - Accent4 7 3 3 2" xfId="3229"/>
    <cellStyle name="20% - Accent4 7 3 3 2 2" xfId="7269"/>
    <cellStyle name="20% - Accent4 7 3 3 3" xfId="7268"/>
    <cellStyle name="20% - Accent4 7 3 4" xfId="3230"/>
    <cellStyle name="20% - Accent4 7 3 4 2" xfId="3231"/>
    <cellStyle name="20% - Accent4 7 3 4 2 2" xfId="7271"/>
    <cellStyle name="20% - Accent4 7 3 4 3" xfId="7270"/>
    <cellStyle name="20% - Accent4 7 3 5" xfId="3232"/>
    <cellStyle name="20% - Accent4 7 3 5 2" xfId="3233"/>
    <cellStyle name="20% - Accent4 7 3 5 2 2" xfId="7273"/>
    <cellStyle name="20% - Accent4 7 3 5 3" xfId="7272"/>
    <cellStyle name="20% - Accent4 7 3 6" xfId="3234"/>
    <cellStyle name="20% - Accent4 7 3 6 2" xfId="3235"/>
    <cellStyle name="20% - Accent4 7 3 6 2 2" xfId="7275"/>
    <cellStyle name="20% - Accent4 7 3 6 3" xfId="7274"/>
    <cellStyle name="20% - Accent4 7 3 7" xfId="3236"/>
    <cellStyle name="20% - Accent4 7 3 7 2" xfId="3237"/>
    <cellStyle name="20% - Accent4 7 3 7 2 2" xfId="7277"/>
    <cellStyle name="20% - Accent4 7 3 7 3" xfId="7276"/>
    <cellStyle name="20% - Accent4 7 3 8" xfId="3238"/>
    <cellStyle name="20% - Accent4 7 3 8 2" xfId="7278"/>
    <cellStyle name="20% - Accent4 7 3 9" xfId="7265"/>
    <cellStyle name="20% - Accent4 7 4" xfId="3239"/>
    <cellStyle name="20% - Accent4 7 4 2" xfId="3240"/>
    <cellStyle name="20% - Accent4 7 4 2 2" xfId="7280"/>
    <cellStyle name="20% - Accent4 7 4 3" xfId="7279"/>
    <cellStyle name="20% - Accent4 7 5" xfId="3241"/>
    <cellStyle name="20% - Accent4 7 5 2" xfId="3242"/>
    <cellStyle name="20% - Accent4 7 5 2 2" xfId="7282"/>
    <cellStyle name="20% - Accent4 7 5 3" xfId="7281"/>
    <cellStyle name="20% - Accent4 7 6" xfId="3243"/>
    <cellStyle name="20% - Accent4 7 6 2" xfId="3244"/>
    <cellStyle name="20% - Accent4 7 6 2 2" xfId="7284"/>
    <cellStyle name="20% - Accent4 7 6 3" xfId="7283"/>
    <cellStyle name="20% - Accent4 7 7" xfId="3245"/>
    <cellStyle name="20% - Accent4 7 7 2" xfId="3246"/>
    <cellStyle name="20% - Accent4 7 7 2 2" xfId="7286"/>
    <cellStyle name="20% - Accent4 7 7 3" xfId="7285"/>
    <cellStyle name="20% - Accent4 7 8" xfId="3247"/>
    <cellStyle name="20% - Accent4 7 8 2" xfId="3248"/>
    <cellStyle name="20% - Accent4 7 8 2 2" xfId="7288"/>
    <cellStyle name="20% - Accent4 7 8 3" xfId="7287"/>
    <cellStyle name="20% - Accent4 7 9" xfId="3249"/>
    <cellStyle name="20% - Accent4 7 9 2" xfId="3250"/>
    <cellStyle name="20% - Accent4 7 9 2 2" xfId="7290"/>
    <cellStyle name="20% - Accent4 7 9 3" xfId="7289"/>
    <cellStyle name="20% - Accent4 70" xfId="3251"/>
    <cellStyle name="20% - Accent4 70 2" xfId="7291"/>
    <cellStyle name="20% - Accent4 71" xfId="3252"/>
    <cellStyle name="20% - Accent4 71 2" xfId="7292"/>
    <cellStyle name="20% - Accent4 72" xfId="3253"/>
    <cellStyle name="20% - Accent4 72 2" xfId="7293"/>
    <cellStyle name="20% - Accent4 73" xfId="3254"/>
    <cellStyle name="20% - Accent4 73 2" xfId="7294"/>
    <cellStyle name="20% - Accent4 74" xfId="3255"/>
    <cellStyle name="20% - Accent4 74 2" xfId="7295"/>
    <cellStyle name="20% - Accent4 75" xfId="3256"/>
    <cellStyle name="20% - Accent4 75 2" xfId="7296"/>
    <cellStyle name="20% - Accent4 76" xfId="3257"/>
    <cellStyle name="20% - Accent4 76 2" xfId="7297"/>
    <cellStyle name="20% - Accent4 77" xfId="3258"/>
    <cellStyle name="20% - Accent4 77 2" xfId="7298"/>
    <cellStyle name="20% - Accent4 78" xfId="3259"/>
    <cellStyle name="20% - Accent4 78 2" xfId="7299"/>
    <cellStyle name="20% - Accent4 79" xfId="3260"/>
    <cellStyle name="20% - Accent4 79 2" xfId="7300"/>
    <cellStyle name="20% - Accent4 8" xfId="3261"/>
    <cellStyle name="20% - Accent4 8 10" xfId="3262"/>
    <cellStyle name="20% - Accent4 8 10 2" xfId="7302"/>
    <cellStyle name="20% - Accent4 8 11" xfId="9244"/>
    <cellStyle name="20% - Accent4 8 12" xfId="7301"/>
    <cellStyle name="20% - Accent4 8 2" xfId="3263"/>
    <cellStyle name="20% - Accent4 8 2 2" xfId="3264"/>
    <cellStyle name="20% - Accent4 8 2 2 2" xfId="3265"/>
    <cellStyle name="20% - Accent4 8 2 2 2 2" xfId="7305"/>
    <cellStyle name="20% - Accent4 8 2 2 3" xfId="7304"/>
    <cellStyle name="20% - Accent4 8 2 3" xfId="3266"/>
    <cellStyle name="20% - Accent4 8 2 3 2" xfId="3267"/>
    <cellStyle name="20% - Accent4 8 2 3 2 2" xfId="7307"/>
    <cellStyle name="20% - Accent4 8 2 3 3" xfId="7306"/>
    <cellStyle name="20% - Accent4 8 2 4" xfId="3268"/>
    <cellStyle name="20% - Accent4 8 2 4 2" xfId="3269"/>
    <cellStyle name="20% - Accent4 8 2 4 2 2" xfId="7309"/>
    <cellStyle name="20% - Accent4 8 2 4 3" xfId="7308"/>
    <cellStyle name="20% - Accent4 8 2 5" xfId="3270"/>
    <cellStyle name="20% - Accent4 8 2 5 2" xfId="3271"/>
    <cellStyle name="20% - Accent4 8 2 5 2 2" xfId="7311"/>
    <cellStyle name="20% - Accent4 8 2 5 3" xfId="7310"/>
    <cellStyle name="20% - Accent4 8 2 6" xfId="3272"/>
    <cellStyle name="20% - Accent4 8 2 6 2" xfId="3273"/>
    <cellStyle name="20% - Accent4 8 2 6 2 2" xfId="7313"/>
    <cellStyle name="20% - Accent4 8 2 6 3" xfId="7312"/>
    <cellStyle name="20% - Accent4 8 2 7" xfId="3274"/>
    <cellStyle name="20% - Accent4 8 2 7 2" xfId="3275"/>
    <cellStyle name="20% - Accent4 8 2 7 2 2" xfId="7315"/>
    <cellStyle name="20% - Accent4 8 2 7 3" xfId="7314"/>
    <cellStyle name="20% - Accent4 8 2 8" xfId="3276"/>
    <cellStyle name="20% - Accent4 8 2 8 2" xfId="7316"/>
    <cellStyle name="20% - Accent4 8 2 9" xfId="7303"/>
    <cellStyle name="20% - Accent4 8 3" xfId="3277"/>
    <cellStyle name="20% - Accent4 8 3 2" xfId="3278"/>
    <cellStyle name="20% - Accent4 8 3 2 2" xfId="3279"/>
    <cellStyle name="20% - Accent4 8 3 2 2 2" xfId="7319"/>
    <cellStyle name="20% - Accent4 8 3 2 3" xfId="7318"/>
    <cellStyle name="20% - Accent4 8 3 3" xfId="3280"/>
    <cellStyle name="20% - Accent4 8 3 3 2" xfId="3281"/>
    <cellStyle name="20% - Accent4 8 3 3 2 2" xfId="7321"/>
    <cellStyle name="20% - Accent4 8 3 3 3" xfId="7320"/>
    <cellStyle name="20% - Accent4 8 3 4" xfId="3282"/>
    <cellStyle name="20% - Accent4 8 3 4 2" xfId="3283"/>
    <cellStyle name="20% - Accent4 8 3 4 2 2" xfId="7323"/>
    <cellStyle name="20% - Accent4 8 3 4 3" xfId="7322"/>
    <cellStyle name="20% - Accent4 8 3 5" xfId="3284"/>
    <cellStyle name="20% - Accent4 8 3 5 2" xfId="3285"/>
    <cellStyle name="20% - Accent4 8 3 5 2 2" xfId="7325"/>
    <cellStyle name="20% - Accent4 8 3 5 3" xfId="7324"/>
    <cellStyle name="20% - Accent4 8 3 6" xfId="3286"/>
    <cellStyle name="20% - Accent4 8 3 6 2" xfId="3287"/>
    <cellStyle name="20% - Accent4 8 3 6 2 2" xfId="7327"/>
    <cellStyle name="20% - Accent4 8 3 6 3" xfId="7326"/>
    <cellStyle name="20% - Accent4 8 3 7" xfId="3288"/>
    <cellStyle name="20% - Accent4 8 3 7 2" xfId="3289"/>
    <cellStyle name="20% - Accent4 8 3 7 2 2" xfId="7329"/>
    <cellStyle name="20% - Accent4 8 3 7 3" xfId="7328"/>
    <cellStyle name="20% - Accent4 8 3 8" xfId="3290"/>
    <cellStyle name="20% - Accent4 8 3 8 2" xfId="7330"/>
    <cellStyle name="20% - Accent4 8 3 9" xfId="7317"/>
    <cellStyle name="20% - Accent4 8 4" xfId="3291"/>
    <cellStyle name="20% - Accent4 8 4 2" xfId="3292"/>
    <cellStyle name="20% - Accent4 8 4 2 2" xfId="7332"/>
    <cellStyle name="20% - Accent4 8 4 3" xfId="7331"/>
    <cellStyle name="20% - Accent4 8 5" xfId="3293"/>
    <cellStyle name="20% - Accent4 8 5 2" xfId="3294"/>
    <cellStyle name="20% - Accent4 8 5 2 2" xfId="7334"/>
    <cellStyle name="20% - Accent4 8 5 3" xfId="7333"/>
    <cellStyle name="20% - Accent4 8 6" xfId="3295"/>
    <cellStyle name="20% - Accent4 8 6 2" xfId="3296"/>
    <cellStyle name="20% - Accent4 8 6 2 2" xfId="7336"/>
    <cellStyle name="20% - Accent4 8 6 3" xfId="7335"/>
    <cellStyle name="20% - Accent4 8 7" xfId="3297"/>
    <cellStyle name="20% - Accent4 8 7 2" xfId="3298"/>
    <cellStyle name="20% - Accent4 8 7 2 2" xfId="7338"/>
    <cellStyle name="20% - Accent4 8 7 3" xfId="7337"/>
    <cellStyle name="20% - Accent4 8 8" xfId="3299"/>
    <cellStyle name="20% - Accent4 8 8 2" xfId="3300"/>
    <cellStyle name="20% - Accent4 8 8 2 2" xfId="7340"/>
    <cellStyle name="20% - Accent4 8 8 3" xfId="7339"/>
    <cellStyle name="20% - Accent4 8 9" xfId="3301"/>
    <cellStyle name="20% - Accent4 8 9 2" xfId="3302"/>
    <cellStyle name="20% - Accent4 8 9 2 2" xfId="7342"/>
    <cellStyle name="20% - Accent4 8 9 3" xfId="7341"/>
    <cellStyle name="20% - Accent4 80" xfId="3303"/>
    <cellStyle name="20% - Accent4 80 2" xfId="7343"/>
    <cellStyle name="20% - Accent4 81" xfId="3304"/>
    <cellStyle name="20% - Accent4 81 2" xfId="7344"/>
    <cellStyle name="20% - Accent4 82" xfId="3305"/>
    <cellStyle name="20% - Accent4 82 2" xfId="7345"/>
    <cellStyle name="20% - Accent4 83" xfId="3306"/>
    <cellStyle name="20% - Accent4 83 2" xfId="7346"/>
    <cellStyle name="20% - Accent4 84" xfId="3307"/>
    <cellStyle name="20% - Accent4 84 2" xfId="7347"/>
    <cellStyle name="20% - Accent4 85" xfId="3308"/>
    <cellStyle name="20% - Accent4 85 2" xfId="7348"/>
    <cellStyle name="20% - Accent4 86" xfId="3309"/>
    <cellStyle name="20% - Accent4 86 2" xfId="7349"/>
    <cellStyle name="20% - Accent4 87" xfId="3310"/>
    <cellStyle name="20% - Accent4 87 2" xfId="7350"/>
    <cellStyle name="20% - Accent4 88" xfId="3311"/>
    <cellStyle name="20% - Accent4 88 2" xfId="7351"/>
    <cellStyle name="20% - Accent4 89" xfId="3312"/>
    <cellStyle name="20% - Accent4 89 2" xfId="7352"/>
    <cellStyle name="20% - Accent4 9" xfId="3313"/>
    <cellStyle name="20% - Accent4 9 10" xfId="3314"/>
    <cellStyle name="20% - Accent4 9 10 2" xfId="7354"/>
    <cellStyle name="20% - Accent4 9 11" xfId="9750"/>
    <cellStyle name="20% - Accent4 9 12" xfId="7353"/>
    <cellStyle name="20% - Accent4 9 2" xfId="3315"/>
    <cellStyle name="20% - Accent4 9 2 2" xfId="3316"/>
    <cellStyle name="20% - Accent4 9 2 2 2" xfId="3317"/>
    <cellStyle name="20% - Accent4 9 2 2 2 2" xfId="7357"/>
    <cellStyle name="20% - Accent4 9 2 2 3" xfId="7356"/>
    <cellStyle name="20% - Accent4 9 2 3" xfId="3318"/>
    <cellStyle name="20% - Accent4 9 2 3 2" xfId="3319"/>
    <cellStyle name="20% - Accent4 9 2 3 2 2" xfId="7359"/>
    <cellStyle name="20% - Accent4 9 2 3 3" xfId="7358"/>
    <cellStyle name="20% - Accent4 9 2 4" xfId="3320"/>
    <cellStyle name="20% - Accent4 9 2 4 2" xfId="3321"/>
    <cellStyle name="20% - Accent4 9 2 4 2 2" xfId="7361"/>
    <cellStyle name="20% - Accent4 9 2 4 3" xfId="7360"/>
    <cellStyle name="20% - Accent4 9 2 5" xfId="3322"/>
    <cellStyle name="20% - Accent4 9 2 5 2" xfId="3323"/>
    <cellStyle name="20% - Accent4 9 2 5 2 2" xfId="7363"/>
    <cellStyle name="20% - Accent4 9 2 5 3" xfId="7362"/>
    <cellStyle name="20% - Accent4 9 2 6" xfId="3324"/>
    <cellStyle name="20% - Accent4 9 2 6 2" xfId="3325"/>
    <cellStyle name="20% - Accent4 9 2 6 2 2" xfId="7365"/>
    <cellStyle name="20% - Accent4 9 2 6 3" xfId="7364"/>
    <cellStyle name="20% - Accent4 9 2 7" xfId="3326"/>
    <cellStyle name="20% - Accent4 9 2 7 2" xfId="3327"/>
    <cellStyle name="20% - Accent4 9 2 7 2 2" xfId="7367"/>
    <cellStyle name="20% - Accent4 9 2 7 3" xfId="7366"/>
    <cellStyle name="20% - Accent4 9 2 8" xfId="3328"/>
    <cellStyle name="20% - Accent4 9 2 8 2" xfId="7368"/>
    <cellStyle name="20% - Accent4 9 2 9" xfId="7355"/>
    <cellStyle name="20% - Accent4 9 3" xfId="3329"/>
    <cellStyle name="20% - Accent4 9 3 2" xfId="3330"/>
    <cellStyle name="20% - Accent4 9 3 2 2" xfId="3331"/>
    <cellStyle name="20% - Accent4 9 3 2 2 2" xfId="7371"/>
    <cellStyle name="20% - Accent4 9 3 2 3" xfId="7370"/>
    <cellStyle name="20% - Accent4 9 3 3" xfId="3332"/>
    <cellStyle name="20% - Accent4 9 3 3 2" xfId="3333"/>
    <cellStyle name="20% - Accent4 9 3 3 2 2" xfId="7373"/>
    <cellStyle name="20% - Accent4 9 3 3 3" xfId="7372"/>
    <cellStyle name="20% - Accent4 9 3 4" xfId="3334"/>
    <cellStyle name="20% - Accent4 9 3 4 2" xfId="3335"/>
    <cellStyle name="20% - Accent4 9 3 4 2 2" xfId="7375"/>
    <cellStyle name="20% - Accent4 9 3 4 3" xfId="7374"/>
    <cellStyle name="20% - Accent4 9 3 5" xfId="3336"/>
    <cellStyle name="20% - Accent4 9 3 5 2" xfId="3337"/>
    <cellStyle name="20% - Accent4 9 3 5 2 2" xfId="7377"/>
    <cellStyle name="20% - Accent4 9 3 5 3" xfId="7376"/>
    <cellStyle name="20% - Accent4 9 3 6" xfId="3338"/>
    <cellStyle name="20% - Accent4 9 3 6 2" xfId="3339"/>
    <cellStyle name="20% - Accent4 9 3 6 2 2" xfId="7379"/>
    <cellStyle name="20% - Accent4 9 3 6 3" xfId="7378"/>
    <cellStyle name="20% - Accent4 9 3 7" xfId="3340"/>
    <cellStyle name="20% - Accent4 9 3 7 2" xfId="3341"/>
    <cellStyle name="20% - Accent4 9 3 7 2 2" xfId="7381"/>
    <cellStyle name="20% - Accent4 9 3 7 3" xfId="7380"/>
    <cellStyle name="20% - Accent4 9 3 8" xfId="3342"/>
    <cellStyle name="20% - Accent4 9 3 8 2" xfId="7382"/>
    <cellStyle name="20% - Accent4 9 3 9" xfId="7369"/>
    <cellStyle name="20% - Accent4 9 4" xfId="3343"/>
    <cellStyle name="20% - Accent4 9 4 2" xfId="3344"/>
    <cellStyle name="20% - Accent4 9 4 2 2" xfId="7384"/>
    <cellStyle name="20% - Accent4 9 4 3" xfId="7383"/>
    <cellStyle name="20% - Accent4 9 5" xfId="3345"/>
    <cellStyle name="20% - Accent4 9 5 2" xfId="3346"/>
    <cellStyle name="20% - Accent4 9 5 2 2" xfId="7386"/>
    <cellStyle name="20% - Accent4 9 5 3" xfId="7385"/>
    <cellStyle name="20% - Accent4 9 6" xfId="3347"/>
    <cellStyle name="20% - Accent4 9 6 2" xfId="3348"/>
    <cellStyle name="20% - Accent4 9 6 2 2" xfId="7388"/>
    <cellStyle name="20% - Accent4 9 6 3" xfId="7387"/>
    <cellStyle name="20% - Accent4 9 7" xfId="3349"/>
    <cellStyle name="20% - Accent4 9 7 2" xfId="3350"/>
    <cellStyle name="20% - Accent4 9 7 2 2" xfId="7390"/>
    <cellStyle name="20% - Accent4 9 7 3" xfId="7389"/>
    <cellStyle name="20% - Accent4 9 8" xfId="3351"/>
    <cellStyle name="20% - Accent4 9 8 2" xfId="3352"/>
    <cellStyle name="20% - Accent4 9 8 2 2" xfId="7392"/>
    <cellStyle name="20% - Accent4 9 8 3" xfId="7391"/>
    <cellStyle name="20% - Accent4 9 9" xfId="3353"/>
    <cellStyle name="20% - Accent4 9 9 2" xfId="3354"/>
    <cellStyle name="20% - Accent4 9 9 2 2" xfId="7394"/>
    <cellStyle name="20% - Accent4 9 9 3" xfId="7393"/>
    <cellStyle name="20% - Accent4 90" xfId="3355"/>
    <cellStyle name="20% - Accent4 90 2" xfId="7395"/>
    <cellStyle name="20% - Accent4 91" xfId="3946"/>
    <cellStyle name="20% - Accent4 92" xfId="6589"/>
    <cellStyle name="20% - Accent4 93" xfId="2549"/>
    <cellStyle name="20% - Accent5" xfId="36" builtinId="46" customBuiltin="1"/>
    <cellStyle name="20% - Accent5 10" xfId="3357"/>
    <cellStyle name="20% - Accent5 10 10" xfId="3358"/>
    <cellStyle name="20% - Accent5 10 10 2" xfId="7398"/>
    <cellStyle name="20% - Accent5 10 11" xfId="9835"/>
    <cellStyle name="20% - Accent5 10 12" xfId="7397"/>
    <cellStyle name="20% - Accent5 10 2" xfId="3359"/>
    <cellStyle name="20% - Accent5 10 2 2" xfId="3360"/>
    <cellStyle name="20% - Accent5 10 2 2 2" xfId="3361"/>
    <cellStyle name="20% - Accent5 10 2 2 2 2" xfId="7401"/>
    <cellStyle name="20% - Accent5 10 2 2 3" xfId="7400"/>
    <cellStyle name="20% - Accent5 10 2 3" xfId="3362"/>
    <cellStyle name="20% - Accent5 10 2 3 2" xfId="3363"/>
    <cellStyle name="20% - Accent5 10 2 3 2 2" xfId="7403"/>
    <cellStyle name="20% - Accent5 10 2 3 3" xfId="7402"/>
    <cellStyle name="20% - Accent5 10 2 4" xfId="3364"/>
    <cellStyle name="20% - Accent5 10 2 4 2" xfId="3365"/>
    <cellStyle name="20% - Accent5 10 2 4 2 2" xfId="7405"/>
    <cellStyle name="20% - Accent5 10 2 4 3" xfId="7404"/>
    <cellStyle name="20% - Accent5 10 2 5" xfId="3366"/>
    <cellStyle name="20% - Accent5 10 2 5 2" xfId="3367"/>
    <cellStyle name="20% - Accent5 10 2 5 2 2" xfId="7407"/>
    <cellStyle name="20% - Accent5 10 2 5 3" xfId="7406"/>
    <cellStyle name="20% - Accent5 10 2 6" xfId="3368"/>
    <cellStyle name="20% - Accent5 10 2 6 2" xfId="3369"/>
    <cellStyle name="20% - Accent5 10 2 6 2 2" xfId="7409"/>
    <cellStyle name="20% - Accent5 10 2 6 3" xfId="7408"/>
    <cellStyle name="20% - Accent5 10 2 7" xfId="3370"/>
    <cellStyle name="20% - Accent5 10 2 7 2" xfId="3371"/>
    <cellStyle name="20% - Accent5 10 2 7 2 2" xfId="7411"/>
    <cellStyle name="20% - Accent5 10 2 7 3" xfId="7410"/>
    <cellStyle name="20% - Accent5 10 2 8" xfId="3372"/>
    <cellStyle name="20% - Accent5 10 2 8 2" xfId="7412"/>
    <cellStyle name="20% - Accent5 10 2 9" xfId="7399"/>
    <cellStyle name="20% - Accent5 10 3" xfId="3373"/>
    <cellStyle name="20% - Accent5 10 3 2" xfId="3374"/>
    <cellStyle name="20% - Accent5 10 3 2 2" xfId="3375"/>
    <cellStyle name="20% - Accent5 10 3 2 2 2" xfId="7415"/>
    <cellStyle name="20% - Accent5 10 3 2 3" xfId="7414"/>
    <cellStyle name="20% - Accent5 10 3 3" xfId="3376"/>
    <cellStyle name="20% - Accent5 10 3 3 2" xfId="3377"/>
    <cellStyle name="20% - Accent5 10 3 3 2 2" xfId="7417"/>
    <cellStyle name="20% - Accent5 10 3 3 3" xfId="7416"/>
    <cellStyle name="20% - Accent5 10 3 4" xfId="3378"/>
    <cellStyle name="20% - Accent5 10 3 4 2" xfId="3379"/>
    <cellStyle name="20% - Accent5 10 3 4 2 2" xfId="7419"/>
    <cellStyle name="20% - Accent5 10 3 4 3" xfId="7418"/>
    <cellStyle name="20% - Accent5 10 3 5" xfId="3380"/>
    <cellStyle name="20% - Accent5 10 3 5 2" xfId="3381"/>
    <cellStyle name="20% - Accent5 10 3 5 2 2" xfId="7421"/>
    <cellStyle name="20% - Accent5 10 3 5 3" xfId="7420"/>
    <cellStyle name="20% - Accent5 10 3 6" xfId="3382"/>
    <cellStyle name="20% - Accent5 10 3 6 2" xfId="3383"/>
    <cellStyle name="20% - Accent5 10 3 6 2 2" xfId="7423"/>
    <cellStyle name="20% - Accent5 10 3 6 3" xfId="7422"/>
    <cellStyle name="20% - Accent5 10 3 7" xfId="3384"/>
    <cellStyle name="20% - Accent5 10 3 7 2" xfId="3385"/>
    <cellStyle name="20% - Accent5 10 3 7 2 2" xfId="7425"/>
    <cellStyle name="20% - Accent5 10 3 7 3" xfId="7424"/>
    <cellStyle name="20% - Accent5 10 3 8" xfId="3386"/>
    <cellStyle name="20% - Accent5 10 3 8 2" xfId="7426"/>
    <cellStyle name="20% - Accent5 10 3 9" xfId="7413"/>
    <cellStyle name="20% - Accent5 10 4" xfId="3387"/>
    <cellStyle name="20% - Accent5 10 4 2" xfId="3388"/>
    <cellStyle name="20% - Accent5 10 4 2 2" xfId="7428"/>
    <cellStyle name="20% - Accent5 10 4 3" xfId="7427"/>
    <cellStyle name="20% - Accent5 10 5" xfId="3389"/>
    <cellStyle name="20% - Accent5 10 5 2" xfId="3390"/>
    <cellStyle name="20% - Accent5 10 5 2 2" xfId="7430"/>
    <cellStyle name="20% - Accent5 10 5 3" xfId="7429"/>
    <cellStyle name="20% - Accent5 10 6" xfId="3391"/>
    <cellStyle name="20% - Accent5 10 6 2" xfId="3392"/>
    <cellStyle name="20% - Accent5 10 6 2 2" xfId="7432"/>
    <cellStyle name="20% - Accent5 10 6 3" xfId="7431"/>
    <cellStyle name="20% - Accent5 10 7" xfId="3393"/>
    <cellStyle name="20% - Accent5 10 7 2" xfId="3394"/>
    <cellStyle name="20% - Accent5 10 7 2 2" xfId="7434"/>
    <cellStyle name="20% - Accent5 10 7 3" xfId="7433"/>
    <cellStyle name="20% - Accent5 10 8" xfId="3395"/>
    <cellStyle name="20% - Accent5 10 8 2" xfId="3396"/>
    <cellStyle name="20% - Accent5 10 8 2 2" xfId="7436"/>
    <cellStyle name="20% - Accent5 10 8 3" xfId="7435"/>
    <cellStyle name="20% - Accent5 10 9" xfId="3397"/>
    <cellStyle name="20% - Accent5 10 9 2" xfId="3398"/>
    <cellStyle name="20% - Accent5 10 9 2 2" xfId="7438"/>
    <cellStyle name="20% - Accent5 10 9 3" xfId="7437"/>
    <cellStyle name="20% - Accent5 11" xfId="3399"/>
    <cellStyle name="20% - Accent5 11 10" xfId="3400"/>
    <cellStyle name="20% - Accent5 11 10 2" xfId="37976"/>
    <cellStyle name="20% - Accent5 11 10 3" xfId="7440"/>
    <cellStyle name="20% - Accent5 11 11" xfId="39445"/>
    <cellStyle name="20% - Accent5 11 12" xfId="9916"/>
    <cellStyle name="20% - Accent5 11 13" xfId="7439"/>
    <cellStyle name="20% - Accent5 11 2" xfId="3401"/>
    <cellStyle name="20% - Accent5 11 2 10" xfId="7441"/>
    <cellStyle name="20% - Accent5 11 2 2" xfId="3402"/>
    <cellStyle name="20% - Accent5 11 2 2 2" xfId="3403"/>
    <cellStyle name="20% - Accent5 11 2 2 2 2" xfId="7443"/>
    <cellStyle name="20% - Accent5 11 2 2 3" xfId="7442"/>
    <cellStyle name="20% - Accent5 11 2 3" xfId="3404"/>
    <cellStyle name="20% - Accent5 11 2 3 2" xfId="3405"/>
    <cellStyle name="20% - Accent5 11 2 3 2 2" xfId="7445"/>
    <cellStyle name="20% - Accent5 11 2 3 3" xfId="7444"/>
    <cellStyle name="20% - Accent5 11 2 4" xfId="3406"/>
    <cellStyle name="20% - Accent5 11 2 4 2" xfId="3407"/>
    <cellStyle name="20% - Accent5 11 2 4 2 2" xfId="7447"/>
    <cellStyle name="20% - Accent5 11 2 4 3" xfId="7446"/>
    <cellStyle name="20% - Accent5 11 2 5" xfId="3408"/>
    <cellStyle name="20% - Accent5 11 2 5 2" xfId="3409"/>
    <cellStyle name="20% - Accent5 11 2 5 2 2" xfId="7449"/>
    <cellStyle name="20% - Accent5 11 2 5 3" xfId="7448"/>
    <cellStyle name="20% - Accent5 11 2 6" xfId="3410"/>
    <cellStyle name="20% - Accent5 11 2 6 2" xfId="3411"/>
    <cellStyle name="20% - Accent5 11 2 6 2 2" xfId="7451"/>
    <cellStyle name="20% - Accent5 11 2 6 3" xfId="7450"/>
    <cellStyle name="20% - Accent5 11 2 7" xfId="3412"/>
    <cellStyle name="20% - Accent5 11 2 7 2" xfId="3413"/>
    <cellStyle name="20% - Accent5 11 2 7 2 2" xfId="7453"/>
    <cellStyle name="20% - Accent5 11 2 7 3" xfId="7452"/>
    <cellStyle name="20% - Accent5 11 2 8" xfId="3414"/>
    <cellStyle name="20% - Accent5 11 2 8 2" xfId="7454"/>
    <cellStyle name="20% - Accent5 11 2 9" xfId="23714"/>
    <cellStyle name="20% - Accent5 11 3" xfId="3415"/>
    <cellStyle name="20% - Accent5 11 3 10" xfId="7455"/>
    <cellStyle name="20% - Accent5 11 3 2" xfId="3416"/>
    <cellStyle name="20% - Accent5 11 3 2 2" xfId="3417"/>
    <cellStyle name="20% - Accent5 11 3 2 2 2" xfId="7457"/>
    <cellStyle name="20% - Accent5 11 3 2 3" xfId="7456"/>
    <cellStyle name="20% - Accent5 11 3 3" xfId="3418"/>
    <cellStyle name="20% - Accent5 11 3 3 2" xfId="3419"/>
    <cellStyle name="20% - Accent5 11 3 3 2 2" xfId="7459"/>
    <cellStyle name="20% - Accent5 11 3 3 3" xfId="7458"/>
    <cellStyle name="20% - Accent5 11 3 4" xfId="3420"/>
    <cellStyle name="20% - Accent5 11 3 4 2" xfId="3421"/>
    <cellStyle name="20% - Accent5 11 3 4 2 2" xfId="7461"/>
    <cellStyle name="20% - Accent5 11 3 4 3" xfId="7460"/>
    <cellStyle name="20% - Accent5 11 3 5" xfId="3422"/>
    <cellStyle name="20% - Accent5 11 3 5 2" xfId="3423"/>
    <cellStyle name="20% - Accent5 11 3 5 2 2" xfId="7463"/>
    <cellStyle name="20% - Accent5 11 3 5 3" xfId="7462"/>
    <cellStyle name="20% - Accent5 11 3 6" xfId="3424"/>
    <cellStyle name="20% - Accent5 11 3 6 2" xfId="3425"/>
    <cellStyle name="20% - Accent5 11 3 6 2 2" xfId="7465"/>
    <cellStyle name="20% - Accent5 11 3 6 3" xfId="7464"/>
    <cellStyle name="20% - Accent5 11 3 7" xfId="3426"/>
    <cellStyle name="20% - Accent5 11 3 7 2" xfId="3427"/>
    <cellStyle name="20% - Accent5 11 3 7 2 2" xfId="7467"/>
    <cellStyle name="20% - Accent5 11 3 7 3" xfId="7466"/>
    <cellStyle name="20% - Accent5 11 3 8" xfId="3428"/>
    <cellStyle name="20% - Accent5 11 3 8 2" xfId="7468"/>
    <cellStyle name="20% - Accent5 11 3 9" xfId="27134"/>
    <cellStyle name="20% - Accent5 11 4" xfId="3429"/>
    <cellStyle name="20% - Accent5 11 4 2" xfId="3430"/>
    <cellStyle name="20% - Accent5 11 4 2 2" xfId="7470"/>
    <cellStyle name="20% - Accent5 11 4 3" xfId="23331"/>
    <cellStyle name="20% - Accent5 11 4 4" xfId="7469"/>
    <cellStyle name="20% - Accent5 11 5" xfId="3431"/>
    <cellStyle name="20% - Accent5 11 5 2" xfId="3432"/>
    <cellStyle name="20% - Accent5 11 5 2 2" xfId="7472"/>
    <cellStyle name="20% - Accent5 11 5 3" xfId="29469"/>
    <cellStyle name="20% - Accent5 11 5 4" xfId="7471"/>
    <cellStyle name="20% - Accent5 11 6" xfId="3433"/>
    <cellStyle name="20% - Accent5 11 6 2" xfId="3434"/>
    <cellStyle name="20% - Accent5 11 6 2 2" xfId="7474"/>
    <cellStyle name="20% - Accent5 11 6 3" xfId="31246"/>
    <cellStyle name="20% - Accent5 11 6 4" xfId="7473"/>
    <cellStyle name="20% - Accent5 11 7" xfId="3435"/>
    <cellStyle name="20% - Accent5 11 7 2" xfId="3436"/>
    <cellStyle name="20% - Accent5 11 7 2 2" xfId="7476"/>
    <cellStyle name="20% - Accent5 11 7 3" xfId="33011"/>
    <cellStyle name="20% - Accent5 11 7 4" xfId="7475"/>
    <cellStyle name="20% - Accent5 11 8" xfId="3437"/>
    <cellStyle name="20% - Accent5 11 8 2" xfId="3438"/>
    <cellStyle name="20% - Accent5 11 8 2 2" xfId="7478"/>
    <cellStyle name="20% - Accent5 11 8 3" xfId="34732"/>
    <cellStyle name="20% - Accent5 11 8 4" xfId="7477"/>
    <cellStyle name="20% - Accent5 11 9" xfId="3439"/>
    <cellStyle name="20% - Accent5 11 9 2" xfId="3440"/>
    <cellStyle name="20% - Accent5 11 9 2 2" xfId="7480"/>
    <cellStyle name="20% - Accent5 11 9 3" xfId="36392"/>
    <cellStyle name="20% - Accent5 11 9 4" xfId="7479"/>
    <cellStyle name="20% - Accent5 12" xfId="3441"/>
    <cellStyle name="20% - Accent5 12 10" xfId="3442"/>
    <cellStyle name="20% - Accent5 12 10 2" xfId="38356"/>
    <cellStyle name="20% - Accent5 12 10 3" xfId="7482"/>
    <cellStyle name="20% - Accent5 12 11" xfId="39799"/>
    <cellStyle name="20% - Accent5 12 12" xfId="9995"/>
    <cellStyle name="20% - Accent5 12 13" xfId="7481"/>
    <cellStyle name="20% - Accent5 12 2" xfId="3443"/>
    <cellStyle name="20% - Accent5 12 2 10" xfId="7483"/>
    <cellStyle name="20% - Accent5 12 2 2" xfId="3444"/>
    <cellStyle name="20% - Accent5 12 2 2 2" xfId="3445"/>
    <cellStyle name="20% - Accent5 12 2 2 2 2" xfId="7485"/>
    <cellStyle name="20% - Accent5 12 2 2 3" xfId="7484"/>
    <cellStyle name="20% - Accent5 12 2 3" xfId="3446"/>
    <cellStyle name="20% - Accent5 12 2 3 2" xfId="3447"/>
    <cellStyle name="20% - Accent5 12 2 3 2 2" xfId="7487"/>
    <cellStyle name="20% - Accent5 12 2 3 3" xfId="7486"/>
    <cellStyle name="20% - Accent5 12 2 4" xfId="3448"/>
    <cellStyle name="20% - Accent5 12 2 4 2" xfId="3449"/>
    <cellStyle name="20% - Accent5 12 2 4 2 2" xfId="7489"/>
    <cellStyle name="20% - Accent5 12 2 4 3" xfId="7488"/>
    <cellStyle name="20% - Accent5 12 2 5" xfId="3450"/>
    <cellStyle name="20% - Accent5 12 2 5 2" xfId="3451"/>
    <cellStyle name="20% - Accent5 12 2 5 2 2" xfId="7491"/>
    <cellStyle name="20% - Accent5 12 2 5 3" xfId="7490"/>
    <cellStyle name="20% - Accent5 12 2 6" xfId="3452"/>
    <cellStyle name="20% - Accent5 12 2 6 2" xfId="3453"/>
    <cellStyle name="20% - Accent5 12 2 6 2 2" xfId="7493"/>
    <cellStyle name="20% - Accent5 12 2 6 3" xfId="7492"/>
    <cellStyle name="20% - Accent5 12 2 7" xfId="3454"/>
    <cellStyle name="20% - Accent5 12 2 7 2" xfId="3455"/>
    <cellStyle name="20% - Accent5 12 2 7 2 2" xfId="7495"/>
    <cellStyle name="20% - Accent5 12 2 7 3" xfId="7494"/>
    <cellStyle name="20% - Accent5 12 2 8" xfId="3456"/>
    <cellStyle name="20% - Accent5 12 2 8 2" xfId="7496"/>
    <cellStyle name="20% - Accent5 12 2 9" xfId="24865"/>
    <cellStyle name="20% - Accent5 12 3" xfId="3457"/>
    <cellStyle name="20% - Accent5 12 3 10" xfId="7497"/>
    <cellStyle name="20% - Accent5 12 3 2" xfId="3458"/>
    <cellStyle name="20% - Accent5 12 3 2 2" xfId="3459"/>
    <cellStyle name="20% - Accent5 12 3 2 2 2" xfId="7499"/>
    <cellStyle name="20% - Accent5 12 3 2 3" xfId="7498"/>
    <cellStyle name="20% - Accent5 12 3 3" xfId="3460"/>
    <cellStyle name="20% - Accent5 12 3 3 2" xfId="3461"/>
    <cellStyle name="20% - Accent5 12 3 3 2 2" xfId="7501"/>
    <cellStyle name="20% - Accent5 12 3 3 3" xfId="7500"/>
    <cellStyle name="20% - Accent5 12 3 4" xfId="3462"/>
    <cellStyle name="20% - Accent5 12 3 4 2" xfId="3463"/>
    <cellStyle name="20% - Accent5 12 3 4 2 2" xfId="7503"/>
    <cellStyle name="20% - Accent5 12 3 4 3" xfId="7502"/>
    <cellStyle name="20% - Accent5 12 3 5" xfId="3464"/>
    <cellStyle name="20% - Accent5 12 3 5 2" xfId="3465"/>
    <cellStyle name="20% - Accent5 12 3 5 2 2" xfId="7505"/>
    <cellStyle name="20% - Accent5 12 3 5 3" xfId="7504"/>
    <cellStyle name="20% - Accent5 12 3 6" xfId="3466"/>
    <cellStyle name="20% - Accent5 12 3 6 2" xfId="3467"/>
    <cellStyle name="20% - Accent5 12 3 6 2 2" xfId="7507"/>
    <cellStyle name="20% - Accent5 12 3 6 3" xfId="7506"/>
    <cellStyle name="20% - Accent5 12 3 7" xfId="3468"/>
    <cellStyle name="20% - Accent5 12 3 7 2" xfId="3469"/>
    <cellStyle name="20% - Accent5 12 3 7 2 2" xfId="7509"/>
    <cellStyle name="20% - Accent5 12 3 7 3" xfId="7508"/>
    <cellStyle name="20% - Accent5 12 3 8" xfId="3470"/>
    <cellStyle name="20% - Accent5 12 3 8 2" xfId="7510"/>
    <cellStyle name="20% - Accent5 12 3 9" xfId="28253"/>
    <cellStyle name="20% - Accent5 12 4" xfId="3471"/>
    <cellStyle name="20% - Accent5 12 4 2" xfId="3472"/>
    <cellStyle name="20% - Accent5 12 4 2 2" xfId="7512"/>
    <cellStyle name="20% - Accent5 12 4 3" xfId="27522"/>
    <cellStyle name="20% - Accent5 12 4 4" xfId="7511"/>
    <cellStyle name="20% - Accent5 12 5" xfId="3473"/>
    <cellStyle name="20% - Accent5 12 5 2" xfId="3474"/>
    <cellStyle name="20% - Accent5 12 5 2 2" xfId="7514"/>
    <cellStyle name="20% - Accent5 12 5 3" xfId="29893"/>
    <cellStyle name="20% - Accent5 12 5 4" xfId="7513"/>
    <cellStyle name="20% - Accent5 12 6" xfId="3475"/>
    <cellStyle name="20% - Accent5 12 6 2" xfId="3476"/>
    <cellStyle name="20% - Accent5 12 6 2 2" xfId="7516"/>
    <cellStyle name="20% - Accent5 12 6 3" xfId="31668"/>
    <cellStyle name="20% - Accent5 12 6 4" xfId="7515"/>
    <cellStyle name="20% - Accent5 12 7" xfId="3477"/>
    <cellStyle name="20% - Accent5 12 7 2" xfId="3478"/>
    <cellStyle name="20% - Accent5 12 7 2 2" xfId="7518"/>
    <cellStyle name="20% - Accent5 12 7 3" xfId="33427"/>
    <cellStyle name="20% - Accent5 12 7 4" xfId="7517"/>
    <cellStyle name="20% - Accent5 12 8" xfId="3479"/>
    <cellStyle name="20% - Accent5 12 8 2" xfId="3480"/>
    <cellStyle name="20% - Accent5 12 8 2 2" xfId="7520"/>
    <cellStyle name="20% - Accent5 12 8 3" xfId="35141"/>
    <cellStyle name="20% - Accent5 12 8 4" xfId="7519"/>
    <cellStyle name="20% - Accent5 12 9" xfId="3481"/>
    <cellStyle name="20% - Accent5 12 9 2" xfId="3482"/>
    <cellStyle name="20% - Accent5 12 9 2 2" xfId="7522"/>
    <cellStyle name="20% - Accent5 12 9 3" xfId="36791"/>
    <cellStyle name="20% - Accent5 12 9 4" xfId="7521"/>
    <cellStyle name="20% - Accent5 13" xfId="3483"/>
    <cellStyle name="20% - Accent5 13 10" xfId="41302"/>
    <cellStyle name="20% - Accent5 13 11" xfId="42353"/>
    <cellStyle name="20% - Accent5 13 12" xfId="10074"/>
    <cellStyle name="20% - Accent5 13 13" xfId="7523"/>
    <cellStyle name="20% - Accent5 13 2" xfId="3484"/>
    <cellStyle name="20% - Accent5 13 2 2" xfId="3485"/>
    <cellStyle name="20% - Accent5 13 2 2 2" xfId="7525"/>
    <cellStyle name="20% - Accent5 13 2 3" xfId="26847"/>
    <cellStyle name="20% - Accent5 13 2 4" xfId="7524"/>
    <cellStyle name="20% - Accent5 13 3" xfId="3486"/>
    <cellStyle name="20% - Accent5 13 3 2" xfId="3487"/>
    <cellStyle name="20% - Accent5 13 3 2 2" xfId="7527"/>
    <cellStyle name="20% - Accent5 13 3 3" xfId="30175"/>
    <cellStyle name="20% - Accent5 13 3 4" xfId="7526"/>
    <cellStyle name="20% - Accent5 13 4" xfId="3488"/>
    <cellStyle name="20% - Accent5 13 4 2" xfId="3489"/>
    <cellStyle name="20% - Accent5 13 4 2 2" xfId="7529"/>
    <cellStyle name="20% - Accent5 13 4 3" xfId="31950"/>
    <cellStyle name="20% - Accent5 13 4 4" xfId="7528"/>
    <cellStyle name="20% - Accent5 13 5" xfId="3490"/>
    <cellStyle name="20% - Accent5 13 5 2" xfId="3491"/>
    <cellStyle name="20% - Accent5 13 5 2 2" xfId="7531"/>
    <cellStyle name="20% - Accent5 13 5 3" xfId="33705"/>
    <cellStyle name="20% - Accent5 13 5 4" xfId="7530"/>
    <cellStyle name="20% - Accent5 13 6" xfId="3492"/>
    <cellStyle name="20% - Accent5 13 6 2" xfId="3493"/>
    <cellStyle name="20% - Accent5 13 6 2 2" xfId="7533"/>
    <cellStyle name="20% - Accent5 13 6 3" xfId="35418"/>
    <cellStyle name="20% - Accent5 13 6 4" xfId="7532"/>
    <cellStyle name="20% - Accent5 13 7" xfId="3494"/>
    <cellStyle name="20% - Accent5 13 7 2" xfId="3495"/>
    <cellStyle name="20% - Accent5 13 7 2 2" xfId="7535"/>
    <cellStyle name="20% - Accent5 13 7 3" xfId="37063"/>
    <cellStyle name="20% - Accent5 13 7 4" xfId="7534"/>
    <cellStyle name="20% - Accent5 13 8" xfId="3496"/>
    <cellStyle name="20% - Accent5 13 8 2" xfId="38620"/>
    <cellStyle name="20% - Accent5 13 8 3" xfId="7536"/>
    <cellStyle name="20% - Accent5 13 9" xfId="40054"/>
    <cellStyle name="20% - Accent5 14" xfId="3497"/>
    <cellStyle name="20% - Accent5 14 10" xfId="40897"/>
    <cellStyle name="20% - Accent5 14 11" xfId="41976"/>
    <cellStyle name="20% - Accent5 14 12" xfId="10138"/>
    <cellStyle name="20% - Accent5 14 13" xfId="7537"/>
    <cellStyle name="20% - Accent5 14 2" xfId="3498"/>
    <cellStyle name="20% - Accent5 14 2 2" xfId="3499"/>
    <cellStyle name="20% - Accent5 14 2 2 2" xfId="7539"/>
    <cellStyle name="20% - Accent5 14 2 3" xfId="26360"/>
    <cellStyle name="20% - Accent5 14 2 4" xfId="7538"/>
    <cellStyle name="20% - Accent5 14 3" xfId="3500"/>
    <cellStyle name="20% - Accent5 14 3 2" xfId="3501"/>
    <cellStyle name="20% - Accent5 14 3 2 2" xfId="7541"/>
    <cellStyle name="20% - Accent5 14 3 3" xfId="29691"/>
    <cellStyle name="20% - Accent5 14 3 4" xfId="7540"/>
    <cellStyle name="20% - Accent5 14 4" xfId="3502"/>
    <cellStyle name="20% - Accent5 14 4 2" xfId="3503"/>
    <cellStyle name="20% - Accent5 14 4 2 2" xfId="7543"/>
    <cellStyle name="20% - Accent5 14 4 3" xfId="31466"/>
    <cellStyle name="20% - Accent5 14 4 4" xfId="7542"/>
    <cellStyle name="20% - Accent5 14 5" xfId="3504"/>
    <cellStyle name="20% - Accent5 14 5 2" xfId="3505"/>
    <cellStyle name="20% - Accent5 14 5 2 2" xfId="7545"/>
    <cellStyle name="20% - Accent5 14 5 3" xfId="33227"/>
    <cellStyle name="20% - Accent5 14 5 4" xfId="7544"/>
    <cellStyle name="20% - Accent5 14 6" xfId="3506"/>
    <cellStyle name="20% - Accent5 14 6 2" xfId="3507"/>
    <cellStyle name="20% - Accent5 14 6 2 2" xfId="7547"/>
    <cellStyle name="20% - Accent5 14 6 3" xfId="34945"/>
    <cellStyle name="20% - Accent5 14 6 4" xfId="7546"/>
    <cellStyle name="20% - Accent5 14 7" xfId="3508"/>
    <cellStyle name="20% - Accent5 14 7 2" xfId="3509"/>
    <cellStyle name="20% - Accent5 14 7 2 2" xfId="7549"/>
    <cellStyle name="20% - Accent5 14 7 3" xfId="36598"/>
    <cellStyle name="20% - Accent5 14 7 4" xfId="7548"/>
    <cellStyle name="20% - Accent5 14 8" xfId="3510"/>
    <cellStyle name="20% - Accent5 14 8 2" xfId="38172"/>
    <cellStyle name="20% - Accent5 14 8 3" xfId="7550"/>
    <cellStyle name="20% - Accent5 14 9" xfId="39625"/>
    <cellStyle name="20% - Accent5 15" xfId="3511"/>
    <cellStyle name="20% - Accent5 15 10" xfId="20402"/>
    <cellStyle name="20% - Accent5 15 11" xfId="21238"/>
    <cellStyle name="20% - Accent5 15 12" xfId="22038"/>
    <cellStyle name="20% - Accent5 15 13" xfId="26741"/>
    <cellStyle name="20% - Accent5 15 14" xfId="30070"/>
    <cellStyle name="20% - Accent5 15 15" xfId="31845"/>
    <cellStyle name="20% - Accent5 15 16" xfId="33601"/>
    <cellStyle name="20% - Accent5 15 17" xfId="35314"/>
    <cellStyle name="20% - Accent5 15 18" xfId="36960"/>
    <cellStyle name="20% - Accent5 15 19" xfId="38521"/>
    <cellStyle name="20% - Accent5 15 2" xfId="3512"/>
    <cellStyle name="20% - Accent5 15 2 2" xfId="3513"/>
    <cellStyle name="20% - Accent5 15 2 2 2" xfId="7553"/>
    <cellStyle name="20% - Accent5 15 2 3" xfId="12952"/>
    <cellStyle name="20% - Accent5 15 2 4" xfId="7552"/>
    <cellStyle name="20% - Accent5 15 20" xfId="39961"/>
    <cellStyle name="20% - Accent5 15 21" xfId="41214"/>
    <cellStyle name="20% - Accent5 15 22" xfId="42270"/>
    <cellStyle name="20% - Accent5 15 23" xfId="9840"/>
    <cellStyle name="20% - Accent5 15 24" xfId="7551"/>
    <cellStyle name="20% - Accent5 15 3" xfId="3514"/>
    <cellStyle name="20% - Accent5 15 3 2" xfId="3515"/>
    <cellStyle name="20% - Accent5 15 3 2 2" xfId="7555"/>
    <cellStyle name="20% - Accent5 15 3 3" xfId="14078"/>
    <cellStyle name="20% - Accent5 15 3 4" xfId="7554"/>
    <cellStyle name="20% - Accent5 15 4" xfId="3516"/>
    <cellStyle name="20% - Accent5 15 4 2" xfId="3517"/>
    <cellStyle name="20% - Accent5 15 4 2 2" xfId="7557"/>
    <cellStyle name="20% - Accent5 15 4 3" xfId="15008"/>
    <cellStyle name="20% - Accent5 15 4 4" xfId="7556"/>
    <cellStyle name="20% - Accent5 15 5" xfId="3518"/>
    <cellStyle name="20% - Accent5 15 5 2" xfId="3519"/>
    <cellStyle name="20% - Accent5 15 5 2 2" xfId="7559"/>
    <cellStyle name="20% - Accent5 15 5 3" xfId="15935"/>
    <cellStyle name="20% - Accent5 15 5 4" xfId="7558"/>
    <cellStyle name="20% - Accent5 15 6" xfId="3520"/>
    <cellStyle name="20% - Accent5 15 6 2" xfId="3521"/>
    <cellStyle name="20% - Accent5 15 6 2 2" xfId="7561"/>
    <cellStyle name="20% - Accent5 15 6 3" xfId="16865"/>
    <cellStyle name="20% - Accent5 15 6 4" xfId="7560"/>
    <cellStyle name="20% - Accent5 15 7" xfId="3522"/>
    <cellStyle name="20% - Accent5 15 7 2" xfId="3523"/>
    <cellStyle name="20% - Accent5 15 7 2 2" xfId="7563"/>
    <cellStyle name="20% - Accent5 15 7 3" xfId="17773"/>
    <cellStyle name="20% - Accent5 15 7 4" xfId="7562"/>
    <cellStyle name="20% - Accent5 15 8" xfId="3524"/>
    <cellStyle name="20% - Accent5 15 8 2" xfId="18663"/>
    <cellStyle name="20% - Accent5 15 8 3" xfId="7564"/>
    <cellStyle name="20% - Accent5 15 9" xfId="19541"/>
    <cellStyle name="20% - Accent5 16" xfId="3525"/>
    <cellStyle name="20% - Accent5 16 10" xfId="20481"/>
    <cellStyle name="20% - Accent5 16 11" xfId="21317"/>
    <cellStyle name="20% - Accent5 16 12" xfId="22114"/>
    <cellStyle name="20% - Accent5 16 13" xfId="26475"/>
    <cellStyle name="20% - Accent5 16 14" xfId="29806"/>
    <cellStyle name="20% - Accent5 16 15" xfId="31581"/>
    <cellStyle name="20% - Accent5 16 16" xfId="33340"/>
    <cellStyle name="20% - Accent5 16 17" xfId="35056"/>
    <cellStyle name="20% - Accent5 16 18" xfId="36707"/>
    <cellStyle name="20% - Accent5 16 19" xfId="38276"/>
    <cellStyle name="20% - Accent5 16 2" xfId="3526"/>
    <cellStyle name="20% - Accent5 16 2 2" xfId="3527"/>
    <cellStyle name="20% - Accent5 16 2 2 2" xfId="7567"/>
    <cellStyle name="20% - Accent5 16 2 3" xfId="13031"/>
    <cellStyle name="20% - Accent5 16 2 4" xfId="7566"/>
    <cellStyle name="20% - Accent5 16 20" xfId="39726"/>
    <cellStyle name="20% - Accent5 16 21" xfId="40993"/>
    <cellStyle name="20% - Accent5 16 22" xfId="42067"/>
    <cellStyle name="20% - Accent5 16 23" xfId="11109"/>
    <cellStyle name="20% - Accent5 16 24" xfId="7565"/>
    <cellStyle name="20% - Accent5 16 3" xfId="3528"/>
    <cellStyle name="20% - Accent5 16 3 2" xfId="3529"/>
    <cellStyle name="20% - Accent5 16 3 2 2" xfId="7569"/>
    <cellStyle name="20% - Accent5 16 3 3" xfId="14157"/>
    <cellStyle name="20% - Accent5 16 3 4" xfId="7568"/>
    <cellStyle name="20% - Accent5 16 4" xfId="3530"/>
    <cellStyle name="20% - Accent5 16 4 2" xfId="3531"/>
    <cellStyle name="20% - Accent5 16 4 2 2" xfId="7571"/>
    <cellStyle name="20% - Accent5 16 4 3" xfId="15087"/>
    <cellStyle name="20% - Accent5 16 4 4" xfId="7570"/>
    <cellStyle name="20% - Accent5 16 5" xfId="3532"/>
    <cellStyle name="20% - Accent5 16 5 2" xfId="3533"/>
    <cellStyle name="20% - Accent5 16 5 2 2" xfId="7573"/>
    <cellStyle name="20% - Accent5 16 5 3" xfId="16014"/>
    <cellStyle name="20% - Accent5 16 5 4" xfId="7572"/>
    <cellStyle name="20% - Accent5 16 6" xfId="3534"/>
    <cellStyle name="20% - Accent5 16 6 2" xfId="3535"/>
    <cellStyle name="20% - Accent5 16 6 2 2" xfId="7575"/>
    <cellStyle name="20% - Accent5 16 6 3" xfId="16944"/>
    <cellStyle name="20% - Accent5 16 6 4" xfId="7574"/>
    <cellStyle name="20% - Accent5 16 7" xfId="3536"/>
    <cellStyle name="20% - Accent5 16 7 2" xfId="3537"/>
    <cellStyle name="20% - Accent5 16 7 2 2" xfId="7577"/>
    <cellStyle name="20% - Accent5 16 7 3" xfId="17852"/>
    <cellStyle name="20% - Accent5 16 7 4" xfId="7576"/>
    <cellStyle name="20% - Accent5 16 8" xfId="3538"/>
    <cellStyle name="20% - Accent5 16 8 2" xfId="18742"/>
    <cellStyle name="20% - Accent5 16 8 3" xfId="7578"/>
    <cellStyle name="20% - Accent5 16 9" xfId="19620"/>
    <cellStyle name="20% - Accent5 17" xfId="3539"/>
    <cellStyle name="20% - Accent5 17 10" xfId="20562"/>
    <cellStyle name="20% - Accent5 17 11" xfId="21398"/>
    <cellStyle name="20% - Accent5 17 12" xfId="22192"/>
    <cellStyle name="20% - Accent5 17 13" xfId="26857"/>
    <cellStyle name="20% - Accent5 17 14" xfId="30185"/>
    <cellStyle name="20% - Accent5 17 15" xfId="31960"/>
    <cellStyle name="20% - Accent5 17 16" xfId="33715"/>
    <cellStyle name="20% - Accent5 17 17" xfId="35428"/>
    <cellStyle name="20% - Accent5 17 18" xfId="37073"/>
    <cellStyle name="20% - Accent5 17 19" xfId="38629"/>
    <cellStyle name="20% - Accent5 17 2" xfId="3540"/>
    <cellStyle name="20% - Accent5 17 2 2" xfId="3541"/>
    <cellStyle name="20% - Accent5 17 2 2 2" xfId="7581"/>
    <cellStyle name="20% - Accent5 17 2 3" xfId="13112"/>
    <cellStyle name="20% - Accent5 17 2 4" xfId="7580"/>
    <cellStyle name="20% - Accent5 17 20" xfId="40063"/>
    <cellStyle name="20% - Accent5 17 21" xfId="41311"/>
    <cellStyle name="20% - Accent5 17 22" xfId="42362"/>
    <cellStyle name="20% - Accent5 17 23" xfId="11303"/>
    <cellStyle name="20% - Accent5 17 24" xfId="7579"/>
    <cellStyle name="20% - Accent5 17 3" xfId="3542"/>
    <cellStyle name="20% - Accent5 17 3 2" xfId="3543"/>
    <cellStyle name="20% - Accent5 17 3 2 2" xfId="7583"/>
    <cellStyle name="20% - Accent5 17 3 3" xfId="14238"/>
    <cellStyle name="20% - Accent5 17 3 4" xfId="7582"/>
    <cellStyle name="20% - Accent5 17 4" xfId="3544"/>
    <cellStyle name="20% - Accent5 17 4 2" xfId="3545"/>
    <cellStyle name="20% - Accent5 17 4 2 2" xfId="7585"/>
    <cellStyle name="20% - Accent5 17 4 3" xfId="15167"/>
    <cellStyle name="20% - Accent5 17 4 4" xfId="7584"/>
    <cellStyle name="20% - Accent5 17 5" xfId="3546"/>
    <cellStyle name="20% - Accent5 17 5 2" xfId="3547"/>
    <cellStyle name="20% - Accent5 17 5 2 2" xfId="7587"/>
    <cellStyle name="20% - Accent5 17 5 3" xfId="16095"/>
    <cellStyle name="20% - Accent5 17 5 4" xfId="7586"/>
    <cellStyle name="20% - Accent5 17 6" xfId="3548"/>
    <cellStyle name="20% - Accent5 17 6 2" xfId="3549"/>
    <cellStyle name="20% - Accent5 17 6 2 2" xfId="7589"/>
    <cellStyle name="20% - Accent5 17 6 3" xfId="17025"/>
    <cellStyle name="20% - Accent5 17 6 4" xfId="7588"/>
    <cellStyle name="20% - Accent5 17 7" xfId="3550"/>
    <cellStyle name="20% - Accent5 17 7 2" xfId="3551"/>
    <cellStyle name="20% - Accent5 17 7 2 2" xfId="7591"/>
    <cellStyle name="20% - Accent5 17 7 3" xfId="17933"/>
    <cellStyle name="20% - Accent5 17 7 4" xfId="7590"/>
    <cellStyle name="20% - Accent5 17 8" xfId="3552"/>
    <cellStyle name="20% - Accent5 17 8 2" xfId="18823"/>
    <cellStyle name="20% - Accent5 17 8 3" xfId="7592"/>
    <cellStyle name="20% - Accent5 17 9" xfId="19701"/>
    <cellStyle name="20% - Accent5 18" xfId="3553"/>
    <cellStyle name="20% - Accent5 18 10" xfId="20641"/>
    <cellStyle name="20% - Accent5 18 11" xfId="21478"/>
    <cellStyle name="20% - Accent5 18 12" xfId="22269"/>
    <cellStyle name="20% - Accent5 18 13" xfId="26350"/>
    <cellStyle name="20% - Accent5 18 14" xfId="29681"/>
    <cellStyle name="20% - Accent5 18 15" xfId="31456"/>
    <cellStyle name="20% - Accent5 18 16" xfId="33218"/>
    <cellStyle name="20% - Accent5 18 17" xfId="34936"/>
    <cellStyle name="20% - Accent5 18 18" xfId="36589"/>
    <cellStyle name="20% - Accent5 18 19" xfId="38163"/>
    <cellStyle name="20% - Accent5 18 2" xfId="3554"/>
    <cellStyle name="20% - Accent5 18 2 2" xfId="3555"/>
    <cellStyle name="20% - Accent5 18 2 2 2" xfId="7595"/>
    <cellStyle name="20% - Accent5 18 2 3" xfId="13192"/>
    <cellStyle name="20% - Accent5 18 2 4" xfId="7594"/>
    <cellStyle name="20% - Accent5 18 20" xfId="39616"/>
    <cellStyle name="20% - Accent5 18 21" xfId="40888"/>
    <cellStyle name="20% - Accent5 18 22" xfId="41967"/>
    <cellStyle name="20% - Accent5 18 23" xfId="11495"/>
    <cellStyle name="20% - Accent5 18 24" xfId="7593"/>
    <cellStyle name="20% - Accent5 18 3" xfId="3556"/>
    <cellStyle name="20% - Accent5 18 3 2" xfId="3557"/>
    <cellStyle name="20% - Accent5 18 3 2 2" xfId="7597"/>
    <cellStyle name="20% - Accent5 18 3 3" xfId="14318"/>
    <cellStyle name="20% - Accent5 18 3 4" xfId="7596"/>
    <cellStyle name="20% - Accent5 18 4" xfId="3558"/>
    <cellStyle name="20% - Accent5 18 4 2" xfId="3559"/>
    <cellStyle name="20% - Accent5 18 4 2 2" xfId="7599"/>
    <cellStyle name="20% - Accent5 18 4 3" xfId="15246"/>
    <cellStyle name="20% - Accent5 18 4 4" xfId="7598"/>
    <cellStyle name="20% - Accent5 18 5" xfId="3560"/>
    <cellStyle name="20% - Accent5 18 5 2" xfId="3561"/>
    <cellStyle name="20% - Accent5 18 5 2 2" xfId="7601"/>
    <cellStyle name="20% - Accent5 18 5 3" xfId="16175"/>
    <cellStyle name="20% - Accent5 18 5 4" xfId="7600"/>
    <cellStyle name="20% - Accent5 18 6" xfId="3562"/>
    <cellStyle name="20% - Accent5 18 6 2" xfId="3563"/>
    <cellStyle name="20% - Accent5 18 6 2 2" xfId="7603"/>
    <cellStyle name="20% - Accent5 18 6 3" xfId="17105"/>
    <cellStyle name="20% - Accent5 18 6 4" xfId="7602"/>
    <cellStyle name="20% - Accent5 18 7" xfId="3564"/>
    <cellStyle name="20% - Accent5 18 7 2" xfId="3565"/>
    <cellStyle name="20% - Accent5 18 7 2 2" xfId="7605"/>
    <cellStyle name="20% - Accent5 18 7 3" xfId="18013"/>
    <cellStyle name="20% - Accent5 18 7 4" xfId="7604"/>
    <cellStyle name="20% - Accent5 18 8" xfId="3566"/>
    <cellStyle name="20% - Accent5 18 8 2" xfId="18903"/>
    <cellStyle name="20% - Accent5 18 8 3" xfId="7606"/>
    <cellStyle name="20% - Accent5 18 9" xfId="19781"/>
    <cellStyle name="20% - Accent5 19" xfId="3567"/>
    <cellStyle name="20% - Accent5 19 10" xfId="20719"/>
    <cellStyle name="20% - Accent5 19 11" xfId="21557"/>
    <cellStyle name="20% - Accent5 19 12" xfId="22345"/>
    <cellStyle name="20% - Accent5 19 13" xfId="26748"/>
    <cellStyle name="20% - Accent5 19 14" xfId="30077"/>
    <cellStyle name="20% - Accent5 19 15" xfId="31852"/>
    <cellStyle name="20% - Accent5 19 16" xfId="33608"/>
    <cellStyle name="20% - Accent5 19 17" xfId="35321"/>
    <cellStyle name="20% - Accent5 19 18" xfId="36967"/>
    <cellStyle name="20% - Accent5 19 19" xfId="38528"/>
    <cellStyle name="20% - Accent5 19 2" xfId="3568"/>
    <cellStyle name="20% - Accent5 19 2 2" xfId="3569"/>
    <cellStyle name="20% - Accent5 19 2 2 2" xfId="7609"/>
    <cellStyle name="20% - Accent5 19 2 3" xfId="13271"/>
    <cellStyle name="20% - Accent5 19 2 4" xfId="7608"/>
    <cellStyle name="20% - Accent5 19 20" xfId="39967"/>
    <cellStyle name="20% - Accent5 19 21" xfId="41220"/>
    <cellStyle name="20% - Accent5 19 22" xfId="42276"/>
    <cellStyle name="20% - Accent5 19 23" xfId="11678"/>
    <cellStyle name="20% - Accent5 19 24" xfId="7607"/>
    <cellStyle name="20% - Accent5 19 3" xfId="3570"/>
    <cellStyle name="20% - Accent5 19 3 2" xfId="3571"/>
    <cellStyle name="20% - Accent5 19 3 2 2" xfId="7611"/>
    <cellStyle name="20% - Accent5 19 3 3" xfId="14396"/>
    <cellStyle name="20% - Accent5 19 3 4" xfId="7610"/>
    <cellStyle name="20% - Accent5 19 4" xfId="3572"/>
    <cellStyle name="20% - Accent5 19 4 2" xfId="3573"/>
    <cellStyle name="20% - Accent5 19 4 2 2" xfId="7613"/>
    <cellStyle name="20% - Accent5 19 4 3" xfId="15324"/>
    <cellStyle name="20% - Accent5 19 4 4" xfId="7612"/>
    <cellStyle name="20% - Accent5 19 5" xfId="3574"/>
    <cellStyle name="20% - Accent5 19 5 2" xfId="3575"/>
    <cellStyle name="20% - Accent5 19 5 2 2" xfId="7615"/>
    <cellStyle name="20% - Accent5 19 5 3" xfId="16254"/>
    <cellStyle name="20% - Accent5 19 5 4" xfId="7614"/>
    <cellStyle name="20% - Accent5 19 6" xfId="3576"/>
    <cellStyle name="20% - Accent5 19 6 2" xfId="3577"/>
    <cellStyle name="20% - Accent5 19 6 2 2" xfId="7617"/>
    <cellStyle name="20% - Accent5 19 6 3" xfId="17184"/>
    <cellStyle name="20% - Accent5 19 6 4" xfId="7616"/>
    <cellStyle name="20% - Accent5 19 7" xfId="3578"/>
    <cellStyle name="20% - Accent5 19 7 2" xfId="3579"/>
    <cellStyle name="20% - Accent5 19 7 2 2" xfId="7619"/>
    <cellStyle name="20% - Accent5 19 7 3" xfId="18092"/>
    <cellStyle name="20% - Accent5 19 7 4" xfId="7618"/>
    <cellStyle name="20% - Accent5 19 8" xfId="3580"/>
    <cellStyle name="20% - Accent5 19 8 2" xfId="18982"/>
    <cellStyle name="20% - Accent5 19 8 3" xfId="7620"/>
    <cellStyle name="20% - Accent5 19 9" xfId="19859"/>
    <cellStyle name="20% - Accent5 2" xfId="3581"/>
    <cellStyle name="20% - Accent5 2 10" xfId="3582"/>
    <cellStyle name="20% - Accent5 2 10 2" xfId="10431"/>
    <cellStyle name="20% - Accent5 2 10 3" xfId="7622"/>
    <cellStyle name="20% - Accent5 2 11" xfId="11219"/>
    <cellStyle name="20% - Accent5 2 12" xfId="12716"/>
    <cellStyle name="20% - Accent5 2 13" xfId="12019"/>
    <cellStyle name="20% - Accent5 2 14" xfId="13979"/>
    <cellStyle name="20% - Accent5 2 15" xfId="12450"/>
    <cellStyle name="20% - Accent5 2 16" xfId="15908"/>
    <cellStyle name="20% - Accent5 2 17" xfId="16836"/>
    <cellStyle name="20% - Accent5 2 18" xfId="17745"/>
    <cellStyle name="20% - Accent5 2 19" xfId="18635"/>
    <cellStyle name="20% - Accent5 2 2" xfId="3583"/>
    <cellStyle name="20% - Accent5 2 2 10" xfId="7623"/>
    <cellStyle name="20% - Accent5 2 2 2" xfId="3584"/>
    <cellStyle name="20% - Accent5 2 2 2 2" xfId="3585"/>
    <cellStyle name="20% - Accent5 2 2 2 2 2" xfId="7625"/>
    <cellStyle name="20% - Accent5 2 2 2 3" xfId="9547"/>
    <cellStyle name="20% - Accent5 2 2 2 4" xfId="7624"/>
    <cellStyle name="20% - Accent5 2 2 3" xfId="3586"/>
    <cellStyle name="20% - Accent5 2 2 3 2" xfId="3587"/>
    <cellStyle name="20% - Accent5 2 2 3 2 2" xfId="7627"/>
    <cellStyle name="20% - Accent5 2 2 3 3" xfId="7626"/>
    <cellStyle name="20% - Accent5 2 2 4" xfId="3588"/>
    <cellStyle name="20% - Accent5 2 2 4 2" xfId="3589"/>
    <cellStyle name="20% - Accent5 2 2 4 2 2" xfId="7629"/>
    <cellStyle name="20% - Accent5 2 2 4 3" xfId="7628"/>
    <cellStyle name="20% - Accent5 2 2 5" xfId="3590"/>
    <cellStyle name="20% - Accent5 2 2 5 2" xfId="3591"/>
    <cellStyle name="20% - Accent5 2 2 5 2 2" xfId="7631"/>
    <cellStyle name="20% - Accent5 2 2 5 3" xfId="7630"/>
    <cellStyle name="20% - Accent5 2 2 6" xfId="3592"/>
    <cellStyle name="20% - Accent5 2 2 6 2" xfId="3593"/>
    <cellStyle name="20% - Accent5 2 2 6 2 2" xfId="7633"/>
    <cellStyle name="20% - Accent5 2 2 6 3" xfId="7632"/>
    <cellStyle name="20% - Accent5 2 2 7" xfId="3594"/>
    <cellStyle name="20% - Accent5 2 2 7 2" xfId="3595"/>
    <cellStyle name="20% - Accent5 2 2 7 2 2" xfId="7635"/>
    <cellStyle name="20% - Accent5 2 2 7 3" xfId="7634"/>
    <cellStyle name="20% - Accent5 2 2 8" xfId="3596"/>
    <cellStyle name="20% - Accent5 2 2 8 2" xfId="7636"/>
    <cellStyle name="20% - Accent5 2 2 9" xfId="9345"/>
    <cellStyle name="20% - Accent5 2 20" xfId="11927"/>
    <cellStyle name="20% - Accent5 2 21" xfId="19479"/>
    <cellStyle name="20% - Accent5 2 22" xfId="21213"/>
    <cellStyle name="20% - Accent5 2 23" xfId="22982"/>
    <cellStyle name="20% - Accent5 2 24" xfId="22889"/>
    <cellStyle name="20% - Accent5 2 25" xfId="28774"/>
    <cellStyle name="20% - Accent5 2 26" xfId="30562"/>
    <cellStyle name="20% - Accent5 2 27" xfId="32336"/>
    <cellStyle name="20% - Accent5 2 28" xfId="34088"/>
    <cellStyle name="20% - Accent5 2 29" xfId="35798"/>
    <cellStyle name="20% - Accent5 2 3" xfId="3597"/>
    <cellStyle name="20% - Accent5 2 3 10" xfId="7637"/>
    <cellStyle name="20% - Accent5 2 3 2" xfId="3598"/>
    <cellStyle name="20% - Accent5 2 3 2 2" xfId="3599"/>
    <cellStyle name="20% - Accent5 2 3 2 2 2" xfId="7639"/>
    <cellStyle name="20% - Accent5 2 3 2 3" xfId="7638"/>
    <cellStyle name="20% - Accent5 2 3 3" xfId="3600"/>
    <cellStyle name="20% - Accent5 2 3 3 2" xfId="3601"/>
    <cellStyle name="20% - Accent5 2 3 3 2 2" xfId="7641"/>
    <cellStyle name="20% - Accent5 2 3 3 3" xfId="7640"/>
    <cellStyle name="20% - Accent5 2 3 4" xfId="3602"/>
    <cellStyle name="20% - Accent5 2 3 4 2" xfId="3603"/>
    <cellStyle name="20% - Accent5 2 3 4 2 2" xfId="7643"/>
    <cellStyle name="20% - Accent5 2 3 4 3" xfId="7642"/>
    <cellStyle name="20% - Accent5 2 3 5" xfId="3604"/>
    <cellStyle name="20% - Accent5 2 3 5 2" xfId="3605"/>
    <cellStyle name="20% - Accent5 2 3 5 2 2" xfId="7645"/>
    <cellStyle name="20% - Accent5 2 3 5 3" xfId="7644"/>
    <cellStyle name="20% - Accent5 2 3 6" xfId="3606"/>
    <cellStyle name="20% - Accent5 2 3 6 2" xfId="3607"/>
    <cellStyle name="20% - Accent5 2 3 6 2 2" xfId="7647"/>
    <cellStyle name="20% - Accent5 2 3 6 3" xfId="7646"/>
    <cellStyle name="20% - Accent5 2 3 7" xfId="3608"/>
    <cellStyle name="20% - Accent5 2 3 7 2" xfId="3609"/>
    <cellStyle name="20% - Accent5 2 3 7 2 2" xfId="7649"/>
    <cellStyle name="20% - Accent5 2 3 7 3" xfId="7648"/>
    <cellStyle name="20% - Accent5 2 3 8" xfId="3610"/>
    <cellStyle name="20% - Accent5 2 3 8 2" xfId="7650"/>
    <cellStyle name="20% - Accent5 2 3 9" xfId="10300"/>
    <cellStyle name="20% - Accent5 2 30" xfId="37434"/>
    <cellStyle name="20% - Accent5 2 31" xfId="38981"/>
    <cellStyle name="20% - Accent5 2 32" xfId="40398"/>
    <cellStyle name="20% - Accent5 2 33" xfId="8692"/>
    <cellStyle name="20% - Accent5 2 34" xfId="7621"/>
    <cellStyle name="20% - Accent5 2 4" xfId="3611"/>
    <cellStyle name="20% - Accent5 2 4 2" xfId="3612"/>
    <cellStyle name="20% - Accent5 2 4 2 2" xfId="7652"/>
    <cellStyle name="20% - Accent5 2 4 3" xfId="10551"/>
    <cellStyle name="20% - Accent5 2 4 4" xfId="7651"/>
    <cellStyle name="20% - Accent5 2 5" xfId="3613"/>
    <cellStyle name="20% - Accent5 2 5 2" xfId="3614"/>
    <cellStyle name="20% - Accent5 2 5 2 2" xfId="7654"/>
    <cellStyle name="20% - Accent5 2 5 3" xfId="10595"/>
    <cellStyle name="20% - Accent5 2 5 4" xfId="7653"/>
    <cellStyle name="20% - Accent5 2 6" xfId="3615"/>
    <cellStyle name="20% - Accent5 2 6 2" xfId="3616"/>
    <cellStyle name="20% - Accent5 2 6 2 2" xfId="7656"/>
    <cellStyle name="20% - Accent5 2 6 3" xfId="10583"/>
    <cellStyle name="20% - Accent5 2 6 4" xfId="7655"/>
    <cellStyle name="20% - Accent5 2 7" xfId="3617"/>
    <cellStyle name="20% - Accent5 2 7 2" xfId="3618"/>
    <cellStyle name="20% - Accent5 2 7 2 2" xfId="7658"/>
    <cellStyle name="20% - Accent5 2 7 3" xfId="10734"/>
    <cellStyle name="20% - Accent5 2 7 4" xfId="7657"/>
    <cellStyle name="20% - Accent5 2 8" xfId="3619"/>
    <cellStyle name="20% - Accent5 2 8 2" xfId="3620"/>
    <cellStyle name="20% - Accent5 2 8 2 2" xfId="7660"/>
    <cellStyle name="20% - Accent5 2 8 3" xfId="10942"/>
    <cellStyle name="20% - Accent5 2 8 4" xfId="7659"/>
    <cellStyle name="20% - Accent5 2 9" xfId="3621"/>
    <cellStyle name="20% - Accent5 2 9 2" xfId="3622"/>
    <cellStyle name="20% - Accent5 2 9 2 2" xfId="7662"/>
    <cellStyle name="20% - Accent5 2 9 3" xfId="11218"/>
    <cellStyle name="20% - Accent5 2 9 4" xfId="7661"/>
    <cellStyle name="20% - Accent5 20" xfId="3623"/>
    <cellStyle name="20% - Accent5 20 10" xfId="20799"/>
    <cellStyle name="20% - Accent5 20 11" xfId="21637"/>
    <cellStyle name="20% - Accent5 20 12" xfId="22423"/>
    <cellStyle name="20% - Accent5 20 13" xfId="26468"/>
    <cellStyle name="20% - Accent5 20 14" xfId="29799"/>
    <cellStyle name="20% - Accent5 20 15" xfId="31574"/>
    <cellStyle name="20% - Accent5 20 16" xfId="33333"/>
    <cellStyle name="20% - Accent5 20 17" xfId="35050"/>
    <cellStyle name="20% - Accent5 20 18" xfId="36701"/>
    <cellStyle name="20% - Accent5 20 19" xfId="38270"/>
    <cellStyle name="20% - Accent5 20 2" xfId="3624"/>
    <cellStyle name="20% - Accent5 20 2 2" xfId="3625"/>
    <cellStyle name="20% - Accent5 20 2 2 2" xfId="7665"/>
    <cellStyle name="20% - Accent5 20 2 3" xfId="13352"/>
    <cellStyle name="20% - Accent5 20 2 4" xfId="7664"/>
    <cellStyle name="20% - Accent5 20 20" xfId="39720"/>
    <cellStyle name="20% - Accent5 20 21" xfId="40987"/>
    <cellStyle name="20% - Accent5 20 22" xfId="42061"/>
    <cellStyle name="20% - Accent5 20 23" xfId="11860"/>
    <cellStyle name="20% - Accent5 20 24" xfId="7663"/>
    <cellStyle name="20% - Accent5 20 3" xfId="3626"/>
    <cellStyle name="20% - Accent5 20 3 2" xfId="3627"/>
    <cellStyle name="20% - Accent5 20 3 2 2" xfId="7667"/>
    <cellStyle name="20% - Accent5 20 3 3" xfId="14476"/>
    <cellStyle name="20% - Accent5 20 3 4" xfId="7666"/>
    <cellStyle name="20% - Accent5 20 4" xfId="3628"/>
    <cellStyle name="20% - Accent5 20 4 2" xfId="3629"/>
    <cellStyle name="20% - Accent5 20 4 2 2" xfId="7669"/>
    <cellStyle name="20% - Accent5 20 4 3" xfId="15405"/>
    <cellStyle name="20% - Accent5 20 4 4" xfId="7668"/>
    <cellStyle name="20% - Accent5 20 5" xfId="3630"/>
    <cellStyle name="20% - Accent5 20 5 2" xfId="3631"/>
    <cellStyle name="20% - Accent5 20 5 2 2" xfId="7671"/>
    <cellStyle name="20% - Accent5 20 5 3" xfId="16334"/>
    <cellStyle name="20% - Accent5 20 5 4" xfId="7670"/>
    <cellStyle name="20% - Accent5 20 6" xfId="3632"/>
    <cellStyle name="20% - Accent5 20 6 2" xfId="3633"/>
    <cellStyle name="20% - Accent5 20 6 2 2" xfId="7673"/>
    <cellStyle name="20% - Accent5 20 6 3" xfId="17264"/>
    <cellStyle name="20% - Accent5 20 6 4" xfId="7672"/>
    <cellStyle name="20% - Accent5 20 7" xfId="18172"/>
    <cellStyle name="20% - Accent5 20 8" xfId="19062"/>
    <cellStyle name="20% - Accent5 20 9" xfId="19939"/>
    <cellStyle name="20% - Accent5 21" xfId="12045"/>
    <cellStyle name="20% - Accent5 21 10" xfId="20878"/>
    <cellStyle name="20% - Accent5 21 11" xfId="21717"/>
    <cellStyle name="20% - Accent5 21 12" xfId="22501"/>
    <cellStyle name="20% - Accent5 21 13" xfId="26864"/>
    <cellStyle name="20% - Accent5 21 14" xfId="30192"/>
    <cellStyle name="20% - Accent5 21 15" xfId="31967"/>
    <cellStyle name="20% - Accent5 21 16" xfId="33722"/>
    <cellStyle name="20% - Accent5 21 17" xfId="35435"/>
    <cellStyle name="20% - Accent5 21 18" xfId="37080"/>
    <cellStyle name="20% - Accent5 21 19" xfId="38636"/>
    <cellStyle name="20% - Accent5 21 2" xfId="13432"/>
    <cellStyle name="20% - Accent5 21 20" xfId="40070"/>
    <cellStyle name="20% - Accent5 21 21" xfId="41317"/>
    <cellStyle name="20% - Accent5 21 22" xfId="42368"/>
    <cellStyle name="20% - Accent5 21 3" xfId="14556"/>
    <cellStyle name="20% - Accent5 21 4" xfId="15483"/>
    <cellStyle name="20% - Accent5 21 5" xfId="16414"/>
    <cellStyle name="20% - Accent5 21 6" xfId="17344"/>
    <cellStyle name="20% - Accent5 21 7" xfId="18252"/>
    <cellStyle name="20% - Accent5 21 8" xfId="19142"/>
    <cellStyle name="20% - Accent5 21 9" xfId="20019"/>
    <cellStyle name="20% - Accent5 22" xfId="12082"/>
    <cellStyle name="20% - Accent5 22 10" xfId="20956"/>
    <cellStyle name="20% - Accent5 22 11" xfId="21797"/>
    <cellStyle name="20% - Accent5 22 12" xfId="22579"/>
    <cellStyle name="20% - Accent5 22 13" xfId="26337"/>
    <cellStyle name="20% - Accent5 22 14" xfId="29668"/>
    <cellStyle name="20% - Accent5 22 15" xfId="31443"/>
    <cellStyle name="20% - Accent5 22 16" xfId="33205"/>
    <cellStyle name="20% - Accent5 22 17" xfId="34923"/>
    <cellStyle name="20% - Accent5 22 18" xfId="36576"/>
    <cellStyle name="20% - Accent5 22 19" xfId="38150"/>
    <cellStyle name="20% - Accent5 22 2" xfId="13512"/>
    <cellStyle name="20% - Accent5 22 20" xfId="39603"/>
    <cellStyle name="20% - Accent5 22 21" xfId="40876"/>
    <cellStyle name="20% - Accent5 22 22" xfId="41955"/>
    <cellStyle name="20% - Accent5 22 3" xfId="14635"/>
    <cellStyle name="20% - Accent5 22 4" xfId="15563"/>
    <cellStyle name="20% - Accent5 22 5" xfId="16494"/>
    <cellStyle name="20% - Accent5 22 6" xfId="17424"/>
    <cellStyle name="20% - Accent5 22 7" xfId="18332"/>
    <cellStyle name="20% - Accent5 22 8" xfId="19222"/>
    <cellStyle name="20% - Accent5 22 9" xfId="20098"/>
    <cellStyle name="20% - Accent5 23" xfId="12410"/>
    <cellStyle name="20% - Accent5 23 10" xfId="21028"/>
    <cellStyle name="20% - Accent5 23 11" xfId="21866"/>
    <cellStyle name="20% - Accent5 23 12" xfId="22647"/>
    <cellStyle name="20% - Accent5 23 2" xfId="13592"/>
    <cellStyle name="20% - Accent5 23 3" xfId="14711"/>
    <cellStyle name="20% - Accent5 23 4" xfId="15640"/>
    <cellStyle name="20% - Accent5 23 5" xfId="16571"/>
    <cellStyle name="20% - Accent5 23 6" xfId="17499"/>
    <cellStyle name="20% - Accent5 23 7" xfId="18405"/>
    <cellStyle name="20% - Accent5 23 8" xfId="19292"/>
    <cellStyle name="20% - Accent5 23 9" xfId="20168"/>
    <cellStyle name="20% - Accent5 24" xfId="12212"/>
    <cellStyle name="20% - Accent5 24 10" xfId="21087"/>
    <cellStyle name="20% - Accent5 24 11" xfId="21922"/>
    <cellStyle name="20% - Accent5 24 12" xfId="22703"/>
    <cellStyle name="20% - Accent5 24 2" xfId="13672"/>
    <cellStyle name="20% - Accent5 24 3" xfId="14784"/>
    <cellStyle name="20% - Accent5 24 4" xfId="15712"/>
    <cellStyle name="20% - Accent5 24 5" xfId="16643"/>
    <cellStyle name="20% - Accent5 24 6" xfId="17572"/>
    <cellStyle name="20% - Accent5 24 7" xfId="18474"/>
    <cellStyle name="20% - Accent5 24 8" xfId="19358"/>
    <cellStyle name="20% - Accent5 24 9" xfId="20233"/>
    <cellStyle name="20% - Accent5 25" xfId="13742"/>
    <cellStyle name="20% - Accent5 26" xfId="13800"/>
    <cellStyle name="20% - Accent5 27" xfId="13042"/>
    <cellStyle name="20% - Accent5 28" xfId="13946"/>
    <cellStyle name="20% - Accent5 29" xfId="15842"/>
    <cellStyle name="20% - Accent5 3" xfId="3947"/>
    <cellStyle name="20% - Accent5 3 2" xfId="8826"/>
    <cellStyle name="20% - Accent5 30" xfId="15877"/>
    <cellStyle name="20% - Accent5 31" xfId="16804"/>
    <cellStyle name="20% - Accent5 32" xfId="17716"/>
    <cellStyle name="20% - Accent5 33" xfId="18609"/>
    <cellStyle name="20% - Accent5 34" xfId="14764"/>
    <cellStyle name="20% - Accent5 35" xfId="20268"/>
    <cellStyle name="20% - Accent5 36" xfId="21192"/>
    <cellStyle name="20% - Accent5 37" xfId="22773"/>
    <cellStyle name="20% - Accent5 38" xfId="26566"/>
    <cellStyle name="20% - Accent5 39" xfId="29073"/>
    <cellStyle name="20% - Accent5 4" xfId="8917"/>
    <cellStyle name="20% - Accent5 40" xfId="30858"/>
    <cellStyle name="20% - Accent5 41" xfId="32630"/>
    <cellStyle name="20% - Accent5 42" xfId="34371"/>
    <cellStyle name="20% - Accent5 43" xfId="36059"/>
    <cellStyle name="20% - Accent5 44" xfId="37676"/>
    <cellStyle name="20% - Accent5 45" xfId="39194"/>
    <cellStyle name="20% - Accent5 46" xfId="40573"/>
    <cellStyle name="20% - Accent5 47" xfId="42577"/>
    <cellStyle name="20% - Accent5 48" xfId="42699"/>
    <cellStyle name="20% - Accent5 49" xfId="42743"/>
    <cellStyle name="20% - Accent5 5" xfId="8995"/>
    <cellStyle name="20% - Accent5 50" xfId="42785"/>
    <cellStyle name="20% - Accent5 51" xfId="42826"/>
    <cellStyle name="20% - Accent5 52" xfId="42867"/>
    <cellStyle name="20% - Accent5 53" xfId="42907"/>
    <cellStyle name="20% - Accent5 54" xfId="42947"/>
    <cellStyle name="20% - Accent5 55" xfId="42984"/>
    <cellStyle name="20% - Accent5 56" xfId="43021"/>
    <cellStyle name="20% - Accent5 57" xfId="43055"/>
    <cellStyle name="20% - Accent5 58" xfId="43087"/>
    <cellStyle name="20% - Accent5 59" xfId="43110"/>
    <cellStyle name="20% - Accent5 6" xfId="9068"/>
    <cellStyle name="20% - Accent5 60" xfId="43128"/>
    <cellStyle name="20% - Accent5 61" xfId="43196"/>
    <cellStyle name="20% - Accent5 62" xfId="8616"/>
    <cellStyle name="20% - Accent5 63" xfId="7396"/>
    <cellStyle name="20% - Accent5 64" xfId="3356"/>
    <cellStyle name="20% - Accent5 7" xfId="9125"/>
    <cellStyle name="20% - Accent5 8" xfId="9245"/>
    <cellStyle name="20% - Accent5 9" xfId="9749"/>
    <cellStyle name="20% - Accent6" xfId="40" builtinId="50" customBuiltin="1"/>
    <cellStyle name="20% - Accent6 10" xfId="9834"/>
    <cellStyle name="20% - Accent6 11" xfId="9915"/>
    <cellStyle name="20% - Accent6 11 10" xfId="35968"/>
    <cellStyle name="20% - Accent6 11 11" xfId="37592"/>
    <cellStyle name="20% - Accent6 11 2" xfId="23715"/>
    <cellStyle name="20% - Accent6 11 3" xfId="27135"/>
    <cellStyle name="20% - Accent6 11 4" xfId="27073"/>
    <cellStyle name="20% - Accent6 11 5" xfId="23623"/>
    <cellStyle name="20% - Accent6 11 6" xfId="28970"/>
    <cellStyle name="20% - Accent6 11 7" xfId="30756"/>
    <cellStyle name="20% - Accent6 11 8" xfId="32529"/>
    <cellStyle name="20% - Accent6 11 9" xfId="34272"/>
    <cellStyle name="20% - Accent6 12" xfId="9994"/>
    <cellStyle name="20% - Accent6 12 10" xfId="29071"/>
    <cellStyle name="20% - Accent6 12 11" xfId="30856"/>
    <cellStyle name="20% - Accent6 12 2" xfId="24864"/>
    <cellStyle name="20% - Accent6 12 3" xfId="28252"/>
    <cellStyle name="20% - Accent6 12 4" xfId="27523"/>
    <cellStyle name="20% - Accent6 12 5" xfId="28221"/>
    <cellStyle name="20% - Accent6 12 6" xfId="27574"/>
    <cellStyle name="20% - Accent6 12 7" xfId="23180"/>
    <cellStyle name="20% - Accent6 12 8" xfId="28545"/>
    <cellStyle name="20% - Accent6 12 9" xfId="26611"/>
    <cellStyle name="20% - Accent6 13" xfId="10073"/>
    <cellStyle name="20% - Accent6 13 10" xfId="41301"/>
    <cellStyle name="20% - Accent6 13 11" xfId="42352"/>
    <cellStyle name="20% - Accent6 13 2" xfId="26846"/>
    <cellStyle name="20% - Accent6 13 3" xfId="30174"/>
    <cellStyle name="20% - Accent6 13 4" xfId="31949"/>
    <cellStyle name="20% - Accent6 13 5" xfId="33704"/>
    <cellStyle name="20% - Accent6 13 6" xfId="35417"/>
    <cellStyle name="20% - Accent6 13 7" xfId="37062"/>
    <cellStyle name="20% - Accent6 13 8" xfId="38619"/>
    <cellStyle name="20% - Accent6 13 9" xfId="40053"/>
    <cellStyle name="20% - Accent6 14" xfId="10137"/>
    <cellStyle name="20% - Accent6 14 10" xfId="40898"/>
    <cellStyle name="20% - Accent6 14 11" xfId="41977"/>
    <cellStyle name="20% - Accent6 14 2" xfId="26361"/>
    <cellStyle name="20% - Accent6 14 3" xfId="29692"/>
    <cellStyle name="20% - Accent6 14 4" xfId="31467"/>
    <cellStyle name="20% - Accent6 14 5" xfId="33228"/>
    <cellStyle name="20% - Accent6 14 6" xfId="34946"/>
    <cellStyle name="20% - Accent6 14 7" xfId="36599"/>
    <cellStyle name="20% - Accent6 14 8" xfId="38173"/>
    <cellStyle name="20% - Accent6 14 9" xfId="39626"/>
    <cellStyle name="20% - Accent6 15" xfId="9514"/>
    <cellStyle name="20% - Accent6 15 10" xfId="20401"/>
    <cellStyle name="20% - Accent6 15 11" xfId="21237"/>
    <cellStyle name="20% - Accent6 15 12" xfId="22037"/>
    <cellStyle name="20% - Accent6 15 13" xfId="26740"/>
    <cellStyle name="20% - Accent6 15 14" xfId="30069"/>
    <cellStyle name="20% - Accent6 15 15" xfId="31844"/>
    <cellStyle name="20% - Accent6 15 16" xfId="33600"/>
    <cellStyle name="20% - Accent6 15 17" xfId="35313"/>
    <cellStyle name="20% - Accent6 15 18" xfId="36959"/>
    <cellStyle name="20% - Accent6 15 19" xfId="38520"/>
    <cellStyle name="20% - Accent6 15 2" xfId="12951"/>
    <cellStyle name="20% - Accent6 15 20" xfId="39960"/>
    <cellStyle name="20% - Accent6 15 21" xfId="41213"/>
    <cellStyle name="20% - Accent6 15 22" xfId="42269"/>
    <cellStyle name="20% - Accent6 15 3" xfId="14077"/>
    <cellStyle name="20% - Accent6 15 4" xfId="15007"/>
    <cellStyle name="20% - Accent6 15 5" xfId="15934"/>
    <cellStyle name="20% - Accent6 15 6" xfId="16864"/>
    <cellStyle name="20% - Accent6 15 7" xfId="17772"/>
    <cellStyle name="20% - Accent6 15 8" xfId="18662"/>
    <cellStyle name="20% - Accent6 15 9" xfId="19540"/>
    <cellStyle name="20% - Accent6 16" xfId="11039"/>
    <cellStyle name="20% - Accent6 16 10" xfId="20480"/>
    <cellStyle name="20% - Accent6 16 11" xfId="21316"/>
    <cellStyle name="20% - Accent6 16 12" xfId="22113"/>
    <cellStyle name="20% - Accent6 16 13" xfId="26476"/>
    <cellStyle name="20% - Accent6 16 14" xfId="29807"/>
    <cellStyle name="20% - Accent6 16 15" xfId="31582"/>
    <cellStyle name="20% - Accent6 16 16" xfId="33341"/>
    <cellStyle name="20% - Accent6 16 17" xfId="35057"/>
    <cellStyle name="20% - Accent6 16 18" xfId="36708"/>
    <cellStyle name="20% - Accent6 16 19" xfId="38277"/>
    <cellStyle name="20% - Accent6 16 2" xfId="13030"/>
    <cellStyle name="20% - Accent6 16 20" xfId="39727"/>
    <cellStyle name="20% - Accent6 16 21" xfId="40994"/>
    <cellStyle name="20% - Accent6 16 22" xfId="42068"/>
    <cellStyle name="20% - Accent6 16 3" xfId="14156"/>
    <cellStyle name="20% - Accent6 16 4" xfId="15086"/>
    <cellStyle name="20% - Accent6 16 5" xfId="16013"/>
    <cellStyle name="20% - Accent6 16 6" xfId="16943"/>
    <cellStyle name="20% - Accent6 16 7" xfId="17851"/>
    <cellStyle name="20% - Accent6 16 8" xfId="18741"/>
    <cellStyle name="20% - Accent6 16 9" xfId="19619"/>
    <cellStyle name="20% - Accent6 17" xfId="10665"/>
    <cellStyle name="20% - Accent6 17 10" xfId="20561"/>
    <cellStyle name="20% - Accent6 17 11" xfId="21397"/>
    <cellStyle name="20% - Accent6 17 12" xfId="22191"/>
    <cellStyle name="20% - Accent6 17 13" xfId="26856"/>
    <cellStyle name="20% - Accent6 17 14" xfId="30184"/>
    <cellStyle name="20% - Accent6 17 15" xfId="31959"/>
    <cellStyle name="20% - Accent6 17 16" xfId="33714"/>
    <cellStyle name="20% - Accent6 17 17" xfId="35427"/>
    <cellStyle name="20% - Accent6 17 18" xfId="37072"/>
    <cellStyle name="20% - Accent6 17 19" xfId="38628"/>
    <cellStyle name="20% - Accent6 17 2" xfId="13111"/>
    <cellStyle name="20% - Accent6 17 20" xfId="40062"/>
    <cellStyle name="20% - Accent6 17 21" xfId="41310"/>
    <cellStyle name="20% - Accent6 17 22" xfId="42361"/>
    <cellStyle name="20% - Accent6 17 3" xfId="14237"/>
    <cellStyle name="20% - Accent6 17 4" xfId="15166"/>
    <cellStyle name="20% - Accent6 17 5" xfId="16094"/>
    <cellStyle name="20% - Accent6 17 6" xfId="17024"/>
    <cellStyle name="20% - Accent6 17 7" xfId="17932"/>
    <cellStyle name="20% - Accent6 17 8" xfId="18822"/>
    <cellStyle name="20% - Accent6 17 9" xfId="19700"/>
    <cellStyle name="20% - Accent6 18" xfId="10549"/>
    <cellStyle name="20% - Accent6 18 10" xfId="20640"/>
    <cellStyle name="20% - Accent6 18 11" xfId="21477"/>
    <cellStyle name="20% - Accent6 18 12" xfId="22268"/>
    <cellStyle name="20% - Accent6 18 13" xfId="26351"/>
    <cellStyle name="20% - Accent6 18 14" xfId="29682"/>
    <cellStyle name="20% - Accent6 18 15" xfId="31457"/>
    <cellStyle name="20% - Accent6 18 16" xfId="33219"/>
    <cellStyle name="20% - Accent6 18 17" xfId="34937"/>
    <cellStyle name="20% - Accent6 18 18" xfId="36590"/>
    <cellStyle name="20% - Accent6 18 19" xfId="38164"/>
    <cellStyle name="20% - Accent6 18 2" xfId="13191"/>
    <cellStyle name="20% - Accent6 18 20" xfId="39617"/>
    <cellStyle name="20% - Accent6 18 21" xfId="40889"/>
    <cellStyle name="20% - Accent6 18 22" xfId="41968"/>
    <cellStyle name="20% - Accent6 18 3" xfId="14317"/>
    <cellStyle name="20% - Accent6 18 4" xfId="15245"/>
    <cellStyle name="20% - Accent6 18 5" xfId="16174"/>
    <cellStyle name="20% - Accent6 18 6" xfId="17104"/>
    <cellStyle name="20% - Accent6 18 7" xfId="18012"/>
    <cellStyle name="20% - Accent6 18 8" xfId="18902"/>
    <cellStyle name="20% - Accent6 18 9" xfId="19780"/>
    <cellStyle name="20% - Accent6 19" xfId="10747"/>
    <cellStyle name="20% - Accent6 19 10" xfId="20718"/>
    <cellStyle name="20% - Accent6 19 11" xfId="21556"/>
    <cellStyle name="20% - Accent6 19 12" xfId="22344"/>
    <cellStyle name="20% - Accent6 19 13" xfId="26747"/>
    <cellStyle name="20% - Accent6 19 14" xfId="30076"/>
    <cellStyle name="20% - Accent6 19 15" xfId="31851"/>
    <cellStyle name="20% - Accent6 19 16" xfId="33607"/>
    <cellStyle name="20% - Accent6 19 17" xfId="35320"/>
    <cellStyle name="20% - Accent6 19 18" xfId="36966"/>
    <cellStyle name="20% - Accent6 19 19" xfId="38527"/>
    <cellStyle name="20% - Accent6 19 2" xfId="13270"/>
    <cellStyle name="20% - Accent6 19 20" xfId="39966"/>
    <cellStyle name="20% - Accent6 19 21" xfId="41219"/>
    <cellStyle name="20% - Accent6 19 22" xfId="42275"/>
    <cellStyle name="20% - Accent6 19 3" xfId="14395"/>
    <cellStyle name="20% - Accent6 19 4" xfId="15323"/>
    <cellStyle name="20% - Accent6 19 5" xfId="16253"/>
    <cellStyle name="20% - Accent6 19 6" xfId="17183"/>
    <cellStyle name="20% - Accent6 19 7" xfId="18091"/>
    <cellStyle name="20% - Accent6 19 8" xfId="18981"/>
    <cellStyle name="20% - Accent6 19 9" xfId="19858"/>
    <cellStyle name="20% - Accent6 2" xfId="3948"/>
    <cellStyle name="20% - Accent6 2 10" xfId="12163"/>
    <cellStyle name="20% - Accent6 2 11" xfId="12299"/>
    <cellStyle name="20% - Accent6 2 12" xfId="12671"/>
    <cellStyle name="20% - Accent6 2 13" xfId="12606"/>
    <cellStyle name="20% - Accent6 2 14" xfId="13912"/>
    <cellStyle name="20% - Accent6 2 15" xfId="13899"/>
    <cellStyle name="20% - Accent6 2 16" xfId="12467"/>
    <cellStyle name="20% - Accent6 2 17" xfId="12106"/>
    <cellStyle name="20% - Accent6 2 18" xfId="15795"/>
    <cellStyle name="20% - Accent6 2 19" xfId="15815"/>
    <cellStyle name="20% - Accent6 2 2" xfId="9346"/>
    <cellStyle name="20% - Accent6 2 2 2" xfId="9548"/>
    <cellStyle name="20% - Accent6 2 20" xfId="19405"/>
    <cellStyle name="20% - Accent6 2 21" xfId="13976"/>
    <cellStyle name="20% - Accent6 2 22" xfId="12764"/>
    <cellStyle name="20% - Accent6 2 23" xfId="22983"/>
    <cellStyle name="20% - Accent6 2 24" xfId="22888"/>
    <cellStyle name="20% - Accent6 2 25" xfId="28773"/>
    <cellStyle name="20% - Accent6 2 26" xfId="30561"/>
    <cellStyle name="20% - Accent6 2 27" xfId="32335"/>
    <cellStyle name="20% - Accent6 2 28" xfId="34087"/>
    <cellStyle name="20% - Accent6 2 29" xfId="35797"/>
    <cellStyle name="20% - Accent6 2 3" xfId="10301"/>
    <cellStyle name="20% - Accent6 2 30" xfId="37433"/>
    <cellStyle name="20% - Accent6 2 31" xfId="38980"/>
    <cellStyle name="20% - Accent6 2 32" xfId="40397"/>
    <cellStyle name="20% - Accent6 2 33" xfId="8693"/>
    <cellStyle name="20% - Accent6 2 4" xfId="10474"/>
    <cellStyle name="20% - Accent6 2 5" xfId="11191"/>
    <cellStyle name="20% - Accent6 2 6" xfId="11383"/>
    <cellStyle name="20% - Accent6 2 7" xfId="11573"/>
    <cellStyle name="20% - Accent6 2 8" xfId="11754"/>
    <cellStyle name="20% - Accent6 2 9" xfId="11938"/>
    <cellStyle name="20% - Accent6 20" xfId="10923"/>
    <cellStyle name="20% - Accent6 20 10" xfId="20798"/>
    <cellStyle name="20% - Accent6 20 11" xfId="21636"/>
    <cellStyle name="20% - Accent6 20 12" xfId="22422"/>
    <cellStyle name="20% - Accent6 20 13" xfId="26469"/>
    <cellStyle name="20% - Accent6 20 14" xfId="29800"/>
    <cellStyle name="20% - Accent6 20 15" xfId="31575"/>
    <cellStyle name="20% - Accent6 20 16" xfId="33334"/>
    <cellStyle name="20% - Accent6 20 17" xfId="35051"/>
    <cellStyle name="20% - Accent6 20 18" xfId="36702"/>
    <cellStyle name="20% - Accent6 20 19" xfId="38271"/>
    <cellStyle name="20% - Accent6 20 2" xfId="13351"/>
    <cellStyle name="20% - Accent6 20 20" xfId="39721"/>
    <cellStyle name="20% - Accent6 20 21" xfId="40988"/>
    <cellStyle name="20% - Accent6 20 22" xfId="42062"/>
    <cellStyle name="20% - Accent6 20 3" xfId="14475"/>
    <cellStyle name="20% - Accent6 20 4" xfId="15404"/>
    <cellStyle name="20% - Accent6 20 5" xfId="16333"/>
    <cellStyle name="20% - Accent6 20 6" xfId="17263"/>
    <cellStyle name="20% - Accent6 20 7" xfId="18171"/>
    <cellStyle name="20% - Accent6 20 8" xfId="19061"/>
    <cellStyle name="20% - Accent6 20 9" xfId="19938"/>
    <cellStyle name="20% - Accent6 21" xfId="10794"/>
    <cellStyle name="20% - Accent6 21 10" xfId="20877"/>
    <cellStyle name="20% - Accent6 21 11" xfId="21716"/>
    <cellStyle name="20% - Accent6 21 12" xfId="22500"/>
    <cellStyle name="20% - Accent6 21 13" xfId="26863"/>
    <cellStyle name="20% - Accent6 21 14" xfId="30191"/>
    <cellStyle name="20% - Accent6 21 15" xfId="31966"/>
    <cellStyle name="20% - Accent6 21 16" xfId="33721"/>
    <cellStyle name="20% - Accent6 21 17" xfId="35434"/>
    <cellStyle name="20% - Accent6 21 18" xfId="37079"/>
    <cellStyle name="20% - Accent6 21 19" xfId="38635"/>
    <cellStyle name="20% - Accent6 21 2" xfId="13431"/>
    <cellStyle name="20% - Accent6 21 20" xfId="40069"/>
    <cellStyle name="20% - Accent6 21 21" xfId="41316"/>
    <cellStyle name="20% - Accent6 21 22" xfId="42367"/>
    <cellStyle name="20% - Accent6 21 3" xfId="14555"/>
    <cellStyle name="20% - Accent6 21 4" xfId="15482"/>
    <cellStyle name="20% - Accent6 21 5" xfId="16413"/>
    <cellStyle name="20% - Accent6 21 6" xfId="17343"/>
    <cellStyle name="20% - Accent6 21 7" xfId="18251"/>
    <cellStyle name="20% - Accent6 21 8" xfId="19141"/>
    <cellStyle name="20% - Accent6 21 9" xfId="20018"/>
    <cellStyle name="20% - Accent6 22" xfId="12132"/>
    <cellStyle name="20% - Accent6 22 10" xfId="20955"/>
    <cellStyle name="20% - Accent6 22 11" xfId="21796"/>
    <cellStyle name="20% - Accent6 22 12" xfId="22578"/>
    <cellStyle name="20% - Accent6 22 13" xfId="26338"/>
    <cellStyle name="20% - Accent6 22 14" xfId="29669"/>
    <cellStyle name="20% - Accent6 22 15" xfId="31444"/>
    <cellStyle name="20% - Accent6 22 16" xfId="33206"/>
    <cellStyle name="20% - Accent6 22 17" xfId="34924"/>
    <cellStyle name="20% - Accent6 22 18" xfId="36577"/>
    <cellStyle name="20% - Accent6 22 19" xfId="38151"/>
    <cellStyle name="20% - Accent6 22 2" xfId="13511"/>
    <cellStyle name="20% - Accent6 22 20" xfId="39604"/>
    <cellStyle name="20% - Accent6 22 21" xfId="40877"/>
    <cellStyle name="20% - Accent6 22 22" xfId="41956"/>
    <cellStyle name="20% - Accent6 22 3" xfId="14634"/>
    <cellStyle name="20% - Accent6 22 4" xfId="15562"/>
    <cellStyle name="20% - Accent6 22 5" xfId="16493"/>
    <cellStyle name="20% - Accent6 22 6" xfId="17423"/>
    <cellStyle name="20% - Accent6 22 7" xfId="18331"/>
    <cellStyle name="20% - Accent6 22 8" xfId="19221"/>
    <cellStyle name="20% - Accent6 22 9" xfId="20097"/>
    <cellStyle name="20% - Accent6 23" xfId="10818"/>
    <cellStyle name="20% - Accent6 23 10" xfId="21027"/>
    <cellStyle name="20% - Accent6 23 11" xfId="21865"/>
    <cellStyle name="20% - Accent6 23 12" xfId="22646"/>
    <cellStyle name="20% - Accent6 23 2" xfId="13591"/>
    <cellStyle name="20% - Accent6 23 3" xfId="14710"/>
    <cellStyle name="20% - Accent6 23 4" xfId="15639"/>
    <cellStyle name="20% - Accent6 23 5" xfId="16570"/>
    <cellStyle name="20% - Accent6 23 6" xfId="17498"/>
    <cellStyle name="20% - Accent6 23 7" xfId="18404"/>
    <cellStyle name="20% - Accent6 23 8" xfId="19291"/>
    <cellStyle name="20% - Accent6 23 9" xfId="20167"/>
    <cellStyle name="20% - Accent6 24" xfId="12304"/>
    <cellStyle name="20% - Accent6 24 10" xfId="21086"/>
    <cellStyle name="20% - Accent6 24 11" xfId="21921"/>
    <cellStyle name="20% - Accent6 24 12" xfId="22702"/>
    <cellStyle name="20% - Accent6 24 2" xfId="13671"/>
    <cellStyle name="20% - Accent6 24 3" xfId="14783"/>
    <cellStyle name="20% - Accent6 24 4" xfId="15711"/>
    <cellStyle name="20% - Accent6 24 5" xfId="16642"/>
    <cellStyle name="20% - Accent6 24 6" xfId="17571"/>
    <cellStyle name="20% - Accent6 24 7" xfId="18473"/>
    <cellStyle name="20% - Accent6 24 8" xfId="19357"/>
    <cellStyle name="20% - Accent6 24 9" xfId="20232"/>
    <cellStyle name="20% - Accent6 25" xfId="13741"/>
    <cellStyle name="20% - Accent6 26" xfId="13799"/>
    <cellStyle name="20% - Accent6 27" xfId="12962"/>
    <cellStyle name="20% - Accent6 28" xfId="13884"/>
    <cellStyle name="20% - Accent6 29" xfId="15814"/>
    <cellStyle name="20% - Accent6 3" xfId="8825"/>
    <cellStyle name="20% - Accent6 30" xfId="12520"/>
    <cellStyle name="20% - Accent6 31" xfId="11776"/>
    <cellStyle name="20% - Accent6 32" xfId="12768"/>
    <cellStyle name="20% - Accent6 33" xfId="11316"/>
    <cellStyle name="20% - Accent6 34" xfId="19430"/>
    <cellStyle name="20% - Accent6 35" xfId="21169"/>
    <cellStyle name="20% - Accent6 36" xfId="19389"/>
    <cellStyle name="20% - Accent6 37" xfId="22774"/>
    <cellStyle name="20% - Accent6 38" xfId="26669"/>
    <cellStyle name="20% - Accent6 39" xfId="29072"/>
    <cellStyle name="20% - Accent6 4" xfId="8916"/>
    <cellStyle name="20% - Accent6 40" xfId="30857"/>
    <cellStyle name="20% - Accent6 41" xfId="32629"/>
    <cellStyle name="20% - Accent6 42" xfId="34370"/>
    <cellStyle name="20% - Accent6 43" xfId="36058"/>
    <cellStyle name="20% - Accent6 44" xfId="37675"/>
    <cellStyle name="20% - Accent6 45" xfId="39193"/>
    <cellStyle name="20% - Accent6 46" xfId="40572"/>
    <cellStyle name="20% - Accent6 47" xfId="42578"/>
    <cellStyle name="20% - Accent6 48" xfId="42698"/>
    <cellStyle name="20% - Accent6 49" xfId="42742"/>
    <cellStyle name="20% - Accent6 5" xfId="8994"/>
    <cellStyle name="20% - Accent6 50" xfId="42784"/>
    <cellStyle name="20% - Accent6 51" xfId="42825"/>
    <cellStyle name="20% - Accent6 52" xfId="42866"/>
    <cellStyle name="20% - Accent6 53" xfId="42906"/>
    <cellStyle name="20% - Accent6 54" xfId="42946"/>
    <cellStyle name="20% - Accent6 55" xfId="42983"/>
    <cellStyle name="20% - Accent6 56" xfId="43020"/>
    <cellStyle name="20% - Accent6 57" xfId="43054"/>
    <cellStyle name="20% - Accent6 58" xfId="43086"/>
    <cellStyle name="20% - Accent6 59" xfId="43109"/>
    <cellStyle name="20% - Accent6 6" xfId="9067"/>
    <cellStyle name="20% - Accent6 60" xfId="43129"/>
    <cellStyle name="20% - Accent6 61" xfId="43195"/>
    <cellStyle name="20% - Accent6 62" xfId="8617"/>
    <cellStyle name="20% - Accent6 63" xfId="7674"/>
    <cellStyle name="20% - Accent6 64" xfId="3634"/>
    <cellStyle name="20% - Accent6 7" xfId="9124"/>
    <cellStyle name="20% - Accent6 8" xfId="9246"/>
    <cellStyle name="20% - Accent6 9" xfId="9748"/>
    <cellStyle name="20% - Акцент1" xfId="7803"/>
    <cellStyle name="20% - Акцент2" xfId="7804"/>
    <cellStyle name="20% - Акцент3" xfId="7805"/>
    <cellStyle name="20% - Акцент4" xfId="7806"/>
    <cellStyle name="20% - Акцент5" xfId="7807"/>
    <cellStyle name="20% - Акцент6" xfId="7808"/>
    <cellStyle name="20% - 强调文字颜色 1 10" xfId="8385"/>
    <cellStyle name="20% - 强调文字颜色 1 11" xfId="8427"/>
    <cellStyle name="20% - 强调文字颜色 1 12" xfId="8469"/>
    <cellStyle name="20% - 强调文字颜色 1 13" xfId="8511"/>
    <cellStyle name="20% - 强调文字颜色 1 14" xfId="8553"/>
    <cellStyle name="20% - 强调文字颜色 1 15" xfId="43238"/>
    <cellStyle name="20% - 强调文字颜色 1 16" xfId="43280"/>
    <cellStyle name="20% - 强调文字颜色 1 2" xfId="8050"/>
    <cellStyle name="20% - 强调文字颜色 1 3" xfId="8092"/>
    <cellStyle name="20% - 强调文字颜色 1 4" xfId="8134"/>
    <cellStyle name="20% - 强调文字颜色 1 5" xfId="8176"/>
    <cellStyle name="20% - 强调文字颜色 1 6" xfId="8217"/>
    <cellStyle name="20% - 强调文字颜色 1 7" xfId="8259"/>
    <cellStyle name="20% - 强调文字颜色 1 8" xfId="8301"/>
    <cellStyle name="20% - 强调文字颜色 1 9" xfId="8343"/>
    <cellStyle name="20% - 强调文字颜色 2 10" xfId="8389"/>
    <cellStyle name="20% - 强调文字颜色 2 11" xfId="8431"/>
    <cellStyle name="20% - 强调文字颜色 2 12" xfId="8473"/>
    <cellStyle name="20% - 强调文字颜色 2 13" xfId="8515"/>
    <cellStyle name="20% - 强调文字颜色 2 14" xfId="8557"/>
    <cellStyle name="20% - 强调文字颜色 2 15" xfId="43242"/>
    <cellStyle name="20% - 强调文字颜色 2 16" xfId="43284"/>
    <cellStyle name="20% - 强调文字颜色 2 2" xfId="8054"/>
    <cellStyle name="20% - 强调文字颜色 2 3" xfId="8096"/>
    <cellStyle name="20% - 强调文字颜色 2 4" xfId="8138"/>
    <cellStyle name="20% - 强调文字颜色 2 5" xfId="8180"/>
    <cellStyle name="20% - 强调文字颜色 2 6" xfId="8221"/>
    <cellStyle name="20% - 强调文字颜色 2 7" xfId="8263"/>
    <cellStyle name="20% - 强调文字颜色 2 8" xfId="8305"/>
    <cellStyle name="20% - 强调文字颜色 2 9" xfId="8347"/>
    <cellStyle name="20% - 强调文字颜色 3 10" xfId="8393"/>
    <cellStyle name="20% - 强调文字颜色 3 11" xfId="8435"/>
    <cellStyle name="20% - 强调文字颜色 3 12" xfId="8477"/>
    <cellStyle name="20% - 强调文字颜色 3 13" xfId="8519"/>
    <cellStyle name="20% - 强调文字颜色 3 14" xfId="8561"/>
    <cellStyle name="20% - 强调文字颜色 3 15" xfId="43246"/>
    <cellStyle name="20% - 强调文字颜色 3 16" xfId="43288"/>
    <cellStyle name="20% - 强调文字颜色 3 2" xfId="8058"/>
    <cellStyle name="20% - 强调文字颜色 3 3" xfId="8100"/>
    <cellStyle name="20% - 强调文字颜色 3 4" xfId="8142"/>
    <cellStyle name="20% - 强调文字颜色 3 5" xfId="8184"/>
    <cellStyle name="20% - 强调文字颜色 3 6" xfId="8225"/>
    <cellStyle name="20% - 强调文字颜色 3 7" xfId="8267"/>
    <cellStyle name="20% - 强调文字颜色 3 8" xfId="8309"/>
    <cellStyle name="20% - 强调文字颜色 3 9" xfId="8351"/>
    <cellStyle name="20% - 强调文字颜色 4 10" xfId="8397"/>
    <cellStyle name="20% - 强调文字颜色 4 11" xfId="8439"/>
    <cellStyle name="20% - 强调文字颜色 4 12" xfId="8481"/>
    <cellStyle name="20% - 强调文字颜色 4 13" xfId="8523"/>
    <cellStyle name="20% - 强调文字颜色 4 14" xfId="8565"/>
    <cellStyle name="20% - 强调文字颜色 4 15" xfId="43250"/>
    <cellStyle name="20% - 强调文字颜色 4 16" xfId="43292"/>
    <cellStyle name="20% - 强调文字颜色 4 2" xfId="8062"/>
    <cellStyle name="20% - 强调文字颜色 4 3" xfId="8104"/>
    <cellStyle name="20% - 强调文字颜色 4 4" xfId="8146"/>
    <cellStyle name="20% - 强调文字颜色 4 5" xfId="8188"/>
    <cellStyle name="20% - 强调文字颜色 4 6" xfId="8229"/>
    <cellStyle name="20% - 强调文字颜色 4 7" xfId="8271"/>
    <cellStyle name="20% - 强调文字颜色 4 8" xfId="8313"/>
    <cellStyle name="20% - 强调文字颜色 4 9" xfId="8355"/>
    <cellStyle name="20% - 强调文字颜色 5 10" xfId="8401"/>
    <cellStyle name="20% - 强调文字颜色 5 11" xfId="8443"/>
    <cellStyle name="20% - 强调文字颜色 5 12" xfId="8485"/>
    <cellStyle name="20% - 强调文字颜色 5 13" xfId="8527"/>
    <cellStyle name="20% - 强调文字颜色 5 14" xfId="8569"/>
    <cellStyle name="20% - 强调文字颜色 5 15" xfId="43254"/>
    <cellStyle name="20% - 强调文字颜色 5 16" xfId="43296"/>
    <cellStyle name="20% - 强调文字颜色 5 2" xfId="8066"/>
    <cellStyle name="20% - 强调文字颜色 5 3" xfId="8108"/>
    <cellStyle name="20% - 强调文字颜色 5 4" xfId="8150"/>
    <cellStyle name="20% - 强调文字颜色 5 5" xfId="8192"/>
    <cellStyle name="20% - 强调文字颜色 5 6" xfId="8233"/>
    <cellStyle name="20% - 强调文字颜色 5 7" xfId="8275"/>
    <cellStyle name="20% - 强调文字颜色 5 8" xfId="8317"/>
    <cellStyle name="20% - 强调文字颜色 5 9" xfId="8359"/>
    <cellStyle name="20% - 强调文字颜色 6 10" xfId="8405"/>
    <cellStyle name="20% - 强调文字颜色 6 11" xfId="8447"/>
    <cellStyle name="20% - 强调文字颜色 6 12" xfId="8489"/>
    <cellStyle name="20% - 强调文字颜色 6 13" xfId="8531"/>
    <cellStyle name="20% - 强调文字颜色 6 14" xfId="8573"/>
    <cellStyle name="20% - 强调文字颜色 6 15" xfId="43258"/>
    <cellStyle name="20% - 强调文字颜色 6 16" xfId="43300"/>
    <cellStyle name="20% - 强调文字颜色 6 2" xfId="8070"/>
    <cellStyle name="20% - 强调文字颜色 6 3" xfId="8112"/>
    <cellStyle name="20% - 强调文字颜色 6 4" xfId="8154"/>
    <cellStyle name="20% - 强调文字颜色 6 5" xfId="8196"/>
    <cellStyle name="20% - 强调文字颜色 6 6" xfId="8237"/>
    <cellStyle name="20% - 强调文字颜色 6 7" xfId="8279"/>
    <cellStyle name="20% - 强调文字颜色 6 8" xfId="8321"/>
    <cellStyle name="20% - 强调文字颜色 6 9" xfId="8363"/>
    <cellStyle name="20% - 輔色1 10" xfId="11389"/>
    <cellStyle name="20% - 輔色1 10 10" xfId="34579"/>
    <cellStyle name="20% - 輔色1 10 11" xfId="36251"/>
    <cellStyle name="20% - 輔色1 10 2" xfId="23716"/>
    <cellStyle name="20% - 輔色1 10 3" xfId="27136"/>
    <cellStyle name="20% - 輔色1 10 4" xfId="22778"/>
    <cellStyle name="20% - 輔色1 10 5" xfId="28277"/>
    <cellStyle name="20% - 輔色1 10 6" xfId="23121"/>
    <cellStyle name="20% - 輔色1 10 7" xfId="29299"/>
    <cellStyle name="20% - 輔色1 10 8" xfId="31081"/>
    <cellStyle name="20% - 輔色1 10 9" xfId="32850"/>
    <cellStyle name="20% - 輔色1 11" xfId="11512"/>
    <cellStyle name="20% - 輔色1 11 10" xfId="32907"/>
    <cellStyle name="20% - 輔色1 11 11" xfId="34636"/>
    <cellStyle name="20% - 輔色1 11 2" xfId="23717"/>
    <cellStyle name="20% - 輔色1 11 3" xfId="27137"/>
    <cellStyle name="20% - 輔色1 11 4" xfId="23579"/>
    <cellStyle name="20% - 輔色1 11 5" xfId="28448"/>
    <cellStyle name="20% - 輔色1 11 6" xfId="27288"/>
    <cellStyle name="20% - 輔色1 11 7" xfId="23384"/>
    <cellStyle name="20% - 輔色1 11 8" xfId="29360"/>
    <cellStyle name="20% - 輔色1 11 9" xfId="31139"/>
    <cellStyle name="20% - 輔色1 12" xfId="12211"/>
    <cellStyle name="20% - 輔色1 12 10" xfId="38063"/>
    <cellStyle name="20% - 輔色1 12 11" xfId="39520"/>
    <cellStyle name="20% - 輔色1 12 2" xfId="23718"/>
    <cellStyle name="20% - 輔色1 12 3" xfId="27138"/>
    <cellStyle name="20% - 輔色1 12 4" xfId="23048"/>
    <cellStyle name="20% - 輔色1 12 5" xfId="29568"/>
    <cellStyle name="20% - 輔色1 12 6" xfId="31344"/>
    <cellStyle name="20% - 輔色1 12 7" xfId="33108"/>
    <cellStyle name="20% - 輔色1 12 8" xfId="34826"/>
    <cellStyle name="20% - 輔色1 12 9" xfId="36481"/>
    <cellStyle name="20% - 輔色1 13" xfId="12719"/>
    <cellStyle name="20% - 輔色1 13 10" xfId="37622"/>
    <cellStyle name="20% - 輔色1 13 11" xfId="39147"/>
    <cellStyle name="20% - 輔色1 13 2" xfId="23719"/>
    <cellStyle name="20% - 輔色1 13 3" xfId="27139"/>
    <cellStyle name="20% - 輔色1 13 4" xfId="23287"/>
    <cellStyle name="20% - 輔色1 13 5" xfId="29011"/>
    <cellStyle name="20% - 輔色1 13 6" xfId="30796"/>
    <cellStyle name="20% - 輔色1 13 7" xfId="32569"/>
    <cellStyle name="20% - 輔色1 13 8" xfId="34311"/>
    <cellStyle name="20% - 輔色1 13 9" xfId="36001"/>
    <cellStyle name="20% - 輔色1 14" xfId="14567"/>
    <cellStyle name="20% - 輔色1 14 10" xfId="37765"/>
    <cellStyle name="20% - 輔色1 14 11" xfId="39268"/>
    <cellStyle name="20% - 輔色1 14 2" xfId="23720"/>
    <cellStyle name="20% - 輔色1 14 3" xfId="27140"/>
    <cellStyle name="20% - 輔色1 14 4" xfId="23509"/>
    <cellStyle name="20% - 輔色1 14 5" xfId="29188"/>
    <cellStyle name="20% - 輔色1 14 6" xfId="30971"/>
    <cellStyle name="20% - 輔色1 14 7" xfId="32741"/>
    <cellStyle name="20% - 輔色1 14 8" xfId="34477"/>
    <cellStyle name="20% - 輔色1 14 9" xfId="36157"/>
    <cellStyle name="20% - 輔色1 15" xfId="12308"/>
    <cellStyle name="20% - 輔色1 15 10" xfId="37855"/>
    <cellStyle name="20% - 輔色1 15 11" xfId="39342"/>
    <cellStyle name="20% - 輔色1 15 2" xfId="23721"/>
    <cellStyle name="20% - 輔色1 15 3" xfId="27141"/>
    <cellStyle name="20% - 輔色1 15 4" xfId="23610"/>
    <cellStyle name="20% - 輔色1 15 5" xfId="29313"/>
    <cellStyle name="20% - 輔色1 15 6" xfId="31094"/>
    <cellStyle name="20% - 輔色1 15 7" xfId="32863"/>
    <cellStyle name="20% - 輔色1 15 8" xfId="34592"/>
    <cellStyle name="20% - 輔色1 15 9" xfId="36261"/>
    <cellStyle name="20% - 輔色1 16" xfId="16506"/>
    <cellStyle name="20% - 輔色1 16 10" xfId="39760"/>
    <cellStyle name="20% - 輔色1 16 11" xfId="41026"/>
    <cellStyle name="20% - 輔色1 16 2" xfId="23722"/>
    <cellStyle name="20% - 輔色1 16 3" xfId="27142"/>
    <cellStyle name="20% - 輔色1 16 4" xfId="29845"/>
    <cellStyle name="20% - 輔色1 16 5" xfId="31620"/>
    <cellStyle name="20% - 輔色1 16 6" xfId="33379"/>
    <cellStyle name="20% - 輔色1 16 7" xfId="35093"/>
    <cellStyle name="20% - 輔色1 16 8" xfId="36743"/>
    <cellStyle name="20% - 輔色1 16 9" xfId="38312"/>
    <cellStyle name="20% - 輔色1 17" xfId="17435"/>
    <cellStyle name="20% - 輔色1 17 10" xfId="39915"/>
    <cellStyle name="20% - 輔色1 17 11" xfId="41169"/>
    <cellStyle name="20% - 輔色1 17 2" xfId="23723"/>
    <cellStyle name="20% - 輔色1 17 3" xfId="27143"/>
    <cellStyle name="20% - 輔色1 17 4" xfId="30019"/>
    <cellStyle name="20% - 輔色1 17 5" xfId="31794"/>
    <cellStyle name="20% - 輔色1 17 6" xfId="33551"/>
    <cellStyle name="20% - 輔色1 17 7" xfId="35265"/>
    <cellStyle name="20% - 輔色1 17 8" xfId="36912"/>
    <cellStyle name="20% - 輔色1 17 9" xfId="38474"/>
    <cellStyle name="20% - 輔色1 18" xfId="18343"/>
    <cellStyle name="20% - 輔色1 18 10" xfId="39831"/>
    <cellStyle name="20% - 輔色1 18 11" xfId="41087"/>
    <cellStyle name="20% - 輔色1 18 2" xfId="23724"/>
    <cellStyle name="20% - 輔色1 18 3" xfId="27144"/>
    <cellStyle name="20% - 輔色1 18 4" xfId="29931"/>
    <cellStyle name="20% - 輔色1 18 5" xfId="31706"/>
    <cellStyle name="20% - 輔色1 18 6" xfId="33465"/>
    <cellStyle name="20% - 輔色1 18 7" xfId="35179"/>
    <cellStyle name="20% - 輔色1 18 8" xfId="36826"/>
    <cellStyle name="20% - 輔色1 18 9" xfId="38389"/>
    <cellStyle name="20% - 輔色1 19" xfId="19233"/>
    <cellStyle name="20% - 輔色1 19 10" xfId="30925"/>
    <cellStyle name="20% - 輔色1 19 11" xfId="32696"/>
    <cellStyle name="20% - 輔色1 19 2" xfId="23725"/>
    <cellStyle name="20% - 輔色1 19 3" xfId="27145"/>
    <cellStyle name="20% - 輔色1 19 4" xfId="28246"/>
    <cellStyle name="20% - 輔色1 19 5" xfId="27529"/>
    <cellStyle name="20% - 輔色1 19 6" xfId="23550"/>
    <cellStyle name="20% - 輔色1 19 7" xfId="28589"/>
    <cellStyle name="20% - 輔色1 19 8" xfId="23135"/>
    <cellStyle name="20% - 輔色1 19 9" xfId="29141"/>
    <cellStyle name="20% - 輔色1 2" xfId="8025"/>
    <cellStyle name="20% - 輔色1 2 10" xfId="36387"/>
    <cellStyle name="20% - 輔色1 2 11" xfId="37971"/>
    <cellStyle name="20% - 輔色1 2 12" xfId="9176"/>
    <cellStyle name="20% - 輔色1 2 2" xfId="9353"/>
    <cellStyle name="20% - 輔色1 2 2 2" xfId="23726"/>
    <cellStyle name="20% - 輔色1 2 3" xfId="27146"/>
    <cellStyle name="20% - 輔色1 2 4" xfId="27119"/>
    <cellStyle name="20% - 輔色1 2 5" xfId="26694"/>
    <cellStyle name="20% - 輔色1 2 6" xfId="29464"/>
    <cellStyle name="20% - 輔色1 2 7" xfId="31241"/>
    <cellStyle name="20% - 輔色1 2 8" xfId="33006"/>
    <cellStyle name="20% - 輔色1 2 9" xfId="34727"/>
    <cellStyle name="20% - 輔色1 20" xfId="20030"/>
    <cellStyle name="20% - 輔色1 20 10" xfId="37978"/>
    <cellStyle name="20% - 輔色1 20 11" xfId="39447"/>
    <cellStyle name="20% - 輔色1 20 2" xfId="23727"/>
    <cellStyle name="20% - 輔色1 20 3" xfId="27147"/>
    <cellStyle name="20% - 輔色1 20 4" xfId="23496"/>
    <cellStyle name="20% - 輔色1 20 5" xfId="29471"/>
    <cellStyle name="20% - 輔色1 20 6" xfId="31248"/>
    <cellStyle name="20% - 輔色1 20 7" xfId="33013"/>
    <cellStyle name="20% - 輔色1 20 8" xfId="34734"/>
    <cellStyle name="20% - 輔色1 20 9" xfId="36394"/>
    <cellStyle name="20% - 輔色1 21" xfId="20810"/>
    <cellStyle name="20% - 輔色1 21 10" xfId="37979"/>
    <cellStyle name="20% - 輔色1 21 11" xfId="39448"/>
    <cellStyle name="20% - 輔色1 21 2" xfId="23728"/>
    <cellStyle name="20% - 輔色1 21 3" xfId="27148"/>
    <cellStyle name="20% - 輔色1 21 4" xfId="23574"/>
    <cellStyle name="20% - 輔色1 21 5" xfId="29472"/>
    <cellStyle name="20% - 輔色1 21 6" xfId="31249"/>
    <cellStyle name="20% - 輔色1 21 7" xfId="33014"/>
    <cellStyle name="20% - 輔色1 21 8" xfId="34735"/>
    <cellStyle name="20% - 輔色1 21 9" xfId="36395"/>
    <cellStyle name="20% - 輔色1 22" xfId="21808"/>
    <cellStyle name="20% - 輔色1 22 10" xfId="37980"/>
    <cellStyle name="20% - 輔色1 22 11" xfId="39449"/>
    <cellStyle name="20% - 輔色1 22 2" xfId="23729"/>
    <cellStyle name="20% - 輔色1 22 3" xfId="27149"/>
    <cellStyle name="20% - 輔色1 22 4" xfId="23643"/>
    <cellStyle name="20% - 輔色1 22 5" xfId="29473"/>
    <cellStyle name="20% - 輔色1 22 6" xfId="31250"/>
    <cellStyle name="20% - 輔色1 22 7" xfId="33015"/>
    <cellStyle name="20% - 輔色1 22 8" xfId="34736"/>
    <cellStyle name="20% - 輔色1 22 9" xfId="36396"/>
    <cellStyle name="20% - 輔色1 23" xfId="22781"/>
    <cellStyle name="20% - 輔色1 23 10" xfId="37981"/>
    <cellStyle name="20% - 輔色1 23 11" xfId="39450"/>
    <cellStyle name="20% - 輔色1 23 2" xfId="23730"/>
    <cellStyle name="20% - 輔色1 23 3" xfId="27150"/>
    <cellStyle name="20% - 輔色1 23 4" xfId="23696"/>
    <cellStyle name="20% - 輔色1 23 5" xfId="29474"/>
    <cellStyle name="20% - 輔色1 23 6" xfId="31251"/>
    <cellStyle name="20% - 輔色1 23 7" xfId="33016"/>
    <cellStyle name="20% - 輔色1 23 8" xfId="34737"/>
    <cellStyle name="20% - 輔色1 23 9" xfId="36397"/>
    <cellStyle name="20% - 輔色1 24" xfId="23731"/>
    <cellStyle name="20% - 輔色1 25" xfId="23732"/>
    <cellStyle name="20% - 輔色1 26" xfId="23733"/>
    <cellStyle name="20% - 輔色1 27" xfId="23734"/>
    <cellStyle name="20% - 輔色1 28" xfId="23735"/>
    <cellStyle name="20% - 輔色1 29" xfId="23736"/>
    <cellStyle name="20% - 輔色1 3" xfId="9218"/>
    <cellStyle name="20% - 輔色1 3 10" xfId="32532"/>
    <cellStyle name="20% - 輔色1 3 11" xfId="34275"/>
    <cellStyle name="20% - 輔色1 3 2" xfId="9507"/>
    <cellStyle name="20% - 輔色1 3 2 2" xfId="23737"/>
    <cellStyle name="20% - 輔色1 3 3" xfId="27157"/>
    <cellStyle name="20% - 輔色1 3 4" xfId="23360"/>
    <cellStyle name="20% - 輔色1 3 5" xfId="28295"/>
    <cellStyle name="20% - 輔色1 3 6" xfId="27083"/>
    <cellStyle name="20% - 輔色1 3 7" xfId="23230"/>
    <cellStyle name="20% - 輔色1 3 8" xfId="28973"/>
    <cellStyle name="20% - 輔色1 3 9" xfId="30759"/>
    <cellStyle name="20% - 輔色1 30" xfId="23738"/>
    <cellStyle name="20% - 輔色1 31" xfId="23739"/>
    <cellStyle name="20% - 輔色1 32" xfId="23740"/>
    <cellStyle name="20% - 輔色1 33" xfId="23741"/>
    <cellStyle name="20% - 輔色1 34" xfId="23742"/>
    <cellStyle name="20% - 輔色1 35" xfId="23743"/>
    <cellStyle name="20% - 輔色1 36" xfId="23744"/>
    <cellStyle name="20% - 輔色1 37" xfId="23745"/>
    <cellStyle name="20% - 輔色1 38" xfId="23746"/>
    <cellStyle name="20% - 輔色1 39" xfId="23747"/>
    <cellStyle name="20% - 輔色1 4" xfId="10250"/>
    <cellStyle name="20% - 輔色1 4 10" xfId="35869"/>
    <cellStyle name="20% - 輔色1 4 11" xfId="37496"/>
    <cellStyle name="20% - 輔色1 4 2" xfId="23748"/>
    <cellStyle name="20% - 輔色1 4 3" xfId="27167"/>
    <cellStyle name="20% - 輔色1 4 4" xfId="27067"/>
    <cellStyle name="20% - 輔色1 4 5" xfId="23641"/>
    <cellStyle name="20% - 輔色1 4 6" xfId="28856"/>
    <cellStyle name="20% - 輔色1 4 7" xfId="30642"/>
    <cellStyle name="20% - 輔色1 4 8" xfId="32416"/>
    <cellStyle name="20% - 輔色1 4 9" xfId="34167"/>
    <cellStyle name="20% - 輔色1 40" xfId="23749"/>
    <cellStyle name="20% - 輔色1 41" xfId="23750"/>
    <cellStyle name="20% - 輔色1 42" xfId="23751"/>
    <cellStyle name="20% - 輔色1 43" xfId="23752"/>
    <cellStyle name="20% - 輔色1 44" xfId="23753"/>
    <cellStyle name="20% - 輔色1 45" xfId="23754"/>
    <cellStyle name="20% - 輔色1 46" xfId="23755"/>
    <cellStyle name="20% - 輔色1 47" xfId="23756"/>
    <cellStyle name="20% - 輔色1 48" xfId="23757"/>
    <cellStyle name="20% - 輔色1 49" xfId="23758"/>
    <cellStyle name="20% - 輔色1 5" xfId="10852"/>
    <cellStyle name="20% - 輔色1 5 10" xfId="35423"/>
    <cellStyle name="20% - 輔色1 5 11" xfId="37068"/>
    <cellStyle name="20% - 輔色1 5 2" xfId="23759"/>
    <cellStyle name="20% - 輔色1 5 3" xfId="27178"/>
    <cellStyle name="20% - 輔色1 5 4" xfId="27117"/>
    <cellStyle name="20% - 輔色1 5 5" xfId="27121"/>
    <cellStyle name="20% - 輔色1 5 6" xfId="23603"/>
    <cellStyle name="20% - 輔色1 5 7" xfId="30180"/>
    <cellStyle name="20% - 輔色1 5 8" xfId="31955"/>
    <cellStyle name="20% - 輔色1 5 9" xfId="33710"/>
    <cellStyle name="20% - 輔色1 50" xfId="23760"/>
    <cellStyle name="20% - 輔色1 51" xfId="23761"/>
    <cellStyle name="20% - 輔色1 52" xfId="23762"/>
    <cellStyle name="20% - 輔色1 53" xfId="23763"/>
    <cellStyle name="20% - 輔色1 54" xfId="23764"/>
    <cellStyle name="20% - 輔色1 55" xfId="23765"/>
    <cellStyle name="20% - 輔色1 56" xfId="23766"/>
    <cellStyle name="20% - 輔色1 57" xfId="23767"/>
    <cellStyle name="20% - 輔色1 58" xfId="23768"/>
    <cellStyle name="20% - 輔色1 59" xfId="23769"/>
    <cellStyle name="20% - 輔色1 6" xfId="10920"/>
    <cellStyle name="20% - 輔色1 6 10" xfId="37013"/>
    <cellStyle name="20% - 輔色1 6 11" xfId="38572"/>
    <cellStyle name="20% - 輔色1 6 2" xfId="23770"/>
    <cellStyle name="20% - 輔色1 6 3" xfId="27189"/>
    <cellStyle name="20% - 輔色1 6 4" xfId="28243"/>
    <cellStyle name="20% - 輔色1 6 5" xfId="27532"/>
    <cellStyle name="20% - 輔色1 6 6" xfId="30125"/>
    <cellStyle name="20% - 輔色1 6 7" xfId="31900"/>
    <cellStyle name="20% - 輔色1 6 8" xfId="33655"/>
    <cellStyle name="20% - 輔色1 6 9" xfId="35368"/>
    <cellStyle name="20% - 輔色1 60" xfId="23771"/>
    <cellStyle name="20% - 輔色1 61" xfId="23772"/>
    <cellStyle name="20% - 輔色1 62" xfId="22936"/>
    <cellStyle name="20% - 輔色1 63" xfId="29064"/>
    <cellStyle name="20% - 輔色1 64" xfId="30849"/>
    <cellStyle name="20% - 輔色1 65" xfId="32622"/>
    <cellStyle name="20% - 輔色1 66" xfId="34364"/>
    <cellStyle name="20% - 輔色1 67" xfId="36054"/>
    <cellStyle name="20% - 輔色1 68" xfId="37672"/>
    <cellStyle name="20% - 輔色1 69" xfId="39190"/>
    <cellStyle name="20% - 輔色1 7" xfId="11011"/>
    <cellStyle name="20% - 輔色1 7 10" xfId="34268"/>
    <cellStyle name="20% - 輔色1 7 11" xfId="35964"/>
    <cellStyle name="20% - 輔色1 7 2" xfId="23773"/>
    <cellStyle name="20% - 輔色1 7 3" xfId="27191"/>
    <cellStyle name="20% - 輔色1 7 4" xfId="23599"/>
    <cellStyle name="20% - 輔色1 7 5" xfId="28298"/>
    <cellStyle name="20% - 輔色1 7 6" xfId="23223"/>
    <cellStyle name="20% - 輔色1 7 7" xfId="28966"/>
    <cellStyle name="20% - 輔色1 7 8" xfId="30752"/>
    <cellStyle name="20% - 輔色1 7 9" xfId="32525"/>
    <cellStyle name="20% - 輔色1 70" xfId="40570"/>
    <cellStyle name="20% - 輔色1 71" xfId="8618"/>
    <cellStyle name="20% - 輔色1 72" xfId="8000"/>
    <cellStyle name="20% - 輔色1 73" xfId="43305"/>
    <cellStyle name="20% - 輔色1 74" xfId="7939"/>
    <cellStyle name="20% - 輔色1 8" xfId="10430"/>
    <cellStyle name="20% - 輔色1 8 10" xfId="33020"/>
    <cellStyle name="20% - 輔色1 8 11" xfId="34741"/>
    <cellStyle name="20% - 輔色1 8 2" xfId="23774"/>
    <cellStyle name="20% - 輔色1 8 3" xfId="27192"/>
    <cellStyle name="20% - 輔色1 8 4" xfId="23181"/>
    <cellStyle name="20% - 輔色1 8 5" xfId="28536"/>
    <cellStyle name="20% - 輔色1 8 6" xfId="27154"/>
    <cellStyle name="20% - 輔色1 8 7" xfId="26508"/>
    <cellStyle name="20% - 輔色1 8 8" xfId="29479"/>
    <cellStyle name="20% - 輔色1 8 9" xfId="31256"/>
    <cellStyle name="20% - 輔色1 9" xfId="10457"/>
    <cellStyle name="20% - 輔色1 9 10" xfId="38071"/>
    <cellStyle name="20% - 輔色1 9 11" xfId="39526"/>
    <cellStyle name="20% - 輔色1 9 2" xfId="23775"/>
    <cellStyle name="20% - 輔色1 9 3" xfId="27193"/>
    <cellStyle name="20% - 輔色1 9 4" xfId="23219"/>
    <cellStyle name="20% - 輔色1 9 5" xfId="29580"/>
    <cellStyle name="20% - 輔色1 9 6" xfId="31356"/>
    <cellStyle name="20% - 輔色1 9 7" xfId="33120"/>
    <cellStyle name="20% - 輔色1 9 8" xfId="34838"/>
    <cellStyle name="20% - 輔色1 9 9" xfId="36491"/>
    <cellStyle name="20% - 輔色2 10" xfId="11906"/>
    <cellStyle name="20% - 輔色2 10 10" xfId="37635"/>
    <cellStyle name="20% - 輔色2 10 11" xfId="39156"/>
    <cellStyle name="20% - 輔色2 10 2" xfId="23776"/>
    <cellStyle name="20% - 輔色2 10 3" xfId="27194"/>
    <cellStyle name="20% - 輔色2 10 4" xfId="23349"/>
    <cellStyle name="20% - 輔色2 10 5" xfId="29026"/>
    <cellStyle name="20% - 輔色2 10 6" xfId="30811"/>
    <cellStyle name="20% - 輔色2 10 7" xfId="32584"/>
    <cellStyle name="20% - 輔色2 10 8" xfId="34326"/>
    <cellStyle name="20% - 輔色2 10 9" xfId="36016"/>
    <cellStyle name="20% - 輔色2 11" xfId="10998"/>
    <cellStyle name="20% - 輔色2 11 10" xfId="37773"/>
    <cellStyle name="20% - 輔色2 11 11" xfId="39272"/>
    <cellStyle name="20% - 輔色2 11 2" xfId="23777"/>
    <cellStyle name="20% - 輔色2 11 3" xfId="27195"/>
    <cellStyle name="20% - 輔色2 11 4" xfId="23430"/>
    <cellStyle name="20% - 輔色2 11 5" xfId="29200"/>
    <cellStyle name="20% - 輔色2 11 6" xfId="30983"/>
    <cellStyle name="20% - 輔色2 11 7" xfId="32753"/>
    <cellStyle name="20% - 輔色2 11 8" xfId="34489"/>
    <cellStyle name="20% - 輔色2 11 9" xfId="36168"/>
    <cellStyle name="20% - 輔色2 12" xfId="12381"/>
    <cellStyle name="20% - 輔色2 12 10" xfId="37879"/>
    <cellStyle name="20% - 輔色2 12 11" xfId="39364"/>
    <cellStyle name="20% - 輔色2 12 2" xfId="23778"/>
    <cellStyle name="20% - 輔色2 12 3" xfId="27196"/>
    <cellStyle name="20% - 輔色2 12 4" xfId="23216"/>
    <cellStyle name="20% - 輔色2 12 5" xfId="29343"/>
    <cellStyle name="20% - 輔色2 12 6" xfId="31124"/>
    <cellStyle name="20% - 輔色2 12 7" xfId="32892"/>
    <cellStyle name="20% - 輔色2 12 8" xfId="34621"/>
    <cellStyle name="20% - 輔色2 12 9" xfId="36290"/>
    <cellStyle name="20% - 輔色2 13" xfId="12109"/>
    <cellStyle name="20% - 輔色2 13 10" xfId="39755"/>
    <cellStyle name="20% - 輔色2 13 11" xfId="41022"/>
    <cellStyle name="20% - 輔色2 13 2" xfId="23779"/>
    <cellStyle name="20% - 輔色2 13 3" xfId="27197"/>
    <cellStyle name="20% - 輔色2 13 4" xfId="29838"/>
    <cellStyle name="20% - 輔色2 13 5" xfId="31613"/>
    <cellStyle name="20% - 輔色2 13 6" xfId="33372"/>
    <cellStyle name="20% - 輔色2 13 7" xfId="35087"/>
    <cellStyle name="20% - 輔色2 13 8" xfId="36737"/>
    <cellStyle name="20% - 輔色2 13 9" xfId="38306"/>
    <cellStyle name="20% - 輔色2 14" xfId="14488"/>
    <cellStyle name="20% - 輔色2 14 10" xfId="39917"/>
    <cellStyle name="20% - 輔色2 14 11" xfId="41170"/>
    <cellStyle name="20% - 輔色2 14 2" xfId="23780"/>
    <cellStyle name="20% - 輔色2 14 3" xfId="27198"/>
    <cellStyle name="20% - 輔色2 14 4" xfId="30023"/>
    <cellStyle name="20% - 輔色2 14 5" xfId="31798"/>
    <cellStyle name="20% - 輔色2 14 6" xfId="33554"/>
    <cellStyle name="20% - 輔色2 14 7" xfId="35268"/>
    <cellStyle name="20% - 輔色2 14 8" xfId="36915"/>
    <cellStyle name="20% - 輔色2 14 9" xfId="38476"/>
    <cellStyle name="20% - 輔色2 15" xfId="15336"/>
    <cellStyle name="20% - 輔色2 15 10" xfId="39825"/>
    <cellStyle name="20% - 輔色2 15 11" xfId="41083"/>
    <cellStyle name="20% - 輔色2 15 2" xfId="23781"/>
    <cellStyle name="20% - 輔色2 15 3" xfId="27199"/>
    <cellStyle name="20% - 輔色2 15 4" xfId="29924"/>
    <cellStyle name="20% - 輔色2 15 5" xfId="31699"/>
    <cellStyle name="20% - 輔色2 15 6" xfId="33458"/>
    <cellStyle name="20% - 輔色2 15 7" xfId="35172"/>
    <cellStyle name="20% - 輔色2 15 8" xfId="36819"/>
    <cellStyle name="20% - 輔色2 15 9" xfId="38383"/>
    <cellStyle name="20% - 輔色2 16" xfId="16426"/>
    <cellStyle name="20% - 輔色2 16 10" xfId="36790"/>
    <cellStyle name="20% - 輔色2 16 11" xfId="38355"/>
    <cellStyle name="20% - 輔色2 16 2" xfId="23782"/>
    <cellStyle name="20% - 輔色2 16 3" xfId="27200"/>
    <cellStyle name="20% - 輔色2 16 4" xfId="28242"/>
    <cellStyle name="20% - 輔色2 16 5" xfId="27533"/>
    <cellStyle name="20% - 輔色2 16 6" xfId="29892"/>
    <cellStyle name="20% - 輔色2 16 7" xfId="31667"/>
    <cellStyle name="20% - 輔色2 16 8" xfId="33426"/>
    <cellStyle name="20% - 輔色2 16 9" xfId="35140"/>
    <cellStyle name="20% - 輔色2 17" xfId="17356"/>
    <cellStyle name="20% - 輔色2 17 10" xfId="38392"/>
    <cellStyle name="20% - 輔色2 17 11" xfId="39834"/>
    <cellStyle name="20% - 輔色2 17 2" xfId="23783"/>
    <cellStyle name="20% - 輔色2 17 3" xfId="27201"/>
    <cellStyle name="20% - 輔色2 17 4" xfId="27115"/>
    <cellStyle name="20% - 輔色2 17 5" xfId="29934"/>
    <cellStyle name="20% - 輔色2 17 6" xfId="31709"/>
    <cellStyle name="20% - 輔色2 17 7" xfId="33468"/>
    <cellStyle name="20% - 輔色2 17 8" xfId="35182"/>
    <cellStyle name="20% - 輔色2 17 9" xfId="36829"/>
    <cellStyle name="20% - 輔色2 18" xfId="18264"/>
    <cellStyle name="20% - 輔色2 18 10" xfId="35866"/>
    <cellStyle name="20% - 輔色2 18 11" xfId="37494"/>
    <cellStyle name="20% - 輔色2 18 2" xfId="23784"/>
    <cellStyle name="20% - 輔色2 18 3" xfId="27202"/>
    <cellStyle name="20% - 輔色2 18 4" xfId="22759"/>
    <cellStyle name="20% - 輔色2 18 5" xfId="23415"/>
    <cellStyle name="20% - 輔色2 18 6" xfId="28853"/>
    <cellStyle name="20% - 輔色2 18 7" xfId="30639"/>
    <cellStyle name="20% - 輔色2 18 8" xfId="32413"/>
    <cellStyle name="20% - 輔色2 18 9" xfId="34164"/>
    <cellStyle name="20% - 輔色2 19" xfId="19154"/>
    <cellStyle name="20% - 輔色2 19 10" xfId="34463"/>
    <cellStyle name="20% - 輔色2 19 11" xfId="36145"/>
    <cellStyle name="20% - 輔色2 19 2" xfId="23785"/>
    <cellStyle name="20% - 輔色2 19 3" xfId="27203"/>
    <cellStyle name="20% - 輔色2 19 4" xfId="23663"/>
    <cellStyle name="20% - 輔色2 19 5" xfId="28300"/>
    <cellStyle name="20% - 輔色2 19 6" xfId="23324"/>
    <cellStyle name="20% - 輔色2 19 7" xfId="29172"/>
    <cellStyle name="20% - 輔色2 19 8" xfId="30956"/>
    <cellStyle name="20% - 輔色2 19 9" xfId="32727"/>
    <cellStyle name="20% - 輔色2 2" xfId="8030"/>
    <cellStyle name="20% - 輔色2 2 10" xfId="33018"/>
    <cellStyle name="20% - 輔色2 2 11" xfId="34739"/>
    <cellStyle name="20% - 輔色2 2 12" xfId="9180"/>
    <cellStyle name="20% - 輔色2 2 2" xfId="9354"/>
    <cellStyle name="20% - 輔色2 2 2 2" xfId="23786"/>
    <cellStyle name="20% - 輔色2 2 3" xfId="27204"/>
    <cellStyle name="20% - 輔色2 2 4" xfId="23259"/>
    <cellStyle name="20% - 輔色2 2 5" xfId="28537"/>
    <cellStyle name="20% - 輔色2 2 6" xfId="27153"/>
    <cellStyle name="20% - 輔色2 2 7" xfId="26693"/>
    <cellStyle name="20% - 輔色2 2 8" xfId="29477"/>
    <cellStyle name="20% - 輔色2 2 9" xfId="31254"/>
    <cellStyle name="20% - 輔色2 20" xfId="19951"/>
    <cellStyle name="20% - 輔色2 20 10" xfId="38072"/>
    <cellStyle name="20% - 輔色2 20 11" xfId="39527"/>
    <cellStyle name="20% - 輔色2 20 2" xfId="23787"/>
    <cellStyle name="20% - 輔色2 20 3" xfId="27205"/>
    <cellStyle name="20% - 輔色2 20 4" xfId="23303"/>
    <cellStyle name="20% - 輔色2 20 5" xfId="29581"/>
    <cellStyle name="20% - 輔色2 20 6" xfId="31357"/>
    <cellStyle name="20% - 輔色2 20 7" xfId="33121"/>
    <cellStyle name="20% - 輔色2 20 8" xfId="34839"/>
    <cellStyle name="20% - 輔色2 20 9" xfId="36492"/>
    <cellStyle name="20% - 輔色2 21" xfId="18622"/>
    <cellStyle name="20% - 輔色2 21 10" xfId="37636"/>
    <cellStyle name="20% - 輔色2 21 11" xfId="39157"/>
    <cellStyle name="20% - 輔色2 21 2" xfId="23788"/>
    <cellStyle name="20% - 輔色2 21 3" xfId="27206"/>
    <cellStyle name="20% - 輔色2 21 4" xfId="23421"/>
    <cellStyle name="20% - 輔色2 21 5" xfId="29027"/>
    <cellStyle name="20% - 輔色2 21 6" xfId="30812"/>
    <cellStyle name="20% - 輔色2 21 7" xfId="32585"/>
    <cellStyle name="20% - 輔色2 21 8" xfId="34327"/>
    <cellStyle name="20% - 輔色2 21 9" xfId="36017"/>
    <cellStyle name="20% - 輔色2 22" xfId="21729"/>
    <cellStyle name="20% - 輔色2 22 10" xfId="37774"/>
    <cellStyle name="20% - 輔色2 22 11" xfId="39273"/>
    <cellStyle name="20% - 輔色2 22 2" xfId="23789"/>
    <cellStyle name="20% - 輔色2 22 3" xfId="27207"/>
    <cellStyle name="20% - 輔色2 22 4" xfId="23511"/>
    <cellStyle name="20% - 輔色2 22 5" xfId="29201"/>
    <cellStyle name="20% - 輔色2 22 6" xfId="30984"/>
    <cellStyle name="20% - 輔色2 22 7" xfId="32754"/>
    <cellStyle name="20% - 輔色2 22 8" xfId="34490"/>
    <cellStyle name="20% - 輔色2 22 9" xfId="36169"/>
    <cellStyle name="20% - 輔色2 23" xfId="22782"/>
    <cellStyle name="20% - 輔色2 23 10" xfId="37881"/>
    <cellStyle name="20% - 輔色2 23 11" xfId="39366"/>
    <cellStyle name="20% - 輔色2 23 2" xfId="23790"/>
    <cellStyle name="20% - 輔色2 23 3" xfId="27208"/>
    <cellStyle name="20% - 輔色2 23 4" xfId="23218"/>
    <cellStyle name="20% - 輔色2 23 5" xfId="29345"/>
    <cellStyle name="20% - 輔色2 23 6" xfId="31126"/>
    <cellStyle name="20% - 輔色2 23 7" xfId="32894"/>
    <cellStyle name="20% - 輔色2 23 8" xfId="34623"/>
    <cellStyle name="20% - 輔色2 23 9" xfId="36292"/>
    <cellStyle name="20% - 輔色2 24" xfId="23791"/>
    <cellStyle name="20% - 輔色2 25" xfId="23792"/>
    <cellStyle name="20% - 輔色2 26" xfId="23793"/>
    <cellStyle name="20% - 輔色2 27" xfId="23794"/>
    <cellStyle name="20% - 輔色2 28" xfId="23795"/>
    <cellStyle name="20% - 輔色2 29" xfId="23796"/>
    <cellStyle name="20% - 輔色2 3" xfId="9222"/>
    <cellStyle name="20% - 輔色2 3 10" xfId="34576"/>
    <cellStyle name="20% - 輔色2 3 11" xfId="36248"/>
    <cellStyle name="20% - 輔色2 3 2" xfId="9506"/>
    <cellStyle name="20% - 輔色2 3 2 2" xfId="23797"/>
    <cellStyle name="20% - 輔色2 3 3" xfId="27215"/>
    <cellStyle name="20% - 輔色2 3 4" xfId="23113"/>
    <cellStyle name="20% - 輔色2 3 5" xfId="28301"/>
    <cellStyle name="20% - 輔色2 3 6" xfId="22857"/>
    <cellStyle name="20% - 輔色2 3 7" xfId="29295"/>
    <cellStyle name="20% - 輔色2 3 8" xfId="31077"/>
    <cellStyle name="20% - 輔色2 3 9" xfId="32846"/>
    <cellStyle name="20% - 輔色2 30" xfId="23798"/>
    <cellStyle name="20% - 輔色2 31" xfId="23799"/>
    <cellStyle name="20% - 輔色2 32" xfId="23800"/>
    <cellStyle name="20% - 輔色2 33" xfId="23801"/>
    <cellStyle name="20% - 輔色2 34" xfId="23802"/>
    <cellStyle name="20% - 輔色2 35" xfId="23803"/>
    <cellStyle name="20% - 輔色2 36" xfId="23804"/>
    <cellStyle name="20% - 輔色2 37" xfId="23805"/>
    <cellStyle name="20% - 輔色2 38" xfId="23806"/>
    <cellStyle name="20% - 輔色2 39" xfId="23807"/>
    <cellStyle name="20% - 輔色2 4" xfId="10249"/>
    <cellStyle name="20% - 輔色2 4 10" xfId="33017"/>
    <cellStyle name="20% - 輔色2 4 11" xfId="34738"/>
    <cellStyle name="20% - 輔色2 4 2" xfId="23808"/>
    <cellStyle name="20% - 輔色2 4 3" xfId="27226"/>
    <cellStyle name="20% - 輔色2 4 4" xfId="23423"/>
    <cellStyle name="20% - 輔色2 4 5" xfId="28539"/>
    <cellStyle name="20% - 輔色2 4 6" xfId="27151"/>
    <cellStyle name="20% - 輔色2 4 7" xfId="24856"/>
    <cellStyle name="20% - 輔色2 4 8" xfId="29475"/>
    <cellStyle name="20% - 輔色2 4 9" xfId="31252"/>
    <cellStyle name="20% - 輔色2 40" xfId="23809"/>
    <cellStyle name="20% - 輔色2 41" xfId="23810"/>
    <cellStyle name="20% - 輔色2 42" xfId="23811"/>
    <cellStyle name="20% - 輔色2 43" xfId="23812"/>
    <cellStyle name="20% - 輔色2 44" xfId="23813"/>
    <cellStyle name="20% - 輔色2 45" xfId="23814"/>
    <cellStyle name="20% - 輔色2 46" xfId="23815"/>
    <cellStyle name="20% - 輔色2 47" xfId="23816"/>
    <cellStyle name="20% - 輔色2 48" xfId="23817"/>
    <cellStyle name="20% - 輔色2 49" xfId="23818"/>
    <cellStyle name="20% - 輔色2 5" xfId="10928"/>
    <cellStyle name="20% - 輔色2 5 10" xfId="32558"/>
    <cellStyle name="20% - 輔色2 5 11" xfId="34300"/>
    <cellStyle name="20% - 輔色2 5 2" xfId="23819"/>
    <cellStyle name="20% - 輔色2 5 3" xfId="27237"/>
    <cellStyle name="20% - 輔色2 5 4" xfId="23281"/>
    <cellStyle name="20% - 輔色2 5 5" xfId="28303"/>
    <cellStyle name="20% - 輔色2 5 6" xfId="27084"/>
    <cellStyle name="20% - 輔色2 5 7" xfId="23448"/>
    <cellStyle name="20% - 輔色2 5 8" xfId="29000"/>
    <cellStyle name="20% - 輔色2 5 9" xfId="30785"/>
    <cellStyle name="20% - 輔色2 50" xfId="23820"/>
    <cellStyle name="20% - 輔色2 51" xfId="23821"/>
    <cellStyle name="20% - 輔色2 52" xfId="23822"/>
    <cellStyle name="20% - 輔色2 53" xfId="23823"/>
    <cellStyle name="20% - 輔色2 54" xfId="23824"/>
    <cellStyle name="20% - 輔色2 55" xfId="23825"/>
    <cellStyle name="20% - 輔色2 56" xfId="23826"/>
    <cellStyle name="20% - 輔色2 57" xfId="23827"/>
    <cellStyle name="20% - 輔色2 58" xfId="23828"/>
    <cellStyle name="20% - 輔色2 59" xfId="23829"/>
    <cellStyle name="20% - 輔色2 6" xfId="11216"/>
    <cellStyle name="20% - 輔色2 6 10" xfId="35865"/>
    <cellStyle name="20% - 輔色2 6 11" xfId="37493"/>
    <cellStyle name="20% - 輔色2 6 2" xfId="23830"/>
    <cellStyle name="20% - 輔色2 6 3" xfId="27248"/>
    <cellStyle name="20% - 輔色2 6 4" xfId="22763"/>
    <cellStyle name="20% - 輔色2 6 5" xfId="23087"/>
    <cellStyle name="20% - 輔色2 6 6" xfId="28849"/>
    <cellStyle name="20% - 輔色2 6 7" xfId="30635"/>
    <cellStyle name="20% - 輔色2 6 8" xfId="32409"/>
    <cellStyle name="20% - 輔色2 6 9" xfId="34160"/>
    <cellStyle name="20% - 輔色2 60" xfId="23831"/>
    <cellStyle name="20% - 輔色2 61" xfId="23832"/>
    <cellStyle name="20% - 輔色2 62" xfId="22935"/>
    <cellStyle name="20% - 輔色2 63" xfId="29063"/>
    <cellStyle name="20% - 輔色2 64" xfId="30848"/>
    <cellStyle name="20% - 輔色2 65" xfId="32621"/>
    <cellStyle name="20% - 輔色2 66" xfId="34363"/>
    <cellStyle name="20% - 輔色2 67" xfId="36053"/>
    <cellStyle name="20% - 輔色2 68" xfId="37671"/>
    <cellStyle name="20% - 輔色2 69" xfId="39189"/>
    <cellStyle name="20% - 輔色2 7" xfId="11408"/>
    <cellStyle name="20% - 輔色2 7 10" xfId="38073"/>
    <cellStyle name="20% - 輔色2 7 11" xfId="39528"/>
    <cellStyle name="20% - 輔色2 7 2" xfId="23833"/>
    <cellStyle name="20% - 輔色2 7 3" xfId="27251"/>
    <cellStyle name="20% - 輔色2 7 4" xfId="23543"/>
    <cellStyle name="20% - 輔色2 7 5" xfId="29585"/>
    <cellStyle name="20% - 輔色2 7 6" xfId="31361"/>
    <cellStyle name="20% - 輔色2 7 7" xfId="33124"/>
    <cellStyle name="20% - 輔色2 7 8" xfId="34842"/>
    <cellStyle name="20% - 輔色2 7 9" xfId="36495"/>
    <cellStyle name="20% - 輔色2 70" xfId="40569"/>
    <cellStyle name="20% - 輔色2 71" xfId="8619"/>
    <cellStyle name="20% - 輔色2 72" xfId="8004"/>
    <cellStyle name="20% - 輔色2 73" xfId="43307"/>
    <cellStyle name="20% - 輔色2 74" xfId="7940"/>
    <cellStyle name="20% - 輔色2 8" xfId="11597"/>
    <cellStyle name="20% - 輔色2 8 10" xfId="37638"/>
    <cellStyle name="20% - 輔色2 8 11" xfId="39158"/>
    <cellStyle name="20% - 輔色2 8 2" xfId="23834"/>
    <cellStyle name="20% - 輔色2 8 3" xfId="27252"/>
    <cellStyle name="20% - 輔色2 8 4" xfId="26808"/>
    <cellStyle name="20% - 輔色2 8 5" xfId="29030"/>
    <cellStyle name="20% - 輔色2 8 6" xfId="30815"/>
    <cellStyle name="20% - 輔色2 8 7" xfId="32588"/>
    <cellStyle name="20% - 輔色2 8 8" xfId="34330"/>
    <cellStyle name="20% - 輔色2 8 9" xfId="36020"/>
    <cellStyle name="20% - 輔色2 9" xfId="11778"/>
    <cellStyle name="20% - 輔色2 9 10" xfId="37794"/>
    <cellStyle name="20% - 輔色2 9 11" xfId="39293"/>
    <cellStyle name="20% - 輔色2 9 2" xfId="23835"/>
    <cellStyle name="20% - 輔色2 9 3" xfId="27253"/>
    <cellStyle name="20% - 輔色2 9 4" xfId="26798"/>
    <cellStyle name="20% - 輔色2 9 5" xfId="29224"/>
    <cellStyle name="20% - 輔色2 9 6" xfId="31007"/>
    <cellStyle name="20% - 輔色2 9 7" xfId="32777"/>
    <cellStyle name="20% - 輔色2 9 8" xfId="34512"/>
    <cellStyle name="20% - 輔色2 9 9" xfId="36191"/>
    <cellStyle name="20% - 輔色3 10" xfId="11734"/>
    <cellStyle name="20% - 輔色3 10 10" xfId="37884"/>
    <cellStyle name="20% - 輔色3 10 11" xfId="39367"/>
    <cellStyle name="20% - 輔色3 10 2" xfId="23836"/>
    <cellStyle name="20% - 輔色3 10 3" xfId="27254"/>
    <cellStyle name="20% - 輔色3 10 4" xfId="22862"/>
    <cellStyle name="20% - 輔色3 10 5" xfId="29349"/>
    <cellStyle name="20% - 輔色3 10 6" xfId="31130"/>
    <cellStyle name="20% - 輔色3 10 7" xfId="32898"/>
    <cellStyle name="20% - 輔色3 10 8" xfId="34627"/>
    <cellStyle name="20% - 輔色3 10 9" xfId="36296"/>
    <cellStyle name="20% - 輔色3 11" xfId="11711"/>
    <cellStyle name="20% - 輔色3 11 10" xfId="39753"/>
    <cellStyle name="20% - 輔色3 11 11" xfId="41020"/>
    <cellStyle name="20% - 輔色3 11 2" xfId="23837"/>
    <cellStyle name="20% - 輔色3 11 3" xfId="27255"/>
    <cellStyle name="20% - 輔色3 11 4" xfId="29833"/>
    <cellStyle name="20% - 輔色3 11 5" xfId="31608"/>
    <cellStyle name="20% - 輔色3 11 6" xfId="33367"/>
    <cellStyle name="20% - 輔色3 11 7" xfId="35083"/>
    <cellStyle name="20% - 輔色3 11 8" xfId="36734"/>
    <cellStyle name="20% - 輔色3 11 9" xfId="38303"/>
    <cellStyle name="20% - 輔色3 12" xfId="12448"/>
    <cellStyle name="20% - 輔色3 12 10" xfId="39918"/>
    <cellStyle name="20% - 輔色3 12 11" xfId="41171"/>
    <cellStyle name="20% - 輔色3 12 2" xfId="23838"/>
    <cellStyle name="20% - 輔色3 12 3" xfId="27256"/>
    <cellStyle name="20% - 輔色3 12 4" xfId="30027"/>
    <cellStyle name="20% - 輔色3 12 5" xfId="31802"/>
    <cellStyle name="20% - 輔色3 12 6" xfId="33558"/>
    <cellStyle name="20% - 輔色3 12 7" xfId="35271"/>
    <cellStyle name="20% - 輔色3 12 8" xfId="36917"/>
    <cellStyle name="20% - 輔色3 12 9" xfId="38478"/>
    <cellStyle name="20% - 輔色3 13" xfId="12417"/>
    <cellStyle name="20% - 輔色3 13 10" xfId="39823"/>
    <cellStyle name="20% - 輔色3 13 11" xfId="41081"/>
    <cellStyle name="20% - 輔色3 13 2" xfId="23839"/>
    <cellStyle name="20% - 輔色3 13 3" xfId="27257"/>
    <cellStyle name="20% - 輔色3 13 4" xfId="29920"/>
    <cellStyle name="20% - 輔色3 13 5" xfId="31695"/>
    <cellStyle name="20% - 輔色3 13 6" xfId="33454"/>
    <cellStyle name="20% - 輔色3 13 7" xfId="35168"/>
    <cellStyle name="20% - 輔色3 13 8" xfId="36816"/>
    <cellStyle name="20% - 輔色3 13 9" xfId="38380"/>
    <cellStyle name="20% - 輔色3 14" xfId="11117"/>
    <cellStyle name="20% - 輔色3 14 10" xfId="34309"/>
    <cellStyle name="20% - 輔色3 14 11" xfId="35999"/>
    <cellStyle name="20% - 輔色3 14 2" xfId="23840"/>
    <cellStyle name="20% - 輔色3 14 3" xfId="27258"/>
    <cellStyle name="20% - 輔色3 14 4" xfId="28238"/>
    <cellStyle name="20% - 輔色3 14 5" xfId="27538"/>
    <cellStyle name="20% - 輔色3 14 6" xfId="23118"/>
    <cellStyle name="20% - 輔色3 14 7" xfId="29009"/>
    <cellStyle name="20% - 輔色3 14 8" xfId="30794"/>
    <cellStyle name="20% - 輔色3 14 9" xfId="32567"/>
    <cellStyle name="20% - 輔色3 15" xfId="15257"/>
    <cellStyle name="20% - 輔色3 15 10" xfId="35995"/>
    <cellStyle name="20% - 輔色3 15 11" xfId="37618"/>
    <cellStyle name="20% - 輔色3 15 2" xfId="23841"/>
    <cellStyle name="20% - 輔色3 15 3" xfId="27259"/>
    <cellStyle name="20% - 輔色3 15 4" xfId="27110"/>
    <cellStyle name="20% - 輔色3 15 5" xfId="26550"/>
    <cellStyle name="20% - 輔色3 15 6" xfId="29004"/>
    <cellStyle name="20% - 輔色3 15 7" xfId="30789"/>
    <cellStyle name="20% - 輔色3 15 8" xfId="32562"/>
    <cellStyle name="20% - 輔色3 15 9" xfId="34304"/>
    <cellStyle name="20% - 輔色3 16" xfId="16346"/>
    <cellStyle name="20% - 輔色3 16 10" xfId="35864"/>
    <cellStyle name="20% - 輔色3 16 11" xfId="37492"/>
    <cellStyle name="20% - 輔色3 16 2" xfId="23842"/>
    <cellStyle name="20% - 輔色3 16 3" xfId="27260"/>
    <cellStyle name="20% - 輔色3 16 4" xfId="22764"/>
    <cellStyle name="20% - 輔色3 16 5" xfId="23693"/>
    <cellStyle name="20% - 輔色3 16 6" xfId="28848"/>
    <cellStyle name="20% - 輔色3 16 7" xfId="30634"/>
    <cellStyle name="20% - 輔色3 16 8" xfId="32408"/>
    <cellStyle name="20% - 輔色3 16 9" xfId="34159"/>
    <cellStyle name="20% - 輔色3 17" xfId="17276"/>
    <cellStyle name="20% - 輔色3 17 10" xfId="27122"/>
    <cellStyle name="20% - 輔色3 17 11" xfId="23261"/>
    <cellStyle name="20% - 輔色3 17 2" xfId="23843"/>
    <cellStyle name="20% - 輔色3 17 3" xfId="27261"/>
    <cellStyle name="20% - 輔色3 17 4" xfId="23444"/>
    <cellStyle name="20% - 輔色3 17 5" xfId="28305"/>
    <cellStyle name="20% - 輔色3 17 6" xfId="23428"/>
    <cellStyle name="20% - 輔色3 17 7" xfId="28430"/>
    <cellStyle name="20% - 輔色3 17 8" xfId="27308"/>
    <cellStyle name="20% - 輔色3 17 9" xfId="27105"/>
    <cellStyle name="20% - 輔色3 18" xfId="18184"/>
    <cellStyle name="20% - 輔色3 18 10" xfId="34367"/>
    <cellStyle name="20% - 輔色3 18 11" xfId="36056"/>
    <cellStyle name="20% - 輔色3 18 2" xfId="23844"/>
    <cellStyle name="20% - 輔色3 18 3" xfId="27262"/>
    <cellStyle name="20% - 輔色3 18 4" xfId="23646"/>
    <cellStyle name="20% - 輔色3 18 5" xfId="28543"/>
    <cellStyle name="20% - 輔色3 18 6" xfId="23706"/>
    <cellStyle name="20% - 輔色3 18 7" xfId="29068"/>
    <cellStyle name="20% - 輔色3 18 8" xfId="30853"/>
    <cellStyle name="20% - 輔色3 18 9" xfId="32626"/>
    <cellStyle name="20% - 輔色3 19" xfId="19074"/>
    <cellStyle name="20% - 輔色3 19 10" xfId="38074"/>
    <cellStyle name="20% - 輔色3 19 11" xfId="39529"/>
    <cellStyle name="20% - 輔色3 19 2" xfId="23845"/>
    <cellStyle name="20% - 輔色3 19 3" xfId="27263"/>
    <cellStyle name="20% - 輔色3 19 4" xfId="24816"/>
    <cellStyle name="20% - 輔色3 19 5" xfId="29586"/>
    <cellStyle name="20% - 輔色3 19 6" xfId="31362"/>
    <cellStyle name="20% - 輔色3 19 7" xfId="33125"/>
    <cellStyle name="20% - 輔色3 19 8" xfId="34843"/>
    <cellStyle name="20% - 輔色3 19 9" xfId="36496"/>
    <cellStyle name="20% - 輔色3 2" xfId="8029"/>
    <cellStyle name="20% - 輔色3 2 10" xfId="37639"/>
    <cellStyle name="20% - 輔色3 2 11" xfId="39159"/>
    <cellStyle name="20% - 輔色3 2 12" xfId="9184"/>
    <cellStyle name="20% - 輔色3 2 2" xfId="9355"/>
    <cellStyle name="20% - 輔色3 2 2 2" xfId="23846"/>
    <cellStyle name="20% - 輔色3 2 3" xfId="27264"/>
    <cellStyle name="20% - 輔色3 2 4" xfId="26385"/>
    <cellStyle name="20% - 輔色3 2 5" xfId="29031"/>
    <cellStyle name="20% - 輔色3 2 6" xfId="30816"/>
    <cellStyle name="20% - 輔色3 2 7" xfId="32589"/>
    <cellStyle name="20% - 輔色3 2 8" xfId="34331"/>
    <cellStyle name="20% - 輔色3 2 9" xfId="36021"/>
    <cellStyle name="20% - 輔色3 20" xfId="17726"/>
    <cellStyle name="20% - 輔色3 20 10" xfId="1"/>
    <cellStyle name="20% - 輔色3 20 10 2" xfId="3949"/>
    <cellStyle name="20% - 輔色3 20 10 2 2" xfId="37795"/>
    <cellStyle name="20% - 輔色3 20 10 3" xfId="7675"/>
    <cellStyle name="20% - 輔色3 20 10 4" xfId="3635"/>
    <cellStyle name="20% - 輔色3 20 11" xfId="39294"/>
    <cellStyle name="20% - 輔色3 20 2" xfId="3636"/>
    <cellStyle name="20% - 輔色3 20 2 2" xfId="3950"/>
    <cellStyle name="20% - 輔色3 20 2 2 2" xfId="23847"/>
    <cellStyle name="20% - 輔色3 20 2 3" xfId="7676"/>
    <cellStyle name="20% - 輔色3 20 3" xfId="3637"/>
    <cellStyle name="20% - 輔色3 20 3 2" xfId="3951"/>
    <cellStyle name="20% - 輔色3 20 3 2 2" xfId="27265"/>
    <cellStyle name="20% - 輔色3 20 3 3" xfId="7677"/>
    <cellStyle name="20% - 輔色3 20 4" xfId="26394"/>
    <cellStyle name="20% - 輔色3 20 5" xfId="29225"/>
    <cellStyle name="20% - 輔色3 20 6" xfId="31008"/>
    <cellStyle name="20% - 輔色3 20 7" xfId="32778"/>
    <cellStyle name="20% - 輔色3 20 8" xfId="34513"/>
    <cellStyle name="20% - 輔色3 20 9" xfId="36192"/>
    <cellStyle name="20% - 輔色3 21" xfId="20731"/>
    <cellStyle name="20% - 輔色3 21 10" xfId="3638"/>
    <cellStyle name="20% - 輔色3 21 10 2" xfId="3952"/>
    <cellStyle name="20% - 輔色3 21 10 2 2" xfId="37885"/>
    <cellStyle name="20% - 輔色3 21 10 3" xfId="7678"/>
    <cellStyle name="20% - 輔色3 21 11" xfId="39368"/>
    <cellStyle name="20% - 輔色3 21 2" xfId="3639"/>
    <cellStyle name="20% - 輔色3 21 2 2" xfId="3953"/>
    <cellStyle name="20% - 輔色3 21 2 2 2" xfId="23848"/>
    <cellStyle name="20% - 輔色3 21 2 3" xfId="7679"/>
    <cellStyle name="20% - 輔色3 21 3" xfId="3640"/>
    <cellStyle name="20% - 輔色3 21 3 2" xfId="3954"/>
    <cellStyle name="20% - 輔色3 21 3 2 2" xfId="27266"/>
    <cellStyle name="20% - 輔色3 21 3 3" xfId="7680"/>
    <cellStyle name="20% - 輔色3 21 4" xfId="22863"/>
    <cellStyle name="20% - 輔色3 21 5" xfId="29350"/>
    <cellStyle name="20% - 輔色3 21 6" xfId="31131"/>
    <cellStyle name="20% - 輔色3 21 7" xfId="32899"/>
    <cellStyle name="20% - 輔色3 21 8" xfId="34628"/>
    <cellStyle name="20% - 輔色3 21 9" xfId="36297"/>
    <cellStyle name="20% - 輔色3 22" xfId="21649"/>
    <cellStyle name="20% - 輔色3 22 10" xfId="34138"/>
    <cellStyle name="20% - 輔色3 22 11" xfId="35845"/>
    <cellStyle name="20% - 輔色3 22 2" xfId="23849"/>
    <cellStyle name="20% - 輔色3 22 3" xfId="27267"/>
    <cellStyle name="20% - 輔色3 22 4" xfId="27109"/>
    <cellStyle name="20% - 輔色3 22 5" xfId="23475"/>
    <cellStyle name="20% - 輔色3 22 6" xfId="26503"/>
    <cellStyle name="20% - 輔色3 22 7" xfId="28826"/>
    <cellStyle name="20% - 輔色3 22 8" xfId="30612"/>
    <cellStyle name="20% - 輔色3 22 9" xfId="32386"/>
    <cellStyle name="20% - 輔色3 23" xfId="22783"/>
    <cellStyle name="20% - 輔色3 23 10" xfId="35863"/>
    <cellStyle name="20% - 輔色3 23 11" xfId="37491"/>
    <cellStyle name="20% - 輔色3 23 2" xfId="23850"/>
    <cellStyle name="20% - 輔色3 23 3" xfId="27268"/>
    <cellStyle name="20% - 輔色3 23 4" xfId="22765"/>
    <cellStyle name="20% - 輔色3 23 5" xfId="22897"/>
    <cellStyle name="20% - 輔色3 23 6" xfId="28847"/>
    <cellStyle name="20% - 輔色3 23 7" xfId="30633"/>
    <cellStyle name="20% - 輔色3 23 8" xfId="32407"/>
    <cellStyle name="20% - 輔色3 23 9" xfId="34158"/>
    <cellStyle name="20% - 輔色3 24" xfId="23851"/>
    <cellStyle name="20% - 輔色3 25" xfId="23852"/>
    <cellStyle name="20% - 輔色3 26" xfId="23853"/>
    <cellStyle name="20% - 輔色3 27" xfId="23854"/>
    <cellStyle name="20% - 輔色3 28" xfId="23855"/>
    <cellStyle name="20% - 輔色3 29" xfId="23856"/>
    <cellStyle name="20% - 輔色3 3" xfId="9226"/>
    <cellStyle name="20% - 輔色3 3 10" xfId="30898"/>
    <cellStyle name="20% - 輔色3 3 11" xfId="32669"/>
    <cellStyle name="20% - 輔色3 3 2" xfId="9505"/>
    <cellStyle name="20% - 輔色3 3 2 2" xfId="23857"/>
    <cellStyle name="20% - 輔色3 3 3" xfId="27275"/>
    <cellStyle name="20% - 輔色3 3 4" xfId="27108"/>
    <cellStyle name="20% - 輔色3 3 5" xfId="23649"/>
    <cellStyle name="20% - 輔色3 3 6" xfId="28441"/>
    <cellStyle name="20% - 輔色3 3 7" xfId="27295"/>
    <cellStyle name="20% - 輔色3 3 8" xfId="23500"/>
    <cellStyle name="20% - 輔色3 3 9" xfId="29114"/>
    <cellStyle name="20% - 輔色3 30" xfId="23858"/>
    <cellStyle name="20% - 輔色3 31" xfId="23859"/>
    <cellStyle name="20% - 輔色3 32" xfId="23860"/>
    <cellStyle name="20% - 輔色3 33" xfId="23861"/>
    <cellStyle name="20% - 輔色3 34" xfId="23862"/>
    <cellStyle name="20% - 輔色3 35" xfId="23863"/>
    <cellStyle name="20% - 輔色3 36" xfId="23864"/>
    <cellStyle name="20% - 輔色3 37" xfId="23865"/>
    <cellStyle name="20% - 輔色3 38" xfId="23866"/>
    <cellStyle name="20% - 輔色3 39" xfId="23867"/>
    <cellStyle name="20% - 輔色3 4" xfId="10248"/>
    <cellStyle name="20% - 輔色3 4 10" xfId="37709"/>
    <cellStyle name="20% - 輔色3 4 11" xfId="39221"/>
    <cellStyle name="20% - 輔色3 4 2" xfId="23868"/>
    <cellStyle name="20% - 輔色3 4 3" xfId="27286"/>
    <cellStyle name="20% - 輔色3 4 4" xfId="23420"/>
    <cellStyle name="20% - 輔色3 4 5" xfId="29113"/>
    <cellStyle name="20% - 輔色3 4 6" xfId="30897"/>
    <cellStyle name="20% - 輔色3 4 7" xfId="32668"/>
    <cellStyle name="20% - 輔色3 4 8" xfId="34408"/>
    <cellStyle name="20% - 輔色3 4 9" xfId="36095"/>
    <cellStyle name="20% - 輔色3 40" xfId="23869"/>
    <cellStyle name="20% - 輔色3 41" xfId="23870"/>
    <cellStyle name="20% - 輔色3 42" xfId="23871"/>
    <cellStyle name="20% - 輔色3 43" xfId="23872"/>
    <cellStyle name="20% - 輔色3 44" xfId="23873"/>
    <cellStyle name="20% - 輔色3 45" xfId="23874"/>
    <cellStyle name="20% - 輔色3 46" xfId="23875"/>
    <cellStyle name="20% - 輔色3 47" xfId="23876"/>
    <cellStyle name="20% - 輔色3 48" xfId="23877"/>
    <cellStyle name="20% - 輔色3 49" xfId="23878"/>
    <cellStyle name="20% - 輔色3 5" xfId="11002"/>
    <cellStyle name="20% - 輔色3 5 10" xfId="37801"/>
    <cellStyle name="20% - 輔色3 5 11" xfId="39297"/>
    <cellStyle name="20% - 輔色3 5 2" xfId="23879"/>
    <cellStyle name="20% - 輔色3 5 3" xfId="27296"/>
    <cellStyle name="20% - 輔色3 5 4" xfId="26562"/>
    <cellStyle name="20% - 輔色3 5 5" xfId="29236"/>
    <cellStyle name="20% - 輔色3 5 6" xfId="31018"/>
    <cellStyle name="20% - 輔色3 5 7" xfId="32787"/>
    <cellStyle name="20% - 輔色3 5 8" xfId="34521"/>
    <cellStyle name="20% - 輔色3 5 9" xfId="36199"/>
    <cellStyle name="20% - 輔色3 50" xfId="23880"/>
    <cellStyle name="20% - 輔色3 51" xfId="23881"/>
    <cellStyle name="20% - 輔色3 52" xfId="23882"/>
    <cellStyle name="20% - 輔色3 53" xfId="23883"/>
    <cellStyle name="20% - 輔色3 54" xfId="23884"/>
    <cellStyle name="20% - 輔色3 55" xfId="23885"/>
    <cellStyle name="20% - 輔色3 56" xfId="23886"/>
    <cellStyle name="20% - 輔色3 57" xfId="23887"/>
    <cellStyle name="20% - 輔色3 58" xfId="23888"/>
    <cellStyle name="20% - 輔色3 59" xfId="23889"/>
    <cellStyle name="20% - 輔色3 6" xfId="9511"/>
    <cellStyle name="20% - 輔色3 6 10" xfId="37890"/>
    <cellStyle name="20% - 輔色3 6 11" xfId="39371"/>
    <cellStyle name="20% - 輔色3 6 2" xfId="23890"/>
    <cellStyle name="20% - 輔色3 6 3" xfId="27306"/>
    <cellStyle name="20% - 輔色3 6 4" xfId="23465"/>
    <cellStyle name="20% - 輔色3 6 5" xfId="29362"/>
    <cellStyle name="20% - 輔色3 6 6" xfId="31141"/>
    <cellStyle name="20% - 輔色3 6 7" xfId="32909"/>
    <cellStyle name="20% - 輔色3 6 8" xfId="34637"/>
    <cellStyle name="20% - 輔色3 6 9" xfId="36304"/>
    <cellStyle name="20% - 輔色3 60" xfId="23891"/>
    <cellStyle name="20% - 輔色3 61" xfId="23892"/>
    <cellStyle name="20% - 輔色3 62" xfId="22934"/>
    <cellStyle name="20% - 輔色3 63" xfId="29062"/>
    <cellStyle name="20% - 輔色3 64" xfId="30847"/>
    <cellStyle name="20% - 輔色3 65" xfId="32620"/>
    <cellStyle name="20% - 輔色3 66" xfId="34362"/>
    <cellStyle name="20% - 輔色3 67" xfId="36052"/>
    <cellStyle name="20% - 輔色3 68" xfId="37670"/>
    <cellStyle name="20% - 輔色3 69" xfId="39188"/>
    <cellStyle name="20% - 輔色3 7" xfId="10254"/>
    <cellStyle name="20% - 輔色3 7 10" xfId="38019"/>
    <cellStyle name="20% - 輔色3 7 11" xfId="39482"/>
    <cellStyle name="20% - 輔色3 7 2" xfId="23893"/>
    <cellStyle name="20% - 輔色3 7 3" xfId="27309"/>
    <cellStyle name="20% - 輔色3 7 4" xfId="26598"/>
    <cellStyle name="20% - 輔色3 7 5" xfId="29520"/>
    <cellStyle name="20% - 輔色3 7 6" xfId="31296"/>
    <cellStyle name="20% - 輔色3 7 7" xfId="33060"/>
    <cellStyle name="20% - 輔色3 7 8" xfId="34779"/>
    <cellStyle name="20% - 輔色3 7 9" xfId="36436"/>
    <cellStyle name="20% - 輔色3 70" xfId="40568"/>
    <cellStyle name="20% - 輔色3 71" xfId="8620"/>
    <cellStyle name="20% - 輔色3 72" xfId="8008"/>
    <cellStyle name="20% - 輔色3 73" xfId="43309"/>
    <cellStyle name="20% - 輔色3 74" xfId="7941"/>
    <cellStyle name="20% - 輔色3 8" xfId="10478"/>
    <cellStyle name="20% - 輔色3 8 10" xfId="32448"/>
    <cellStyle name="20% - 輔色3 8 11" xfId="34199"/>
    <cellStyle name="20% - 輔色3 8 2" xfId="23894"/>
    <cellStyle name="20% - 輔色3 8 3" xfId="27310"/>
    <cellStyle name="20% - 輔色3 8 4" xfId="23456"/>
    <cellStyle name="20% - 輔色3 8 5" xfId="28262"/>
    <cellStyle name="20% - 輔色3 8 6" xfId="27512"/>
    <cellStyle name="20% - 輔色3 8 7" xfId="26516"/>
    <cellStyle name="20% - 輔色3 8 8" xfId="28889"/>
    <cellStyle name="20% - 輔色3 8 9" xfId="30675"/>
    <cellStyle name="20% - 輔色3 9" xfId="10905"/>
    <cellStyle name="20% - 輔色3 9 10" xfId="34461"/>
    <cellStyle name="20% - 輔色3 9 11" xfId="36143"/>
    <cellStyle name="20% - 輔色3 9 2" xfId="23895"/>
    <cellStyle name="20% - 輔色3 9 3" xfId="27311"/>
    <cellStyle name="20% - 輔色3 9 4" xfId="23597"/>
    <cellStyle name="20% - 輔色3 9 5" xfId="28315"/>
    <cellStyle name="20% - 輔色3 9 6" xfId="23165"/>
    <cellStyle name="20% - 輔色3 9 7" xfId="29169"/>
    <cellStyle name="20% - 輔色3 9 8" xfId="30953"/>
    <cellStyle name="20% - 輔色3 9 9" xfId="32724"/>
    <cellStyle name="20% - 輔色4 10" xfId="12076"/>
    <cellStyle name="20% - 輔色4 10 10" xfId="34259"/>
    <cellStyle name="20% - 輔色4 10 11" xfId="35957"/>
    <cellStyle name="20% - 輔色4 10 2" xfId="23896"/>
    <cellStyle name="20% - 輔色4 10 3" xfId="27312"/>
    <cellStyle name="20% - 輔色4 10 4" xfId="22813"/>
    <cellStyle name="20% - 輔色4 10 5" xfId="28555"/>
    <cellStyle name="20% - 輔色4 10 6" xfId="23161"/>
    <cellStyle name="20% - 輔色4 10 7" xfId="28956"/>
    <cellStyle name="20% - 輔色4 10 8" xfId="30742"/>
    <cellStyle name="20% - 輔色4 10 9" xfId="32515"/>
    <cellStyle name="20% - 輔色4 11" xfId="12258"/>
    <cellStyle name="20% - 輔色4 11 10" xfId="38080"/>
    <cellStyle name="20% - 輔色4 11 11" xfId="39533"/>
    <cellStyle name="20% - 輔色4 11 2" xfId="23897"/>
    <cellStyle name="20% - 輔色4 11 3" xfId="27313"/>
    <cellStyle name="20% - 輔色4 11 4" xfId="24817"/>
    <cellStyle name="20% - 輔色4 11 5" xfId="3641"/>
    <cellStyle name="20% - 輔色4 11 5 2" xfId="3955"/>
    <cellStyle name="20% - 輔色4 11 5 2 2" xfId="43328"/>
    <cellStyle name="20% - 輔色4 11 5 2 3" xfId="29597"/>
    <cellStyle name="20% - 輔色4 11 5 3" xfId="7681"/>
    <cellStyle name="20% - 輔色4 11 6" xfId="31372"/>
    <cellStyle name="20% - 輔色4 11 7" xfId="33135"/>
    <cellStyle name="20% - 輔色4 11 8" xfId="34853"/>
    <cellStyle name="20% - 輔色4 11 9" xfId="36506"/>
    <cellStyle name="20% - 輔色4 12" xfId="12506"/>
    <cellStyle name="20% - 輔色4 12 10" xfId="37711"/>
    <cellStyle name="20% - 輔色4 12 11" xfId="39223"/>
    <cellStyle name="20% - 輔色4 12 2" xfId="23898"/>
    <cellStyle name="20% - 輔色4 12 3" xfId="27314"/>
    <cellStyle name="20% - 輔色4 12 4" xfId="22996"/>
    <cellStyle name="20% - 輔色4 12 5" xfId="29117"/>
    <cellStyle name="20% - 輔色4 12 6" xfId="30901"/>
    <cellStyle name="20% - 輔色4 12 7" xfId="32672"/>
    <cellStyle name="20% - 輔色4 12 8" xfId="34411"/>
    <cellStyle name="20% - 輔色4 12 9" xfId="36097"/>
    <cellStyle name="20% - 輔色4 13" xfId="11280"/>
    <cellStyle name="20% - 輔色4 13 10" xfId="37802"/>
    <cellStyle name="20% - 輔色4 13 11" xfId="39298"/>
    <cellStyle name="20% - 輔色4 13 2" xfId="23899"/>
    <cellStyle name="20% - 輔色4 13 3" xfId="27315"/>
    <cellStyle name="20% - 輔色4 13 4" xfId="26395"/>
    <cellStyle name="20% - 輔色4 13 5" xfId="29238"/>
    <cellStyle name="20% - 輔色4 13 6" xfId="31020"/>
    <cellStyle name="20% - 輔色4 13 7" xfId="32789"/>
    <cellStyle name="20% - 輔色4 13 8" xfId="34523"/>
    <cellStyle name="20% - 輔色4 13 9" xfId="36200"/>
    <cellStyle name="20% - 輔色4 14" xfId="14408"/>
    <cellStyle name="20% - 輔色4 14 10" xfId="37891"/>
    <cellStyle name="20% - 輔色4 14 11" xfId="39372"/>
    <cellStyle name="20% - 輔色4 14 2" xfId="23900"/>
    <cellStyle name="20% - 輔色4 14 3" xfId="27316"/>
    <cellStyle name="20% - 輔色4 14 4" xfId="23545"/>
    <cellStyle name="20% - 輔色4 14 5" xfId="29363"/>
    <cellStyle name="20% - 輔色4 14 6" xfId="31142"/>
    <cellStyle name="20% - 輔色4 14 7" xfId="32910"/>
    <cellStyle name="20% - 輔色4 14 8" xfId="34638"/>
    <cellStyle name="20% - 輔色4 14 9" xfId="36305"/>
    <cellStyle name="20% - 輔色4 15" xfId="15178"/>
    <cellStyle name="20% - 輔色4 15 10" xfId="37292"/>
    <cellStyle name="20% - 輔色4 15 11" xfId="38848"/>
    <cellStyle name="20% - 輔色4 15 2" xfId="23901"/>
    <cellStyle name="20% - 輔色4 15 3" xfId="27317"/>
    <cellStyle name="20% - 輔色4 15 4" xfId="26417"/>
    <cellStyle name="20% - 輔色4 15 5" xfId="28618"/>
    <cellStyle name="20% - 輔色4 15 6" xfId="30409"/>
    <cellStyle name="20% - 輔色4 15 7" xfId="32184"/>
    <cellStyle name="20% - 輔色4 15 8" xfId="33938"/>
    <cellStyle name="20% - 輔色4 15 9" xfId="35650"/>
    <cellStyle name="20% - 輔色4 16" xfId="15783"/>
    <cellStyle name="20% - 輔色4 16 10" xfId="32566"/>
    <cellStyle name="20% - 輔色4 16 11" xfId="34308"/>
    <cellStyle name="20% - 輔色4 16 2" xfId="23902"/>
    <cellStyle name="20% - 輔色4 16 3" xfId="27318"/>
    <cellStyle name="20% - 輔色4 16 4" xfId="27104"/>
    <cellStyle name="20% - 輔色4 16 5" xfId="28249"/>
    <cellStyle name="20% - 輔色4 16 6" xfId="27527"/>
    <cellStyle name="20% - 輔色4 16 7" xfId="22975"/>
    <cellStyle name="20% - 輔色4 16 8" xfId="29008"/>
    <cellStyle name="20% - 輔色4 16 9" xfId="30793"/>
    <cellStyle name="20% - 輔色4 17" xfId="11979"/>
    <cellStyle name="20% - 輔色4 17 10" xfId="38020"/>
    <cellStyle name="20% - 輔色4 17 11" xfId="39483"/>
    <cellStyle name="20% - 輔色4 17 2" xfId="23903"/>
    <cellStyle name="20% - 輔色4 17 3" xfId="27319"/>
    <cellStyle name="20% - 輔色4 17 4" xfId="26691"/>
    <cellStyle name="20% - 輔色4 17 5" xfId="29521"/>
    <cellStyle name="20% - 輔色4 17 6" xfId="31297"/>
    <cellStyle name="20% - 輔色4 17 7" xfId="33061"/>
    <cellStyle name="20% - 輔色4 17 8" xfId="34780"/>
    <cellStyle name="20% - 輔色4 17 9" xfId="36437"/>
    <cellStyle name="20% - 輔色4 18" xfId="15886"/>
    <cellStyle name="20% - 輔色4 18 10" xfId="38397"/>
    <cellStyle name="20% - 輔色4 18 11" xfId="39839"/>
    <cellStyle name="20% - 輔色4 18 2" xfId="23904"/>
    <cellStyle name="20% - 輔色4 18 3" xfId="27320"/>
    <cellStyle name="20% - 輔色4 18 4" xfId="23536"/>
    <cellStyle name="20% - 輔色4 18 5" xfId="29940"/>
    <cellStyle name="20% - 輔色4 18 6" xfId="31715"/>
    <cellStyle name="20% - 輔色4 18 7" xfId="33473"/>
    <cellStyle name="20% - 輔色4 18 8" xfId="35187"/>
    <cellStyle name="20% - 輔色4 18 9" xfId="36834"/>
    <cellStyle name="20% - 輔色4 19" xfId="16815"/>
    <cellStyle name="20% - 輔色4 19 10" xfId="34575"/>
    <cellStyle name="20% - 輔色4 19 11" xfId="36247"/>
    <cellStyle name="20% - 輔色4 19 2" xfId="23905"/>
    <cellStyle name="20% - 輔色4 19 3" xfId="27321"/>
    <cellStyle name="20% - 輔色4 19 4" xfId="23661"/>
    <cellStyle name="20% - 輔色4 19 5" xfId="28316"/>
    <cellStyle name="20% - 輔色4 19 6" xfId="22855"/>
    <cellStyle name="20% - 輔色4 19 7" xfId="29293"/>
    <cellStyle name="20% - 輔色4 19 8" xfId="31075"/>
    <cellStyle name="20% - 輔色4 19 9" xfId="32844"/>
    <cellStyle name="20% - 輔色4 2" xfId="8028"/>
    <cellStyle name="20% - 輔色4 2 10" xfId="29372"/>
    <cellStyle name="20% - 輔色4 2 11" xfId="31150"/>
    <cellStyle name="20% - 輔色4 2 12" xfId="9188"/>
    <cellStyle name="20% - 輔色4 2 2" xfId="9356"/>
    <cellStyle name="20% - 輔色4 2 2 2" xfId="23906"/>
    <cellStyle name="20% - 輔色4 2 3" xfId="27322"/>
    <cellStyle name="20% - 輔色4 2 4" xfId="22814"/>
    <cellStyle name="20% - 輔色4 2 5" xfId="28556"/>
    <cellStyle name="20% - 輔色4 2 6" xfId="23205"/>
    <cellStyle name="20% - 輔色4 2 7" xfId="28382"/>
    <cellStyle name="20% - 輔色4 2 8" xfId="27397"/>
    <cellStyle name="20% - 輔色4 2 9" xfId="23386"/>
    <cellStyle name="20% - 輔色4 20" xfId="19871"/>
    <cellStyle name="20% - 輔色4 20 10" xfId="38082"/>
    <cellStyle name="20% - 輔色4 20 11" xfId="39535"/>
    <cellStyle name="20% - 輔色4 20 2" xfId="23907"/>
    <cellStyle name="20% - 輔色4 20 3" xfId="27323"/>
    <cellStyle name="20% - 輔色4 20 4" xfId="26546"/>
    <cellStyle name="20% - 輔色4 20 5" xfId="29599"/>
    <cellStyle name="20% - 輔色4 20 6" xfId="31374"/>
    <cellStyle name="20% - 輔色4 20 7" xfId="33137"/>
    <cellStyle name="20% - 輔色4 20 8" xfId="34855"/>
    <cellStyle name="20% - 輔色4 20 9" xfId="36508"/>
    <cellStyle name="20% - 輔色4 21" xfId="20652"/>
    <cellStyle name="20% - 輔色4 21 10" xfId="37712"/>
    <cellStyle name="20% - 輔色4 21 11" xfId="39224"/>
    <cellStyle name="20% - 輔色4 21 2" xfId="23908"/>
    <cellStyle name="20% - 輔色4 21 3" xfId="27324"/>
    <cellStyle name="20% - 輔色4 21 4" xfId="23078"/>
    <cellStyle name="20% - 輔色4 21 5" xfId="29118"/>
    <cellStyle name="20% - 輔色4 21 6" xfId="30902"/>
    <cellStyle name="20% - 輔色4 21 7" xfId="32673"/>
    <cellStyle name="20% - 輔色4 21 8" xfId="34412"/>
    <cellStyle name="20% - 輔色4 21 9" xfId="36098"/>
    <cellStyle name="20% - 輔色4 22" xfId="21154"/>
    <cellStyle name="20% - 輔色4 22 10" xfId="37803"/>
    <cellStyle name="20% - 輔色4 22 11" xfId="39299"/>
    <cellStyle name="20% - 輔色4 22 2" xfId="23909"/>
    <cellStyle name="20% - 輔色4 22 3" xfId="27325"/>
    <cellStyle name="20% - 輔色4 22 4" xfId="22985"/>
    <cellStyle name="20% - 輔色4 22 5" xfId="29239"/>
    <cellStyle name="20% - 輔色4 22 6" xfId="31021"/>
    <cellStyle name="20% - 輔色4 22 7" xfId="32790"/>
    <cellStyle name="20% - 輔色4 22 8" xfId="34524"/>
    <cellStyle name="20% - 輔色4 22 9" xfId="36201"/>
    <cellStyle name="20% - 輔色4 23" xfId="22784"/>
    <cellStyle name="20% - 輔色4 23 10" xfId="37892"/>
    <cellStyle name="20% - 輔色4 23 11" xfId="39373"/>
    <cellStyle name="20% - 輔色4 23 2" xfId="23910"/>
    <cellStyle name="20% - 輔色4 23 3" xfId="27326"/>
    <cellStyle name="20% - 輔色4 23 4" xfId="23672"/>
    <cellStyle name="20% - 輔色4 23 5" xfId="29364"/>
    <cellStyle name="20% - 輔色4 23 6" xfId="31143"/>
    <cellStyle name="20% - 輔色4 23 7" xfId="32911"/>
    <cellStyle name="20% - 輔色4 23 8" xfId="34639"/>
    <cellStyle name="20% - 輔色4 23 9" xfId="36306"/>
    <cellStyle name="20% - 輔色4 24" xfId="23911"/>
    <cellStyle name="20% - 輔色4 25" xfId="23912"/>
    <cellStyle name="20% - 輔色4 26" xfId="23913"/>
    <cellStyle name="20% - 輔色4 27" xfId="23914"/>
    <cellStyle name="20% - 輔色4 28" xfId="23915"/>
    <cellStyle name="20% - 輔色4 29" xfId="23916"/>
    <cellStyle name="20% - 輔色4 3" xfId="9230"/>
    <cellStyle name="20% - 輔色4 3 10" xfId="38083"/>
    <cellStyle name="20% - 輔色4 3 11" xfId="39536"/>
    <cellStyle name="20% - 輔色4 3 2" xfId="9504"/>
    <cellStyle name="20% - 輔色4 3 2 2" xfId="23917"/>
    <cellStyle name="20% - 輔色4 3 3" xfId="27333"/>
    <cellStyle name="20% - 輔色4 3 4" xfId="26928"/>
    <cellStyle name="20% - 輔色4 3 5" xfId="29600"/>
    <cellStyle name="20% - 輔色4 3 6" xfId="31375"/>
    <cellStyle name="20% - 輔色4 3 7" xfId="33138"/>
    <cellStyle name="20% - 輔色4 3 8" xfId="34856"/>
    <cellStyle name="20% - 輔色4 3 9" xfId="36509"/>
    <cellStyle name="20% - 輔色4 30" xfId="23918"/>
    <cellStyle name="20% - 輔色4 31" xfId="23919"/>
    <cellStyle name="20% - 輔色4 32" xfId="23920"/>
    <cellStyle name="20% - 輔色4 33" xfId="23921"/>
    <cellStyle name="20% - 輔色4 34" xfId="23922"/>
    <cellStyle name="20% - 輔色4 35" xfId="23923"/>
    <cellStyle name="20% - 輔色4 36" xfId="23924"/>
    <cellStyle name="20% - 輔色4 37" xfId="23925"/>
    <cellStyle name="20% - 輔色4 38" xfId="23926"/>
    <cellStyle name="20% - 輔色4 39" xfId="23927"/>
    <cellStyle name="20% - 輔色4 4" xfId="10247"/>
    <cellStyle name="20% - 輔色4 4 10" xfId="37713"/>
    <cellStyle name="20% - 輔色4 4 11" xfId="39225"/>
    <cellStyle name="20% - 輔色4 4 2" xfId="23928"/>
    <cellStyle name="20% - 輔色4 4 3" xfId="27343"/>
    <cellStyle name="20% - 輔色4 4 4" xfId="23265"/>
    <cellStyle name="20% - 輔色4 4 5" xfId="29120"/>
    <cellStyle name="20% - 輔色4 4 6" xfId="30904"/>
    <cellStyle name="20% - 輔色4 4 7" xfId="32675"/>
    <cellStyle name="20% - 輔色4 4 8" xfId="34414"/>
    <cellStyle name="20% - 輔色4 4 9" xfId="36099"/>
    <cellStyle name="20% - 輔色4 40" xfId="23929"/>
    <cellStyle name="20% - 輔色4 41" xfId="23930"/>
    <cellStyle name="20% - 輔色4 42" xfId="23931"/>
    <cellStyle name="20% - 輔色4 43" xfId="23932"/>
    <cellStyle name="20% - 輔色4 44" xfId="23933"/>
    <cellStyle name="20% - 輔色4 45" xfId="23934"/>
    <cellStyle name="20% - 輔色4 46" xfId="23935"/>
    <cellStyle name="20% - 輔色4 47" xfId="23936"/>
    <cellStyle name="20% - 輔色4 48" xfId="23937"/>
    <cellStyle name="20% - 輔色4 49" xfId="23938"/>
    <cellStyle name="20% - 輔色4 5" xfId="11073"/>
    <cellStyle name="20% - 輔色4 5 10" xfId="35154"/>
    <cellStyle name="20% - 輔色4 5 11" xfId="36803"/>
    <cellStyle name="20% - 輔色4 5 2" xfId="23939"/>
    <cellStyle name="20% - 輔色4 5 3" xfId="27354"/>
    <cellStyle name="20% - 輔色4 5 4" xfId="23037"/>
    <cellStyle name="20% - 輔色4 5 5" xfId="28352"/>
    <cellStyle name="20% - 輔色4 5 6" xfId="27447"/>
    <cellStyle name="20% - 輔色4 5 7" xfId="29906"/>
    <cellStyle name="20% - 輔色4 5 8" xfId="31681"/>
    <cellStyle name="20% - 輔色4 5 9" xfId="33440"/>
    <cellStyle name="20% - 輔色4 50" xfId="23940"/>
    <cellStyle name="20% - 輔色4 51" xfId="23941"/>
    <cellStyle name="20% - 輔色4 52" xfId="23942"/>
    <cellStyle name="20% - 輔色4 53" xfId="23943"/>
    <cellStyle name="20% - 輔色4 54" xfId="23944"/>
    <cellStyle name="20% - 輔色4 55" xfId="23945"/>
    <cellStyle name="20% - 輔色4 56" xfId="23946"/>
    <cellStyle name="20% - 輔色4 57" xfId="23947"/>
    <cellStyle name="20% - 輔色4 58" xfId="23948"/>
    <cellStyle name="20% - 輔色4 59" xfId="23949"/>
    <cellStyle name="20% - 輔色4 6" xfId="9516"/>
    <cellStyle name="20% - 輔色4 6 10" xfId="37807"/>
    <cellStyle name="20% - 輔色4 6 11" xfId="39302"/>
    <cellStyle name="20% - 輔色4 6 2" xfId="23950"/>
    <cellStyle name="20% - 輔色4 6 3" xfId="27365"/>
    <cellStyle name="20% - 輔色4 6 4" xfId="23433"/>
    <cellStyle name="20% - 輔色4 6 5" xfId="29245"/>
    <cellStyle name="20% - 輔色4 6 6" xfId="31027"/>
    <cellStyle name="20% - 輔色4 6 7" xfId="32796"/>
    <cellStyle name="20% - 輔色4 6 8" xfId="34530"/>
    <cellStyle name="20% - 輔色4 6 9" xfId="36205"/>
    <cellStyle name="20% - 輔色4 60" xfId="23951"/>
    <cellStyle name="20% - 輔色4 61" xfId="23952"/>
    <cellStyle name="20% - 輔色4 62" xfId="22933"/>
    <cellStyle name="20% - 輔色4 63" xfId="29061"/>
    <cellStyle name="20% - 輔色4 64" xfId="30846"/>
    <cellStyle name="20% - 輔色4 65" xfId="32619"/>
    <cellStyle name="20% - 輔色4 66" xfId="34361"/>
    <cellStyle name="20% - 輔色4 67" xfId="36051"/>
    <cellStyle name="20% - 輔色4 68" xfId="37669"/>
    <cellStyle name="20% - 輔色4 69" xfId="39187"/>
    <cellStyle name="20% - 輔色4 7" xfId="10259"/>
    <cellStyle name="20% - 輔色4 7 10" xfId="40000"/>
    <cellStyle name="20% - 輔色4 7 11" xfId="41252"/>
    <cellStyle name="20% - 輔色4 7 2" xfId="23953"/>
    <cellStyle name="20% - 輔色4 7 3" xfId="27368"/>
    <cellStyle name="20% - 輔色4 7 4" xfId="30111"/>
    <cellStyle name="20% - 輔色4 7 5" xfId="31886"/>
    <cellStyle name="20% - 輔色4 7 6" xfId="33642"/>
    <cellStyle name="20% - 輔色4 7 7" xfId="35355"/>
    <cellStyle name="20% - 輔色4 7 8" xfId="37000"/>
    <cellStyle name="20% - 輔色4 7 9" xfId="38561"/>
    <cellStyle name="20% - 輔色4 70" xfId="40567"/>
    <cellStyle name="20% - 輔色4 71" xfId="8621"/>
    <cellStyle name="20% - 輔色4 72" xfId="8012"/>
    <cellStyle name="20% - 輔色4 73" xfId="43311"/>
    <cellStyle name="20% - 輔色4 74" xfId="7942"/>
    <cellStyle name="20% - 輔色4 8" xfId="11072"/>
    <cellStyle name="20% - 輔色4 8 10" xfId="39818"/>
    <cellStyle name="20% - 輔色4 8 11" xfId="41076"/>
    <cellStyle name="20% - 輔色4 8 2" xfId="23954"/>
    <cellStyle name="20% - 輔色4 8 3" xfId="27369"/>
    <cellStyle name="20% - 輔色4 8 4" xfId="29914"/>
    <cellStyle name="20% - 輔色4 8 5" xfId="31689"/>
    <cellStyle name="20% - 輔色4 8 6" xfId="33448"/>
    <cellStyle name="20% - 輔色4 8 7" xfId="35162"/>
    <cellStyle name="20% - 輔色4 8 8" xfId="36811"/>
    <cellStyle name="20% - 輔色4 8 9" xfId="38375"/>
    <cellStyle name="20% - 輔色4 9" xfId="9754"/>
    <cellStyle name="20% - 輔色4 9 10" xfId="36632"/>
    <cellStyle name="20% - 輔色4 9 11" xfId="38203"/>
    <cellStyle name="20% - 輔色4 9 2" xfId="23955"/>
    <cellStyle name="20% - 輔色4 9 3" xfId="27370"/>
    <cellStyle name="20% - 輔色4 9 4" xfId="28233"/>
    <cellStyle name="20% - 輔色4 9 5" xfId="27543"/>
    <cellStyle name="20% - 輔色4 9 6" xfId="29725"/>
    <cellStyle name="20% - 輔色4 9 7" xfId="31500"/>
    <cellStyle name="20% - 輔色4 9 8" xfId="33261"/>
    <cellStyle name="20% - 輔色4 9 9" xfId="34979"/>
    <cellStyle name="20% - 輔色5 10" xfId="11215"/>
    <cellStyle name="20% - 輔色5 10 10" xfId="36151"/>
    <cellStyle name="20% - 輔色5 10 11" xfId="37759"/>
    <cellStyle name="20% - 輔色5 10 2" xfId="23956"/>
    <cellStyle name="20% - 輔色5 10 3" xfId="27371"/>
    <cellStyle name="20% - 輔色5 10 4" xfId="27099"/>
    <cellStyle name="20% - 輔色5 10 5" xfId="26800"/>
    <cellStyle name="20% - 輔色5 10 6" xfId="29179"/>
    <cellStyle name="20% - 輔色5 10 7" xfId="30963"/>
    <cellStyle name="20% - 輔色5 10 8" xfId="32733"/>
    <cellStyle name="20% - 輔色5 10 9" xfId="34469"/>
    <cellStyle name="20% - 輔色5 11" xfId="12315"/>
    <cellStyle name="20% - 輔色5 11 10" xfId="38100"/>
    <cellStyle name="20% - 輔色5 11 11" xfId="39553"/>
    <cellStyle name="20% - 輔色5 11 2" xfId="23957"/>
    <cellStyle name="20% - 輔色5 11 3" xfId="27372"/>
    <cellStyle name="20% - 輔色5 11 4" xfId="23371"/>
    <cellStyle name="20% - 輔色5 11 5" xfId="29617"/>
    <cellStyle name="20% - 輔色5 11 6" xfId="31392"/>
    <cellStyle name="20% - 輔色5 11 7" xfId="33155"/>
    <cellStyle name="20% - 輔色5 11 8" xfId="34873"/>
    <cellStyle name="20% - 輔色5 11 9" xfId="36526"/>
    <cellStyle name="20% - 輔色5 12" xfId="12548"/>
    <cellStyle name="20% - 輔色5 12 10" xfId="26576"/>
    <cellStyle name="20% - 輔色5 12 11" xfId="29366"/>
    <cellStyle name="20% - 輔色5 12 2" xfId="23958"/>
    <cellStyle name="20% - 輔色5 12 3" xfId="27373"/>
    <cellStyle name="20% - 輔色5 12 4" xfId="23522"/>
    <cellStyle name="20% - 輔色5 12 5" xfId="28322"/>
    <cellStyle name="20% - 輔色5 12 6" xfId="27479"/>
    <cellStyle name="20% - 輔色5 12 7" xfId="23277"/>
    <cellStyle name="20% - 輔色5 12 8" xfId="28413"/>
    <cellStyle name="20% - 輔色5 12 9" xfId="27345"/>
    <cellStyle name="20% - 輔色5 13" xfId="11397"/>
    <cellStyle name="20% - 輔色5 13 10" xfId="30016"/>
    <cellStyle name="20% - 輔色5 13 11" xfId="31791"/>
    <cellStyle name="20% - 輔色5 13 2" xfId="23959"/>
    <cellStyle name="20% - 輔色5 13 3" xfId="27374"/>
    <cellStyle name="20% - 輔色5 13 4" xfId="23407"/>
    <cellStyle name="20% - 輔色5 13 5" xfId="28562"/>
    <cellStyle name="20% - 輔色5 13 6" xfId="22794"/>
    <cellStyle name="20% - 輔色5 13 7" xfId="28420"/>
    <cellStyle name="20% - 輔色5 13 8" xfId="27337"/>
    <cellStyle name="20% - 輔色5 13 9" xfId="27102"/>
    <cellStyle name="20% - 輔色5 14" xfId="14329"/>
    <cellStyle name="20% - 輔色5 14 10" xfId="32921"/>
    <cellStyle name="20% - 輔色5 14 11" xfId="34648"/>
    <cellStyle name="20% - 輔色5 14 2" xfId="23960"/>
    <cellStyle name="20% - 輔色5 14 3" xfId="27375"/>
    <cellStyle name="20% - 輔色5 14 4" xfId="23207"/>
    <cellStyle name="20% - 輔色5 14 5" xfId="28355"/>
    <cellStyle name="20% - 輔色5 14 6" xfId="27444"/>
    <cellStyle name="20% - 輔色5 14 7" xfId="23673"/>
    <cellStyle name="20% - 輔色5 14 8" xfId="29377"/>
    <cellStyle name="20% - 輔色5 14 9" xfId="31154"/>
    <cellStyle name="20% - 輔色5 15" xfId="15099"/>
    <cellStyle name="20% - 輔色5 15 10" xfId="37716"/>
    <cellStyle name="20% - 輔色5 15 11" xfId="39226"/>
    <cellStyle name="20% - 輔色5 15 2" xfId="23961"/>
    <cellStyle name="20% - 輔色5 15 3" xfId="27376"/>
    <cellStyle name="20% - 輔色5 15 4" xfId="23009"/>
    <cellStyle name="20% - 輔色5 15 5" xfId="29124"/>
    <cellStyle name="20% - 輔色5 15 6" xfId="30908"/>
    <cellStyle name="20% - 輔色5 15 7" xfId="32679"/>
    <cellStyle name="20% - 輔色5 15 8" xfId="34417"/>
    <cellStyle name="20% - 輔色5 15 9" xfId="36102"/>
    <cellStyle name="20% - 輔色5 16" xfId="16266"/>
    <cellStyle name="20% - 輔色5 16 10" xfId="37808"/>
    <cellStyle name="20% - 輔色5 16 11" xfId="39303"/>
    <cellStyle name="20% - 輔色5 16 2" xfId="23962"/>
    <cellStyle name="20% - 輔色5 16 3" xfId="27377"/>
    <cellStyle name="20% - 輔色5 16 4" xfId="23517"/>
    <cellStyle name="20% - 輔色5 16 5" xfId="29246"/>
    <cellStyle name="20% - 輔色5 16 6" xfId="31028"/>
    <cellStyle name="20% - 輔色5 16 7" xfId="32797"/>
    <cellStyle name="20% - 輔色5 16 8" xfId="34531"/>
    <cellStyle name="20% - 輔色5 16 9" xfId="36206"/>
    <cellStyle name="20% - 輔色5 17" xfId="17196"/>
    <cellStyle name="20% - 輔色5 17 10" xfId="37897"/>
    <cellStyle name="20% - 輔色5 17 11" xfId="39376"/>
    <cellStyle name="20% - 輔色5 17 2" xfId="23963"/>
    <cellStyle name="20% - 輔色5 17 3" xfId="27378"/>
    <cellStyle name="20% - 輔色5 17 4" xfId="23224"/>
    <cellStyle name="20% - 輔色5 17 5" xfId="29370"/>
    <cellStyle name="20% - 輔色5 17 6" xfId="31148"/>
    <cellStyle name="20% - 輔色5 17 7" xfId="32916"/>
    <cellStyle name="20% - 輔色5 17 8" xfId="34644"/>
    <cellStyle name="20% - 輔色5 17 9" xfId="36311"/>
    <cellStyle name="20% - 輔色5 18" xfId="18104"/>
    <cellStyle name="20% - 輔色5 18 10" xfId="35994"/>
    <cellStyle name="20% - 輔色5 18 11" xfId="37617"/>
    <cellStyle name="20% - 輔色5 18 2" xfId="23964"/>
    <cellStyle name="20% - 輔色5 18 3" xfId="27379"/>
    <cellStyle name="20% - 輔色5 18 4" xfId="27098"/>
    <cellStyle name="20% - 輔色5 18 5" xfId="24821"/>
    <cellStyle name="20% - 輔色5 18 6" xfId="29003"/>
    <cellStyle name="20% - 輔色5 18 7" xfId="30788"/>
    <cellStyle name="20% - 輔色5 18 8" xfId="32561"/>
    <cellStyle name="20% - 輔色5 18 9" xfId="34303"/>
    <cellStyle name="20% - 輔色5 19" xfId="18994"/>
    <cellStyle name="20% - 輔色5 19 10" xfId="36344"/>
    <cellStyle name="20% - 輔色5 19 11" xfId="37930"/>
    <cellStyle name="20% - 輔色5 19 2" xfId="23965"/>
    <cellStyle name="20% - 輔色5 19 3" xfId="27380"/>
    <cellStyle name="20% - 輔色5 19 4" xfId="23455"/>
    <cellStyle name="20% - 輔色5 19 5" xfId="26579"/>
    <cellStyle name="20% - 輔色5 19 6" xfId="29410"/>
    <cellStyle name="20% - 輔色5 19 7" xfId="31187"/>
    <cellStyle name="20% - 輔色5 19 8" xfId="32954"/>
    <cellStyle name="20% - 輔色5 19 9" xfId="34678"/>
    <cellStyle name="20% - 輔色5 2" xfId="8027"/>
    <cellStyle name="20% - 輔色5 2 10" xfId="30623"/>
    <cellStyle name="20% - 輔色5 2 11" xfId="32397"/>
    <cellStyle name="20% - 輔色5 2 12" xfId="9192"/>
    <cellStyle name="20% - 輔色5 2 2" xfId="9357"/>
    <cellStyle name="20% - 輔色5 2 2 2" xfId="23966"/>
    <cellStyle name="20% - 輔色5 2 3" xfId="27381"/>
    <cellStyle name="20% - 輔色5 2 4" xfId="23596"/>
    <cellStyle name="20% - 輔色5 2 5" xfId="28323"/>
    <cellStyle name="20% - 輔色5 2 6" xfId="27478"/>
    <cellStyle name="20% - 輔色5 2 7" xfId="23606"/>
    <cellStyle name="20% - 輔色5 2 8" xfId="24853"/>
    <cellStyle name="20% - 輔色5 2 9" xfId="28837"/>
    <cellStyle name="20% - 輔色5 20" xfId="19792"/>
    <cellStyle name="20% - 輔色5 20 10" xfId="31520"/>
    <cellStyle name="20% - 輔色5 20 11" xfId="33280"/>
    <cellStyle name="20% - 輔色5 20 2" xfId="23967"/>
    <cellStyle name="20% - 輔色5 20 3" xfId="27382"/>
    <cellStyle name="20% - 輔色5 20 4" xfId="23488"/>
    <cellStyle name="20% - 輔色5 20 5" xfId="28564"/>
    <cellStyle name="20% - 輔色5 20 6" xfId="23120"/>
    <cellStyle name="20% - 輔色5 20 7" xfId="28381"/>
    <cellStyle name="20% - 輔色5 20 8" xfId="27398"/>
    <cellStyle name="20% - 輔色5 20 9" xfId="29745"/>
    <cellStyle name="20% - 輔色5 21" xfId="20573"/>
    <cellStyle name="20% - 輔色5 21 10" xfId="23186"/>
    <cellStyle name="20% - 輔色5 21 11" xfId="29184"/>
    <cellStyle name="20% - 輔色5 21 2" xfId="23968"/>
    <cellStyle name="20% - 輔色5 21 3" xfId="27383"/>
    <cellStyle name="20% - 輔色5 21 4" xfId="23300"/>
    <cellStyle name="20% - 輔色5 21 5" xfId="28356"/>
    <cellStyle name="20% - 輔色5 21 6" xfId="27425"/>
    <cellStyle name="20% - 輔色5 21 7" xfId="27094"/>
    <cellStyle name="20% - 輔色5 21 8" xfId="27077"/>
    <cellStyle name="20% - 輔色5 21 9" xfId="27125"/>
    <cellStyle name="20% - 輔色5 22" xfId="21569"/>
    <cellStyle name="20% - 輔色5 22 10" xfId="37717"/>
    <cellStyle name="20% - 輔色5 22 11" xfId="39227"/>
    <cellStyle name="20% - 輔色5 22 2" xfId="23969"/>
    <cellStyle name="20% - 輔色5 22 3" xfId="27384"/>
    <cellStyle name="20% - 輔色5 22 4" xfId="22997"/>
    <cellStyle name="20% - 輔色5 22 5" xfId="29125"/>
    <cellStyle name="20% - 輔色5 22 6" xfId="30909"/>
    <cellStyle name="20% - 輔色5 22 7" xfId="32680"/>
    <cellStyle name="20% - 輔色5 22 8" xfId="34418"/>
    <cellStyle name="20% - 輔色5 22 9" xfId="36103"/>
    <cellStyle name="20% - 輔色5 23" xfId="22785"/>
    <cellStyle name="20% - 輔色5 23 10" xfId="37809"/>
    <cellStyle name="20% - 輔色5 23 11" xfId="39304"/>
    <cellStyle name="20% - 輔色5 23 2" xfId="23970"/>
    <cellStyle name="20% - 輔色5 23 3" xfId="27385"/>
    <cellStyle name="20% - 輔色5 23 4" xfId="23588"/>
    <cellStyle name="20% - 輔色5 23 5" xfId="29247"/>
    <cellStyle name="20% - 輔色5 23 6" xfId="31029"/>
    <cellStyle name="20% - 輔色5 23 7" xfId="32798"/>
    <cellStyle name="20% - 輔色5 23 8" xfId="34532"/>
    <cellStyle name="20% - 輔色5 23 9" xfId="36207"/>
    <cellStyle name="20% - 輔色5 24" xfId="23971"/>
    <cellStyle name="20% - 輔色5 25" xfId="23972"/>
    <cellStyle name="20% - 輔色5 26" xfId="23973"/>
    <cellStyle name="20% - 輔色5 27" xfId="23974"/>
    <cellStyle name="20% - 輔色5 28" xfId="23975"/>
    <cellStyle name="20% - 輔色5 29" xfId="23976"/>
    <cellStyle name="20% - 輔色5 3" xfId="9234"/>
    <cellStyle name="20% - 輔色5 3 10" xfId="36340"/>
    <cellStyle name="20% - 輔色5 3 11" xfId="37926"/>
    <cellStyle name="20% - 輔色5 3 2" xfId="9503"/>
    <cellStyle name="20% - 輔色5 3 2 2" xfId="23977"/>
    <cellStyle name="20% - 輔色5 3 3" xfId="27392"/>
    <cellStyle name="20% - 輔色5 3 4" xfId="23535"/>
    <cellStyle name="20% - 輔色5 3 5" xfId="23387"/>
    <cellStyle name="20% - 輔色5 3 6" xfId="29404"/>
    <cellStyle name="20% - 輔色5 3 7" xfId="31181"/>
    <cellStyle name="20% - 輔色5 3 8" xfId="32948"/>
    <cellStyle name="20% - 輔色5 3 9" xfId="34674"/>
    <cellStyle name="20% - 輔色5 30" xfId="23978"/>
    <cellStyle name="20% - 輔色5 31" xfId="23979"/>
    <cellStyle name="20% - 輔色5 32" xfId="23980"/>
    <cellStyle name="20% - 輔色5 33" xfId="23981"/>
    <cellStyle name="20% - 輔色5 34" xfId="23982"/>
    <cellStyle name="20% - 輔色5 35" xfId="23983"/>
    <cellStyle name="20% - 輔色5 36" xfId="23984"/>
    <cellStyle name="20% - 輔色5 37" xfId="23985"/>
    <cellStyle name="20% - 輔色5 38" xfId="23986"/>
    <cellStyle name="20% - 輔色5 39" xfId="23987"/>
    <cellStyle name="20% - 輔色5 4" xfId="10246"/>
    <cellStyle name="20% - 輔色5 4 10" xfId="31140"/>
    <cellStyle name="20% - 輔色5 4 11" xfId="32908"/>
    <cellStyle name="20% - 輔色5 4 2" xfId="23988"/>
    <cellStyle name="20% - 輔色5 4 3" xfId="27402"/>
    <cellStyle name="20% - 輔色5 4 4" xfId="27096"/>
    <cellStyle name="20% - 輔色5 4 5" xfId="23580"/>
    <cellStyle name="20% - 輔色5 4 6" xfId="28440"/>
    <cellStyle name="20% - 輔色5 4 7" xfId="27297"/>
    <cellStyle name="20% - 輔色5 4 8" xfId="23379"/>
    <cellStyle name="20% - 輔色5 4 9" xfId="29361"/>
    <cellStyle name="20% - 輔色5 40" xfId="23989"/>
    <cellStyle name="20% - 輔色5 41" xfId="23990"/>
    <cellStyle name="20% - 輔色5 42" xfId="23991"/>
    <cellStyle name="20% - 輔色5 43" xfId="23992"/>
    <cellStyle name="20% - 輔色5 44" xfId="23993"/>
    <cellStyle name="20% - 輔色5 45" xfId="23994"/>
    <cellStyle name="20% - 輔色5 46" xfId="23995"/>
    <cellStyle name="20% - 輔色5 47" xfId="23996"/>
    <cellStyle name="20% - 輔色5 48" xfId="23997"/>
    <cellStyle name="20% - 輔色5 49" xfId="23998"/>
    <cellStyle name="20% - 輔色5 5" xfId="11146"/>
    <cellStyle name="20% - 輔色5 5 10" xfId="34083"/>
    <cellStyle name="20% - 輔色5 5 11" xfId="35793"/>
    <cellStyle name="20% - 輔色5 5 2" xfId="23999"/>
    <cellStyle name="20% - 輔色5 5 3" xfId="27413"/>
    <cellStyle name="20% - 輔色5 5 4" xfId="28229"/>
    <cellStyle name="20% - 輔色5 5 5" xfId="27566"/>
    <cellStyle name="20% - 輔色5 5 6" xfId="23483"/>
    <cellStyle name="20% - 輔色5 5 7" xfId="28768"/>
    <cellStyle name="20% - 輔色5 5 8" xfId="30556"/>
    <cellStyle name="20% - 輔色5 5 9" xfId="32331"/>
    <cellStyle name="20% - 輔色5 50" xfId="24000"/>
    <cellStyle name="20% - 輔色5 51" xfId="24001"/>
    <cellStyle name="20% - 輔色5 52" xfId="24002"/>
    <cellStyle name="20% - 輔色5 53" xfId="24003"/>
    <cellStyle name="20% - 輔色5 54" xfId="24004"/>
    <cellStyle name="20% - 輔色5 55" xfId="24005"/>
    <cellStyle name="20% - 輔色5 56" xfId="24006"/>
    <cellStyle name="20% - 輔色5 57" xfId="24007"/>
    <cellStyle name="20% - 輔色5 58" xfId="24008"/>
    <cellStyle name="20% - 輔色5 59" xfId="24009"/>
    <cellStyle name="20% - 輔色5 6" xfId="11340"/>
    <cellStyle name="20% - 輔色5 6 10" xfId="39813"/>
    <cellStyle name="20% - 輔色5 6 11" xfId="41074"/>
    <cellStyle name="20% - 輔色5 6 2" xfId="24010"/>
    <cellStyle name="20% - 輔色5 6 3" xfId="27423"/>
    <cellStyle name="20% - 輔色5 6 4" xfId="29909"/>
    <cellStyle name="20% - 輔色5 6 5" xfId="31684"/>
    <cellStyle name="20% - 輔色5 6 6" xfId="33443"/>
    <cellStyle name="20% - 輔色5 6 7" xfId="35157"/>
    <cellStyle name="20% - 輔色5 6 8" xfId="36806"/>
    <cellStyle name="20% - 輔色5 6 9" xfId="38370"/>
    <cellStyle name="20% - 輔色5 60" xfId="24011"/>
    <cellStyle name="20% - 輔色5 61" xfId="24012"/>
    <cellStyle name="20% - 輔色5 62" xfId="22932"/>
    <cellStyle name="20% - 輔色5 63" xfId="29060"/>
    <cellStyle name="20% - 輔色5 64" xfId="30845"/>
    <cellStyle name="20% - 輔色5 65" xfId="32618"/>
    <cellStyle name="20% - 輔色5 66" xfId="34360"/>
    <cellStyle name="20% - 輔色5 67" xfId="36050"/>
    <cellStyle name="20% - 輔色5 68" xfId="37668"/>
    <cellStyle name="20% - 輔色5 69" xfId="39186"/>
    <cellStyle name="20% - 輔色5 7" xfId="11532"/>
    <cellStyle name="20% - 輔色5 7 10" xfId="27476"/>
    <cellStyle name="20% - 輔色5 7 11" xfId="23146"/>
    <cellStyle name="20% - 輔色5 7 2" xfId="24013"/>
    <cellStyle name="20% - 輔色5 7 3" xfId="27426"/>
    <cellStyle name="20% - 輔色5 7 4" xfId="23125"/>
    <cellStyle name="20% - 輔色5 7 5" xfId="26812"/>
    <cellStyle name="20% - 輔色5 7 6" xfId="28376"/>
    <cellStyle name="20% - 輔色5 7 7" xfId="27404"/>
    <cellStyle name="20% - 輔色5 7 8" xfId="23105"/>
    <cellStyle name="20% - 輔色5 7 9" xfId="28325"/>
    <cellStyle name="20% - 輔色5 70" xfId="40566"/>
    <cellStyle name="20% - 輔色5 71" xfId="8016"/>
    <cellStyle name="20% - 輔色5 72" xfId="43313"/>
    <cellStyle name="20% - 輔色5 73" xfId="7943"/>
    <cellStyle name="20% - 輔色5 8" xfId="11712"/>
    <cellStyle name="20% - 輔色5 8 10" xfId="32691"/>
    <cellStyle name="20% - 輔色5 8 11" xfId="34429"/>
    <cellStyle name="20% - 輔色5 8 2" xfId="24014"/>
    <cellStyle name="20% - 輔色5 8 3" xfId="27427"/>
    <cellStyle name="20% - 輔色5 8 4" xfId="23278"/>
    <cellStyle name="20% - 輔色5 8 5" xfId="28327"/>
    <cellStyle name="20% - 輔色5 8 6" xfId="27475"/>
    <cellStyle name="20% - 輔色5 8 7" xfId="23008"/>
    <cellStyle name="20% - 輔色5 8 8" xfId="29136"/>
    <cellStyle name="20% - 輔色5 8 9" xfId="30920"/>
    <cellStyle name="20% - 輔色5 9" xfId="11897"/>
    <cellStyle name="20% - 輔色5 9 10" xfId="37572"/>
    <cellStyle name="20% - 輔色5 9 11" xfId="39107"/>
    <cellStyle name="20% - 輔色5 9 2" xfId="24015"/>
    <cellStyle name="20% - 輔色5 9 3" xfId="27428"/>
    <cellStyle name="20% - 輔色5 9 4" xfId="23163"/>
    <cellStyle name="20% - 輔色5 9 5" xfId="28938"/>
    <cellStyle name="20% - 輔色5 9 6" xfId="30724"/>
    <cellStyle name="20% - 輔色5 9 7" xfId="32497"/>
    <cellStyle name="20% - 輔色5 9 8" xfId="34245"/>
    <cellStyle name="20% - 輔色5 9 9" xfId="35945"/>
    <cellStyle name="20% - 輔色6 10" xfId="10960"/>
    <cellStyle name="20% - 輔色6 10 10" xfId="32800"/>
    <cellStyle name="20% - 輔色6 10 11" xfId="34534"/>
    <cellStyle name="20% - 輔色6 10 2" xfId="24016"/>
    <cellStyle name="20% - 輔色6 10 3" xfId="27429"/>
    <cellStyle name="20% - 輔色6 10 4" xfId="24818"/>
    <cellStyle name="20% - 輔色6 10 5" xfId="28361"/>
    <cellStyle name="20% - 輔色6 10 6" xfId="27420"/>
    <cellStyle name="20% - 輔色6 10 7" xfId="26796"/>
    <cellStyle name="20% - 輔色6 10 8" xfId="29249"/>
    <cellStyle name="20% - 輔色6 10 9" xfId="31031"/>
    <cellStyle name="20% - 輔色6 11" xfId="12363"/>
    <cellStyle name="20% - 輔色6 11 10" xfId="37719"/>
    <cellStyle name="20% - 輔色6 11 11" xfId="39229"/>
    <cellStyle name="20% - 輔色6 11 2" xfId="24017"/>
    <cellStyle name="20% - 輔色6 11 3" xfId="27430"/>
    <cellStyle name="20% - 輔色6 11 4" xfId="23325"/>
    <cellStyle name="20% - 輔色6 11 5" xfId="29129"/>
    <cellStyle name="20% - 輔色6 11 6" xfId="30913"/>
    <cellStyle name="20% - 輔色6 11 7" xfId="32684"/>
    <cellStyle name="20% - 輔色6 11 8" xfId="34422"/>
    <cellStyle name="20% - 輔色6 11 9" xfId="36105"/>
    <cellStyle name="20% - 輔色6 12" xfId="11978"/>
    <cellStyle name="20% - 輔色6 12 10" xfId="37811"/>
    <cellStyle name="20% - 輔色6 12 11" xfId="39306"/>
    <cellStyle name="20% - 輔色6 12 2" xfId="24018"/>
    <cellStyle name="20% - 輔色6 12 3" xfId="27431"/>
    <cellStyle name="20% - 輔色6 12 4" xfId="26396"/>
    <cellStyle name="20% - 輔色6 12 5" xfId="29251"/>
    <cellStyle name="20% - 輔色6 12 6" xfId="31033"/>
    <cellStyle name="20% - 輔色6 12 7" xfId="32802"/>
    <cellStyle name="20% - 輔色6 12 8" xfId="34536"/>
    <cellStyle name="20% - 輔色6 12 9" xfId="36209"/>
    <cellStyle name="20% - 輔色6 13" xfId="12204"/>
    <cellStyle name="20% - 輔色6 13 10" xfId="37899"/>
    <cellStyle name="20% - 輔色6 13 11" xfId="39377"/>
    <cellStyle name="20% - 輔色6 13 2" xfId="24019"/>
    <cellStyle name="20% - 輔色6 13 3" xfId="27432"/>
    <cellStyle name="20% - 輔色6 13 4" xfId="23615"/>
    <cellStyle name="20% - 輔色6 13 5" xfId="29375"/>
    <cellStyle name="20% - 輔色6 13 6" xfId="31152"/>
    <cellStyle name="20% - 輔色6 13 7" xfId="32919"/>
    <cellStyle name="20% - 輔色6 13 8" xfId="34646"/>
    <cellStyle name="20% - 輔色6 13 9" xfId="36313"/>
    <cellStyle name="20% - 輔色6 14" xfId="14249"/>
    <cellStyle name="20% - 輔色6 14 10" xfId="39668"/>
    <cellStyle name="20% - 輔色6 14 11" xfId="40937"/>
    <cellStyle name="20% - 輔色6 14 2" xfId="24020"/>
    <cellStyle name="20% - 輔色6 14 3" xfId="27433"/>
    <cellStyle name="20% - 輔色6 14 4" xfId="29742"/>
    <cellStyle name="20% - 輔色6 14 5" xfId="31517"/>
    <cellStyle name="20% - 輔色6 14 6" xfId="33278"/>
    <cellStyle name="20% - 輔色6 14 7" xfId="34996"/>
    <cellStyle name="20% - 輔色6 14 8" xfId="36648"/>
    <cellStyle name="20% - 輔色6 14 9" xfId="38218"/>
    <cellStyle name="20% - 輔色6 15" xfId="15019"/>
    <cellStyle name="20% - 輔色6 15 10" xfId="40002"/>
    <cellStyle name="20% - 輔色6 15 11" xfId="41254"/>
    <cellStyle name="20% - 輔色6 15 2" xfId="24021"/>
    <cellStyle name="20% - 輔色6 15 3" xfId="27434"/>
    <cellStyle name="20% - 輔色6 15 4" xfId="30115"/>
    <cellStyle name="20% - 輔色6 15 5" xfId="31890"/>
    <cellStyle name="20% - 輔色6 15 6" xfId="33645"/>
    <cellStyle name="20% - 輔色6 15 7" xfId="35358"/>
    <cellStyle name="20% - 輔色6 15 8" xfId="37003"/>
    <cellStyle name="20% - 輔色6 15 9" xfId="38563"/>
    <cellStyle name="20% - 輔色6 16" xfId="16186"/>
    <cellStyle name="20% - 輔色6 16 10" xfId="39812"/>
    <cellStyle name="20% - 輔色6 16 11" xfId="41073"/>
    <cellStyle name="20% - 輔色6 16 2" xfId="24022"/>
    <cellStyle name="20% - 輔色6 16 3" xfId="27435"/>
    <cellStyle name="20% - 輔色6 16 4" xfId="29908"/>
    <cellStyle name="20% - 輔色6 16 5" xfId="31683"/>
    <cellStyle name="20% - 輔色6 16 6" xfId="33442"/>
    <cellStyle name="20% - 輔色6 16 7" xfId="35156"/>
    <cellStyle name="20% - 輔色6 16 8" xfId="36805"/>
    <cellStyle name="20% - 輔色6 16 9" xfId="38369"/>
    <cellStyle name="20% - 輔色6 17" xfId="17116"/>
    <cellStyle name="20% - 輔色6 17 10" xfId="37016"/>
    <cellStyle name="20% - 輔色6 17 11" xfId="38575"/>
    <cellStyle name="20% - 輔色6 17 2" xfId="24023"/>
    <cellStyle name="20% - 輔色6 17 3" xfId="27436"/>
    <cellStyle name="20% - 輔色6 17 4" xfId="28227"/>
    <cellStyle name="20% - 輔色6 17 5" xfId="27568"/>
    <cellStyle name="20% - 輔色6 17 6" xfId="30128"/>
    <cellStyle name="20% - 輔色6 17 7" xfId="31903"/>
    <cellStyle name="20% - 輔色6 17 8" xfId="33658"/>
    <cellStyle name="20% - 輔色6 17 9" xfId="35371"/>
    <cellStyle name="20% - 輔色6 18" xfId="18024"/>
    <cellStyle name="20% - 輔色6 18 10" xfId="34822"/>
    <cellStyle name="20% - 輔色6 18 11" xfId="36477"/>
    <cellStyle name="20% - 輔色6 18 2" xfId="24024"/>
    <cellStyle name="20% - 輔色6 18 3" xfId="27437"/>
    <cellStyle name="20% - 輔色6 18 4" xfId="27093"/>
    <cellStyle name="20% - 輔色6 18 5" xfId="27123"/>
    <cellStyle name="20% - 輔色6 18 6" xfId="24814"/>
    <cellStyle name="20% - 輔色6 18 7" xfId="29564"/>
    <cellStyle name="20% - 輔色6 18 8" xfId="31340"/>
    <cellStyle name="20% - 輔色6 18 9" xfId="33104"/>
    <cellStyle name="20% - 輔色6 19" xfId="18914"/>
    <cellStyle name="20% - 輔色6 19 10" xfId="35951"/>
    <cellStyle name="20% - 輔色6 19 11" xfId="37578"/>
    <cellStyle name="20% - 輔色6 19 2" xfId="24025"/>
    <cellStyle name="20% - 輔色6 19 3" xfId="27438"/>
    <cellStyle name="20% - 輔色6 19 4" xfId="23211"/>
    <cellStyle name="20% - 輔色6 19 5" xfId="23405"/>
    <cellStyle name="20% - 輔色6 19 6" xfId="28950"/>
    <cellStyle name="20% - 輔色6 19 7" xfId="30736"/>
    <cellStyle name="20% - 輔色6 19 8" xfId="32509"/>
    <cellStyle name="20% - 輔色6 19 9" xfId="34253"/>
    <cellStyle name="20% - 輔色6 2" xfId="8026"/>
    <cellStyle name="20% - 輔色6 2 10" xfId="23199"/>
    <cellStyle name="20% - 輔色6 2 11" xfId="28326"/>
    <cellStyle name="20% - 輔色6 2 12" xfId="9196"/>
    <cellStyle name="20% - 輔色6 2 2" xfId="9358"/>
    <cellStyle name="20% - 輔色6 2 2 2" xfId="24026"/>
    <cellStyle name="20% - 輔色6 2 3" xfId="27439"/>
    <cellStyle name="20% - 輔色6 2 4" xfId="23355"/>
    <cellStyle name="20% - 輔色6 2 5" xfId="28328"/>
    <cellStyle name="20% - 輔色6 2 6" xfId="27474"/>
    <cellStyle name="20% - 輔色6 2 7" xfId="23036"/>
    <cellStyle name="20% - 輔色6 2 8" xfId="28365"/>
    <cellStyle name="20% - 輔色6 2 9" xfId="27416"/>
    <cellStyle name="20% - 輔色6 20" xfId="19712"/>
    <cellStyle name="20% - 輔色6 20 10" xfId="37573"/>
    <cellStyle name="20% - 輔色6 20 11" xfId="39108"/>
    <cellStyle name="20% - 輔色6 20 2" xfId="24027"/>
    <cellStyle name="20% - 輔色6 20 3" xfId="27440"/>
    <cellStyle name="20% - 輔色6 20 4" xfId="23242"/>
    <cellStyle name="20% - 輔色6 20 5" xfId="28939"/>
    <cellStyle name="20% - 輔色6 20 6" xfId="30725"/>
    <cellStyle name="20% - 輔色6 20 7" xfId="32498"/>
    <cellStyle name="20% - 輔色6 20 8" xfId="34246"/>
    <cellStyle name="20% - 輔色6 20 9" xfId="35946"/>
    <cellStyle name="20% - 輔色6 21" xfId="20493"/>
    <cellStyle name="20% - 輔色6 21 10" xfId="32683"/>
    <cellStyle name="20% - 輔色6 21 11" xfId="34421"/>
    <cellStyle name="20% - 輔色6 21 2" xfId="24028"/>
    <cellStyle name="20% - 輔色6 21 3" xfId="27441"/>
    <cellStyle name="20% - 輔色6 21 4" xfId="26547"/>
    <cellStyle name="20% - 輔色6 21 5" xfId="28362"/>
    <cellStyle name="20% - 輔色6 21 6" xfId="27419"/>
    <cellStyle name="20% - 輔色6 21 7" xfId="23257"/>
    <cellStyle name="20% - 輔色6 21 8" xfId="29128"/>
    <cellStyle name="20% - 輔色6 21 9" xfId="30912"/>
    <cellStyle name="20% - 輔色6 22" xfId="21489"/>
    <cellStyle name="20% - 輔色6 22 10" xfId="37720"/>
    <cellStyle name="20% - 輔色6 22 11" xfId="39230"/>
    <cellStyle name="20% - 輔色6 22 2" xfId="24029"/>
    <cellStyle name="20% - 輔色6 22 3" xfId="27442"/>
    <cellStyle name="20% - 輔色6 22 4" xfId="23302"/>
    <cellStyle name="20% - 輔色6 22 5" xfId="29130"/>
    <cellStyle name="20% - 輔色6 22 6" xfId="30914"/>
    <cellStyle name="20% - 輔色6 22 7" xfId="32685"/>
    <cellStyle name="20% - 輔色6 22 8" xfId="34423"/>
    <cellStyle name="20% - 輔色6 22 9" xfId="36106"/>
    <cellStyle name="20% - 輔色6 23" xfId="22786"/>
    <cellStyle name="20% - 輔色6 23 10" xfId="37812"/>
    <cellStyle name="20% - 輔色6 23 11" xfId="39307"/>
    <cellStyle name="20% - 輔色6 23 2" xfId="24030"/>
    <cellStyle name="20% - 輔色6 23 3" xfId="27443"/>
    <cellStyle name="20% - 輔色6 23 4" xfId="22984"/>
    <cellStyle name="20% - 輔色6 23 5" xfId="29252"/>
    <cellStyle name="20% - 輔色6 23 6" xfId="31034"/>
    <cellStyle name="20% - 輔色6 23 7" xfId="32803"/>
    <cellStyle name="20% - 輔色6 23 8" xfId="34537"/>
    <cellStyle name="20% - 輔色6 23 9" xfId="36210"/>
    <cellStyle name="20% - 輔色6 24" xfId="24031"/>
    <cellStyle name="20% - 輔色6 25" xfId="24032"/>
    <cellStyle name="20% - 輔色6 26" xfId="24033"/>
    <cellStyle name="20% - 輔色6 27" xfId="24034"/>
    <cellStyle name="20% - 輔色6 28" xfId="24035"/>
    <cellStyle name="20% - 輔色6 29" xfId="24036"/>
    <cellStyle name="20% - 輔色6 3" xfId="9238"/>
    <cellStyle name="20% - 輔色6 3 10" xfId="32507"/>
    <cellStyle name="20% - 輔色6 3 11" xfId="34252"/>
    <cellStyle name="20% - 輔色6 3 2" xfId="9502"/>
    <cellStyle name="20% - 輔色6 3 2 2" xfId="24037"/>
    <cellStyle name="20% - 輔色6 3 3" xfId="27450"/>
    <cellStyle name="20% - 輔色6 3 4" xfId="23442"/>
    <cellStyle name="20% - 輔色6 3 5" xfId="28329"/>
    <cellStyle name="20% - 輔色6 3 6" xfId="27473"/>
    <cellStyle name="20% - 輔色6 3 7" xfId="23241"/>
    <cellStyle name="20% - 輔色6 3 8" xfId="28948"/>
    <cellStyle name="20% - 輔色6 3 9" xfId="30734"/>
    <cellStyle name="20% - 輔色6 30" xfId="24038"/>
    <cellStyle name="20% - 輔色6 31" xfId="24039"/>
    <cellStyle name="20% - 輔色6 32" xfId="24040"/>
    <cellStyle name="20% - 輔色6 33" xfId="24041"/>
    <cellStyle name="20% - 輔色6 34" xfId="24042"/>
    <cellStyle name="20% - 輔色6 35" xfId="24043"/>
    <cellStyle name="20% - 輔色6 36" xfId="24044"/>
    <cellStyle name="20% - 輔色6 37" xfId="24045"/>
    <cellStyle name="20% - 輔色6 38" xfId="24046"/>
    <cellStyle name="20% - 輔色6 39" xfId="24047"/>
    <cellStyle name="20% - 輔色6 4" xfId="10245"/>
    <cellStyle name="20% - 輔色6 4 10" xfId="38039"/>
    <cellStyle name="20% - 輔色6 4 11" xfId="39498"/>
    <cellStyle name="20% - 輔色6 4 2" xfId="24048"/>
    <cellStyle name="20% - 輔色6 4 3" xfId="27461"/>
    <cellStyle name="20% - 輔色6 4 4" xfId="23343"/>
    <cellStyle name="20% - 輔色6 4 5" xfId="29542"/>
    <cellStyle name="20% - 輔色6 4 6" xfId="31318"/>
    <cellStyle name="20% - 輔色6 4 7" xfId="33082"/>
    <cellStyle name="20% - 輔色6 4 8" xfId="34801"/>
    <cellStyle name="20% - 輔色6 4 9" xfId="36456"/>
    <cellStyle name="20% - 輔色6 40" xfId="24049"/>
    <cellStyle name="20% - 輔色6 41" xfId="24050"/>
    <cellStyle name="20% - 輔色6 42" xfId="24051"/>
    <cellStyle name="20% - 輔色6 43" xfId="24052"/>
    <cellStyle name="20% - 輔色6 44" xfId="24053"/>
    <cellStyle name="20% - 輔色6 45" xfId="24054"/>
    <cellStyle name="20% - 輔色6 46" xfId="24055"/>
    <cellStyle name="20% - 輔色6 47" xfId="24056"/>
    <cellStyle name="20% - 輔色6 48" xfId="24057"/>
    <cellStyle name="20% - 輔色6 49" xfId="24058"/>
    <cellStyle name="20% - 輔色6 5" xfId="11209"/>
    <cellStyle name="20% - 輔色6 5 10" xfId="35002"/>
    <cellStyle name="20% - 輔色6 5 11" xfId="36653"/>
    <cellStyle name="20% - 輔色6 5 2" xfId="24059"/>
    <cellStyle name="20% - 輔色6 5 3" xfId="27472"/>
    <cellStyle name="20% - 輔色6 5 4" xfId="23198"/>
    <cellStyle name="20% - 輔色6 5 5" xfId="28412"/>
    <cellStyle name="20% - 輔色6 5 6" xfId="27346"/>
    <cellStyle name="20% - 輔色6 5 7" xfId="29751"/>
    <cellStyle name="20% - 輔色6 5 8" xfId="31526"/>
    <cellStyle name="20% - 輔色6 5 9" xfId="33285"/>
    <cellStyle name="20% - 輔色6 50" xfId="24060"/>
    <cellStyle name="20% - 輔色6 51" xfId="24061"/>
    <cellStyle name="20% - 輔色6 52" xfId="24062"/>
    <cellStyle name="20% - 輔色6 53" xfId="24063"/>
    <cellStyle name="20% - 輔色6 54" xfId="24064"/>
    <cellStyle name="20% - 輔色6 55" xfId="24065"/>
    <cellStyle name="20% - 輔色6 56" xfId="24066"/>
    <cellStyle name="20% - 輔色6 57" xfId="24067"/>
    <cellStyle name="20% - 輔色6 58" xfId="24068"/>
    <cellStyle name="20% - 輔色6 59" xfId="24069"/>
    <cellStyle name="20% - 輔色6 6" xfId="11401"/>
    <cellStyle name="20% - 輔色6 6 10" xfId="37726"/>
    <cellStyle name="20% - 輔色6 6 11" xfId="39234"/>
    <cellStyle name="20% - 輔色6 6 2" xfId="24070"/>
    <cellStyle name="20% - 輔色6 6 3" xfId="27482"/>
    <cellStyle name="20% - 輔色6 6 4" xfId="22999"/>
    <cellStyle name="20% - 輔色6 6 5" xfId="29138"/>
    <cellStyle name="20% - 輔色6 6 6" xfId="30922"/>
    <cellStyle name="20% - 輔色6 6 7" xfId="32693"/>
    <cellStyle name="20% - 輔色6 6 8" xfId="34431"/>
    <cellStyle name="20% - 輔色6 6 9" xfId="36113"/>
    <cellStyle name="20% - 輔色6 60" xfId="24071"/>
    <cellStyle name="20% - 輔色6 61" xfId="24072"/>
    <cellStyle name="20% - 輔色6 62" xfId="22931"/>
    <cellStyle name="20% - 輔色6 63" xfId="29058"/>
    <cellStyle name="20% - 輔色6 64" xfId="30843"/>
    <cellStyle name="20% - 輔色6 65" xfId="32616"/>
    <cellStyle name="20% - 輔色6 66" xfId="34358"/>
    <cellStyle name="20% - 輔色6 67" xfId="36048"/>
    <cellStyle name="20% - 輔色6 68" xfId="37666"/>
    <cellStyle name="20% - 輔色6 69" xfId="39184"/>
    <cellStyle name="20% - 輔色6 7" xfId="11590"/>
    <cellStyle name="20% - 輔色6 7 10" xfId="37458"/>
    <cellStyle name="20% - 輔色6 7 11" xfId="39005"/>
    <cellStyle name="20% - 輔色6 7 2" xfId="24073"/>
    <cellStyle name="20% - 輔色6 7 3" xfId="27485"/>
    <cellStyle name="20% - 輔色6 7 4" xfId="23168"/>
    <cellStyle name="20% - 輔色6 7 5" xfId="28802"/>
    <cellStyle name="20% - 輔色6 7 6" xfId="30590"/>
    <cellStyle name="20% - 輔色6 7 7" xfId="32364"/>
    <cellStyle name="20% - 輔色6 7 8" xfId="34116"/>
    <cellStyle name="20% - 輔色6 7 9" xfId="35823"/>
    <cellStyle name="20% - 輔色6 70" xfId="40564"/>
    <cellStyle name="20% - 輔色6 71" xfId="8622"/>
    <cellStyle name="20% - 輔色6 72" xfId="8020"/>
    <cellStyle name="20% - 輔色6 73" xfId="43315"/>
    <cellStyle name="20% - 輔色6 74" xfId="7944"/>
    <cellStyle name="20% - 輔色6 8" xfId="11770"/>
    <cellStyle name="20% - 輔色6 8 10" xfId="34148"/>
    <cellStyle name="20% - 輔色6 8 11" xfId="35854"/>
    <cellStyle name="20% - 輔色6 8 2" xfId="24074"/>
    <cellStyle name="20% - 輔色6 8 3" xfId="27486"/>
    <cellStyle name="20% - 輔色6 8 4" xfId="23370"/>
    <cellStyle name="20% - 輔色6 8 5" xfId="23667"/>
    <cellStyle name="20% - 輔色6 8 6" xfId="23692"/>
    <cellStyle name="20% - 輔色6 8 7" xfId="28836"/>
    <cellStyle name="20% - 輔色6 8 8" xfId="30622"/>
    <cellStyle name="20% - 輔色6 8 9" xfId="32396"/>
    <cellStyle name="20% - 輔色6 9" xfId="11954"/>
    <cellStyle name="20% - 輔色6 9 10" xfId="32793"/>
    <cellStyle name="20% - 輔色6 9 11" xfId="34527"/>
    <cellStyle name="20% - 輔色6 9 2" xfId="24075"/>
    <cellStyle name="20% - 輔色6 9 3" xfId="27487"/>
    <cellStyle name="20% - 輔色6 9 4" xfId="23354"/>
    <cellStyle name="20% - 輔色6 9 5" xfId="28414"/>
    <cellStyle name="20% - 輔色6 9 6" xfId="27344"/>
    <cellStyle name="20% - 輔色6 9 7" xfId="23190"/>
    <cellStyle name="20% - 輔色6 9 8" xfId="29242"/>
    <cellStyle name="20% - 輔色6 9 9" xfId="31024"/>
    <cellStyle name="40% - Accent1" xfId="21" builtinId="31" customBuiltin="1"/>
    <cellStyle name="40% - Accent1 10" xfId="9827"/>
    <cellStyle name="40% - Accent1 11" xfId="9909"/>
    <cellStyle name="40% - Accent1 11 10" xfId="37584"/>
    <cellStyle name="40% - Accent1 11 11" xfId="39115"/>
    <cellStyle name="40% - Accent1 11 2" xfId="24076"/>
    <cellStyle name="40% - Accent1 11 3" xfId="27488"/>
    <cellStyle name="40% - Accent1 11 4" xfId="23312"/>
    <cellStyle name="40% - Accent1 11 5" xfId="28958"/>
    <cellStyle name="40% - Accent1 11 6" xfId="30744"/>
    <cellStyle name="40% - Accent1 11 7" xfId="32517"/>
    <cellStyle name="40% - Accent1 11 8" xfId="34260"/>
    <cellStyle name="40% - Accent1 11 9" xfId="35958"/>
    <cellStyle name="40% - Accent1 12" xfId="9989"/>
    <cellStyle name="40% - Accent1 12 10" xfId="40878"/>
    <cellStyle name="40% - Accent1 12 11" xfId="41957"/>
    <cellStyle name="40% - Accent1 12 2" xfId="26339"/>
    <cellStyle name="40% - Accent1 12 3" xfId="29670"/>
    <cellStyle name="40% - Accent1 12 4" xfId="31445"/>
    <cellStyle name="40% - Accent1 12 5" xfId="33207"/>
    <cellStyle name="40% - Accent1 12 6" xfId="34925"/>
    <cellStyle name="40% - Accent1 12 7" xfId="36578"/>
    <cellStyle name="40% - Accent1 12 8" xfId="38152"/>
    <cellStyle name="40% - Accent1 12 9" xfId="39605"/>
    <cellStyle name="40% - Accent1 13" xfId="10069"/>
    <cellStyle name="40% - Accent1 13 10" xfId="41227"/>
    <cellStyle name="40% - Accent1 13 11" xfId="42283"/>
    <cellStyle name="40% - Accent1 13 2" xfId="26755"/>
    <cellStyle name="40% - Accent1 13 3" xfId="30084"/>
    <cellStyle name="40% - Accent1 13 4" xfId="31859"/>
    <cellStyle name="40% - Accent1 13 5" xfId="33615"/>
    <cellStyle name="40% - Accent1 13 6" xfId="35328"/>
    <cellStyle name="40% - Accent1 13 7" xfId="36974"/>
    <cellStyle name="40% - Accent1 13 8" xfId="38535"/>
    <cellStyle name="40% - Accent1 13 9" xfId="39974"/>
    <cellStyle name="40% - Accent1 14" xfId="10136"/>
    <cellStyle name="40% - Accent1 14 10" xfId="40977"/>
    <cellStyle name="40% - Accent1 14 11" xfId="42051"/>
    <cellStyle name="40% - Accent1 14 2" xfId="26457"/>
    <cellStyle name="40% - Accent1 14 3" xfId="29788"/>
    <cellStyle name="40% - Accent1 14 4" xfId="31563"/>
    <cellStyle name="40% - Accent1 14 5" xfId="33322"/>
    <cellStyle name="40% - Accent1 14 6" xfId="35039"/>
    <cellStyle name="40% - Accent1 14 7" xfId="36690"/>
    <cellStyle name="40% - Accent1 14 8" xfId="38259"/>
    <cellStyle name="40% - Accent1 14 9" xfId="39709"/>
    <cellStyle name="40% - Accent1 15" xfId="9501"/>
    <cellStyle name="40% - Accent1 15 10" xfId="20393"/>
    <cellStyle name="40% - Accent1 15 11" xfId="21229"/>
    <cellStyle name="40% - Accent1 15 12" xfId="22030"/>
    <cellStyle name="40% - Accent1 15 13" xfId="26871"/>
    <cellStyle name="40% - Accent1 15 14" xfId="30199"/>
    <cellStyle name="40% - Accent1 15 15" xfId="31974"/>
    <cellStyle name="40% - Accent1 15 16" xfId="33729"/>
    <cellStyle name="40% - Accent1 15 17" xfId="35442"/>
    <cellStyle name="40% - Accent1 15 18" xfId="37087"/>
    <cellStyle name="40% - Accent1 15 19" xfId="38643"/>
    <cellStyle name="40% - Accent1 15 2" xfId="12943"/>
    <cellStyle name="40% - Accent1 15 20" xfId="40077"/>
    <cellStyle name="40% - Accent1 15 21" xfId="41324"/>
    <cellStyle name="40% - Accent1 15 22" xfId="42375"/>
    <cellStyle name="40% - Accent1 15 3" xfId="14069"/>
    <cellStyle name="40% - Accent1 15 4" xfId="14999"/>
    <cellStyle name="40% - Accent1 15 5" xfId="15926"/>
    <cellStyle name="40% - Accent1 15 6" xfId="16856"/>
    <cellStyle name="40% - Accent1 15 7" xfId="17764"/>
    <cellStyle name="40% - Accent1 15 8" xfId="18654"/>
    <cellStyle name="40% - Accent1 15 9" xfId="19532"/>
    <cellStyle name="40% - Accent1 16" xfId="10244"/>
    <cellStyle name="40% - Accent1 16 10" xfId="20468"/>
    <cellStyle name="40% - Accent1 16 11" xfId="21304"/>
    <cellStyle name="40% - Accent1 16 12" xfId="22101"/>
    <cellStyle name="40% - Accent1 16 13" xfId="26327"/>
    <cellStyle name="40% - Accent1 16 14" xfId="29658"/>
    <cellStyle name="40% - Accent1 16 15" xfId="31433"/>
    <cellStyle name="40% - Accent1 16 16" xfId="33195"/>
    <cellStyle name="40% - Accent1 16 17" xfId="34913"/>
    <cellStyle name="40% - Accent1 16 18" xfId="36566"/>
    <cellStyle name="40% - Accent1 16 19" xfId="38140"/>
    <cellStyle name="40% - Accent1 16 2" xfId="13018"/>
    <cellStyle name="40% - Accent1 16 20" xfId="39593"/>
    <cellStyle name="40% - Accent1 16 21" xfId="40866"/>
    <cellStyle name="40% - Accent1 16 22" xfId="41945"/>
    <cellStyle name="40% - Accent1 16 3" xfId="14144"/>
    <cellStyle name="40% - Accent1 16 4" xfId="15074"/>
    <cellStyle name="40% - Accent1 16 5" xfId="16001"/>
    <cellStyle name="40% - Accent1 16 6" xfId="16931"/>
    <cellStyle name="40% - Accent1 16 7" xfId="17839"/>
    <cellStyle name="40% - Accent1 16 8" xfId="18729"/>
    <cellStyle name="40% - Accent1 16 9" xfId="19607"/>
    <cellStyle name="40% - Accent1 17" xfId="11259"/>
    <cellStyle name="40% - Accent1 17 10" xfId="20553"/>
    <cellStyle name="40% - Accent1 17 11" xfId="21389"/>
    <cellStyle name="40% - Accent1 17 12" xfId="22183"/>
    <cellStyle name="40% - Accent1 17 13" xfId="26917"/>
    <cellStyle name="40% - Accent1 17 14" xfId="30245"/>
    <cellStyle name="40% - Accent1 17 15" xfId="32020"/>
    <cellStyle name="40% - Accent1 17 16" xfId="33775"/>
    <cellStyle name="40% - Accent1 17 17" xfId="35488"/>
    <cellStyle name="40% - Accent1 17 18" xfId="37132"/>
    <cellStyle name="40% - Accent1 17 19" xfId="38688"/>
    <cellStyle name="40% - Accent1 17 2" xfId="13103"/>
    <cellStyle name="40% - Accent1 17 20" xfId="40122"/>
    <cellStyle name="40% - Accent1 17 21" xfId="41369"/>
    <cellStyle name="40% - Accent1 17 22" xfId="42420"/>
    <cellStyle name="40% - Accent1 17 3" xfId="14229"/>
    <cellStyle name="40% - Accent1 17 4" xfId="15158"/>
    <cellStyle name="40% - Accent1 17 5" xfId="16086"/>
    <cellStyle name="40% - Accent1 17 6" xfId="17016"/>
    <cellStyle name="40% - Accent1 17 7" xfId="17924"/>
    <cellStyle name="40% - Accent1 17 8" xfId="18814"/>
    <cellStyle name="40% - Accent1 17 9" xfId="19692"/>
    <cellStyle name="40% - Accent1 18" xfId="11450"/>
    <cellStyle name="40% - Accent1 18 10" xfId="20632"/>
    <cellStyle name="40% - Accent1 18 11" xfId="21469"/>
    <cellStyle name="40% - Accent1 18 12" xfId="22260"/>
    <cellStyle name="40% - Accent1 18 13" xfId="26445"/>
    <cellStyle name="40% - Accent1 18 14" xfId="29776"/>
    <cellStyle name="40% - Accent1 18 15" xfId="31551"/>
    <cellStyle name="40% - Accent1 18 16" xfId="33310"/>
    <cellStyle name="40% - Accent1 18 17" xfId="35027"/>
    <cellStyle name="40% - Accent1 18 18" xfId="36678"/>
    <cellStyle name="40% - Accent1 18 19" xfId="38247"/>
    <cellStyle name="40% - Accent1 18 2" xfId="13183"/>
    <cellStyle name="40% - Accent1 18 20" xfId="39697"/>
    <cellStyle name="40% - Accent1 18 21" xfId="40965"/>
    <cellStyle name="40% - Accent1 18 22" xfId="42039"/>
    <cellStyle name="40% - Accent1 18 3" xfId="14309"/>
    <cellStyle name="40% - Accent1 18 4" xfId="15237"/>
    <cellStyle name="40% - Accent1 18 5" xfId="16166"/>
    <cellStyle name="40% - Accent1 18 6" xfId="17096"/>
    <cellStyle name="40% - Accent1 18 7" xfId="18004"/>
    <cellStyle name="40% - Accent1 18 8" xfId="18894"/>
    <cellStyle name="40% - Accent1 18 9" xfId="19772"/>
    <cellStyle name="40% - Accent1 19" xfId="11637"/>
    <cellStyle name="40% - Accent1 19 10" xfId="20706"/>
    <cellStyle name="40% - Accent1 19 11" xfId="21544"/>
    <cellStyle name="40% - Accent1 19 12" xfId="22332"/>
    <cellStyle name="40% - Accent1 19 13" xfId="26683"/>
    <cellStyle name="40% - Accent1 19 14" xfId="30012"/>
    <cellStyle name="40% - Accent1 19 15" xfId="31787"/>
    <cellStyle name="40% - Accent1 19 16" xfId="33545"/>
    <cellStyle name="40% - Accent1 19 17" xfId="35259"/>
    <cellStyle name="40% - Accent1 19 18" xfId="36906"/>
    <cellStyle name="40% - Accent1 19 19" xfId="38469"/>
    <cellStyle name="40% - Accent1 19 2" xfId="13258"/>
    <cellStyle name="40% - Accent1 19 20" xfId="39910"/>
    <cellStyle name="40% - Accent1 19 21" xfId="41164"/>
    <cellStyle name="40% - Accent1 19 22" xfId="42224"/>
    <cellStyle name="40% - Accent1 19 3" xfId="14383"/>
    <cellStyle name="40% - Accent1 19 4" xfId="15311"/>
    <cellStyle name="40% - Accent1 19 5" xfId="16241"/>
    <cellStyle name="40% - Accent1 19 6" xfId="17171"/>
    <cellStyle name="40% - Accent1 19 7" xfId="18079"/>
    <cellStyle name="40% - Accent1 19 8" xfId="18969"/>
    <cellStyle name="40% - Accent1 19 9" xfId="19846"/>
    <cellStyle name="40% - Accent1 2" xfId="3956"/>
    <cellStyle name="40% - Accent1 2 10" xfId="12135"/>
    <cellStyle name="40% - Accent1 2 11" xfId="12123"/>
    <cellStyle name="40% - Accent1 2 12" xfId="10446"/>
    <cellStyle name="40% - Accent1 2 13" xfId="12221"/>
    <cellStyle name="40% - Accent1 2 14" xfId="12686"/>
    <cellStyle name="40% - Accent1 2 15" xfId="12159"/>
    <cellStyle name="40% - Accent1 2 16" xfId="15691"/>
    <cellStyle name="40% - Accent1 2 17" xfId="12079"/>
    <cellStyle name="40% - Accent1 2 18" xfId="12803"/>
    <cellStyle name="40% - Accent1 2 19" xfId="12801"/>
    <cellStyle name="40% - Accent1 2 2" xfId="9359"/>
    <cellStyle name="40% - Accent1 2 2 2" xfId="9549"/>
    <cellStyle name="40% - Accent1 2 20" xfId="11293"/>
    <cellStyle name="40% - Accent1 2 21" xfId="12475"/>
    <cellStyle name="40% - Accent1 2 22" xfId="21117"/>
    <cellStyle name="40% - Accent1 2 23" xfId="22990"/>
    <cellStyle name="40% - Accent1 2 24" xfId="23320"/>
    <cellStyle name="40% - Accent1 2 25" xfId="28763"/>
    <cellStyle name="40% - Accent1 2 26" xfId="30551"/>
    <cellStyle name="40% - Accent1 2 27" xfId="32326"/>
    <cellStyle name="40% - Accent1 2 28" xfId="34078"/>
    <cellStyle name="40% - Accent1 2 29" xfId="35788"/>
    <cellStyle name="40% - Accent1 2 3" xfId="10307"/>
    <cellStyle name="40% - Accent1 2 30" xfId="37425"/>
    <cellStyle name="40% - Accent1 2 31" xfId="38974"/>
    <cellStyle name="40% - Accent1 2 32" xfId="40393"/>
    <cellStyle name="40% - Accent1 2 33" xfId="8697"/>
    <cellStyle name="40% - Accent1 2 4" xfId="10847"/>
    <cellStyle name="40% - Accent1 2 5" xfId="10370"/>
    <cellStyle name="40% - Accent1 2 6" xfId="11249"/>
    <cellStyle name="40% - Accent1 2 7" xfId="11440"/>
    <cellStyle name="40% - Accent1 2 8" xfId="11629"/>
    <cellStyle name="40% - Accent1 2 9" xfId="11811"/>
    <cellStyle name="40% - Accent1 20" xfId="11821"/>
    <cellStyle name="40% - Accent1 20 10" xfId="20790"/>
    <cellStyle name="40% - Accent1 20 11" xfId="21628"/>
    <cellStyle name="40% - Accent1 20 12" xfId="22414"/>
    <cellStyle name="40% - Accent1 20 13" xfId="26314"/>
    <cellStyle name="40% - Accent1 20 14" xfId="29645"/>
    <cellStyle name="40% - Accent1 20 15" xfId="31420"/>
    <cellStyle name="40% - Accent1 20 16" xfId="33183"/>
    <cellStyle name="40% - Accent1 20 17" xfId="34901"/>
    <cellStyle name="40% - Accent1 20 18" xfId="36554"/>
    <cellStyle name="40% - Accent1 20 19" xfId="38128"/>
    <cellStyle name="40% - Accent1 20 2" xfId="13343"/>
    <cellStyle name="40% - Accent1 20 20" xfId="39581"/>
    <cellStyle name="40% - Accent1 20 21" xfId="40854"/>
    <cellStyle name="40% - Accent1 20 22" xfId="41933"/>
    <cellStyle name="40% - Accent1 20 3" xfId="14467"/>
    <cellStyle name="40% - Accent1 20 4" xfId="15396"/>
    <cellStyle name="40% - Accent1 20 5" xfId="16325"/>
    <cellStyle name="40% - Accent1 20 6" xfId="17255"/>
    <cellStyle name="40% - Accent1 20 7" xfId="18163"/>
    <cellStyle name="40% - Accent1 20 8" xfId="19053"/>
    <cellStyle name="40% - Accent1 20 9" xfId="19930"/>
    <cellStyle name="40% - Accent1 21" xfId="12003"/>
    <cellStyle name="40% - Accent1 21 10" xfId="20869"/>
    <cellStyle name="40% - Accent1 21 11" xfId="21708"/>
    <cellStyle name="40% - Accent1 21 12" xfId="22492"/>
    <cellStyle name="40% - Accent1 21 13" xfId="26949"/>
    <cellStyle name="40% - Accent1 21 14" xfId="30277"/>
    <cellStyle name="40% - Accent1 21 15" xfId="32052"/>
    <cellStyle name="40% - Accent1 21 16" xfId="33807"/>
    <cellStyle name="40% - Accent1 21 17" xfId="35520"/>
    <cellStyle name="40% - Accent1 21 18" xfId="37164"/>
    <cellStyle name="40% - Accent1 21 19" xfId="38720"/>
    <cellStyle name="40% - Accent1 21 2" xfId="13423"/>
    <cellStyle name="40% - Accent1 21 20" xfId="40154"/>
    <cellStyle name="40% - Accent1 21 21" xfId="41399"/>
    <cellStyle name="40% - Accent1 21 22" xfId="42449"/>
    <cellStyle name="40% - Accent1 21 3" xfId="14547"/>
    <cellStyle name="40% - Accent1 21 4" xfId="15474"/>
    <cellStyle name="40% - Accent1 21 5" xfId="16405"/>
    <cellStyle name="40% - Accent1 21 6" xfId="17335"/>
    <cellStyle name="40% - Accent1 21 7" xfId="18243"/>
    <cellStyle name="40% - Accent1 21 8" xfId="19133"/>
    <cellStyle name="40% - Accent1 21 9" xfId="20010"/>
    <cellStyle name="40% - Accent1 22" xfId="11086"/>
    <cellStyle name="40% - Accent1 22 10" xfId="20947"/>
    <cellStyle name="40% - Accent1 22 11" xfId="21788"/>
    <cellStyle name="40% - Accent1 22 12" xfId="22570"/>
    <cellStyle name="40% - Accent1 22 13" xfId="26965"/>
    <cellStyle name="40% - Accent1 22 14" xfId="30294"/>
    <cellStyle name="40% - Accent1 22 15" xfId="32069"/>
    <cellStyle name="40% - Accent1 22 16" xfId="33824"/>
    <cellStyle name="40% - Accent1 22 17" xfId="35537"/>
    <cellStyle name="40% - Accent1 22 18" xfId="37181"/>
    <cellStyle name="40% - Accent1 22 19" xfId="38737"/>
    <cellStyle name="40% - Accent1 22 2" xfId="13503"/>
    <cellStyle name="40% - Accent1 22 20" xfId="40171"/>
    <cellStyle name="40% - Accent1 22 21" xfId="41414"/>
    <cellStyle name="40% - Accent1 22 22" xfId="42463"/>
    <cellStyle name="40% - Accent1 22 3" xfId="14626"/>
    <cellStyle name="40% - Accent1 22 4" xfId="15554"/>
    <cellStyle name="40% - Accent1 22 5" xfId="16485"/>
    <cellStyle name="40% - Accent1 22 6" xfId="17415"/>
    <cellStyle name="40% - Accent1 22 7" xfId="18323"/>
    <cellStyle name="40% - Accent1 22 8" xfId="19213"/>
    <cellStyle name="40% - Accent1 22 9" xfId="20089"/>
    <cellStyle name="40% - Accent1 23" xfId="12068"/>
    <cellStyle name="40% - Accent1 23 10" xfId="21020"/>
    <cellStyle name="40% - Accent1 23 11" xfId="21859"/>
    <cellStyle name="40% - Accent1 23 12" xfId="22640"/>
    <cellStyle name="40% - Accent1 23 2" xfId="13583"/>
    <cellStyle name="40% - Accent1 23 3" xfId="14702"/>
    <cellStyle name="40% - Accent1 23 4" xfId="15631"/>
    <cellStyle name="40% - Accent1 23 5" xfId="16562"/>
    <cellStyle name="40% - Accent1 23 6" xfId="17490"/>
    <cellStyle name="40% - Accent1 23 7" xfId="18397"/>
    <cellStyle name="40% - Accent1 23 8" xfId="19285"/>
    <cellStyle name="40% - Accent1 23 9" xfId="20159"/>
    <cellStyle name="40% - Accent1 24" xfId="12225"/>
    <cellStyle name="40% - Accent1 24 10" xfId="21084"/>
    <cellStyle name="40% - Accent1 24 11" xfId="21919"/>
    <cellStyle name="40% - Accent1 24 12" xfId="22700"/>
    <cellStyle name="40% - Accent1 24 2" xfId="13663"/>
    <cellStyle name="40% - Accent1 24 3" xfId="14779"/>
    <cellStyle name="40% - Accent1 24 4" xfId="15704"/>
    <cellStyle name="40% - Accent1 24 5" xfId="16634"/>
    <cellStyle name="40% - Accent1 24 6" xfId="17565"/>
    <cellStyle name="40% - Accent1 24 7" xfId="18468"/>
    <cellStyle name="40% - Accent1 24 8" xfId="19352"/>
    <cellStyle name="40% - Accent1 24 9" xfId="20229"/>
    <cellStyle name="40% - Accent1 25" xfId="13735"/>
    <cellStyle name="40% - Accent1 26" xfId="13797"/>
    <cellStyle name="40% - Accent1 27" xfId="12151"/>
    <cellStyle name="40% - Accent1 28" xfId="14169"/>
    <cellStyle name="40% - Accent1 29" xfId="14948"/>
    <cellStyle name="40% - Accent1 3" xfId="8817"/>
    <cellStyle name="40% - Accent1 30" xfId="16106"/>
    <cellStyle name="40% - Accent1 31" xfId="17036"/>
    <cellStyle name="40% - Accent1 32" xfId="17944"/>
    <cellStyle name="40% - Accent1 33" xfId="18834"/>
    <cellStyle name="40% - Accent1 34" xfId="19632"/>
    <cellStyle name="40% - Accent1 35" xfId="20413"/>
    <cellStyle name="40% - Accent1 36" xfId="21409"/>
    <cellStyle name="40% - Accent1 37" xfId="22787"/>
    <cellStyle name="40% - Accent1 38" xfId="22930"/>
    <cellStyle name="40% - Accent1 39" xfId="29057"/>
    <cellStyle name="40% - Accent1 4" xfId="8909"/>
    <cellStyle name="40% - Accent1 40" xfId="30842"/>
    <cellStyle name="40% - Accent1 41" xfId="32615"/>
    <cellStyle name="40% - Accent1 42" xfId="34357"/>
    <cellStyle name="40% - Accent1 43" xfId="36047"/>
    <cellStyle name="40% - Accent1 44" xfId="37665"/>
    <cellStyle name="40% - Accent1 45" xfId="39183"/>
    <cellStyle name="40% - Accent1 46" xfId="40563"/>
    <cellStyle name="40% - Accent1 47" xfId="42584"/>
    <cellStyle name="40% - Accent1 48" xfId="42691"/>
    <cellStyle name="40% - Accent1 49" xfId="42736"/>
    <cellStyle name="40% - Accent1 5" xfId="8987"/>
    <cellStyle name="40% - Accent1 50" xfId="42778"/>
    <cellStyle name="40% - Accent1 51" xfId="42819"/>
    <cellStyle name="40% - Accent1 52" xfId="42860"/>
    <cellStyle name="40% - Accent1 53" xfId="42901"/>
    <cellStyle name="40% - Accent1 54" xfId="42941"/>
    <cellStyle name="40% - Accent1 55" xfId="42978"/>
    <cellStyle name="40% - Accent1 56" xfId="43015"/>
    <cellStyle name="40% - Accent1 57" xfId="43049"/>
    <cellStyle name="40% - Accent1 58" xfId="43082"/>
    <cellStyle name="40% - Accent1 59" xfId="43107"/>
    <cellStyle name="40% - Accent1 6" xfId="9062"/>
    <cellStyle name="40% - Accent1 60" xfId="43131"/>
    <cellStyle name="40% - Accent1 61" xfId="43193"/>
    <cellStyle name="40% - Accent1 62" xfId="8623"/>
    <cellStyle name="40% - Accent1 63" xfId="7682"/>
    <cellStyle name="40% - Accent1 64" xfId="3642"/>
    <cellStyle name="40% - Accent1 7" xfId="9123"/>
    <cellStyle name="40% - Accent1 8" xfId="9247"/>
    <cellStyle name="40% - Accent1 9" xfId="9741"/>
    <cellStyle name="40% - Accent2" xfId="25" builtinId="35" customBuiltin="1"/>
    <cellStyle name="40% - Accent2 10" xfId="9826"/>
    <cellStyle name="40% - Accent2 11" xfId="9908"/>
    <cellStyle name="40% - Accent2 11 10" xfId="32681"/>
    <cellStyle name="40% - Accent2 11 11" xfId="34419"/>
    <cellStyle name="40% - Accent2 11 2" xfId="24077"/>
    <cellStyle name="40% - Accent2 11 3" xfId="27489"/>
    <cellStyle name="40% - Accent2 11 4" xfId="23365"/>
    <cellStyle name="40% - Accent2 11 5" xfId="28383"/>
    <cellStyle name="40% - Accent2 11 6" xfId="27396"/>
    <cellStyle name="40% - Accent2 11 7" xfId="23069"/>
    <cellStyle name="40% - Accent2 11 8" xfId="29126"/>
    <cellStyle name="40% - Accent2 11 9" xfId="30910"/>
    <cellStyle name="40% - Accent2 12" xfId="9987"/>
    <cellStyle name="40% - Accent2 12 10" xfId="40879"/>
    <cellStyle name="40% - Accent2 12 11" xfId="41958"/>
    <cellStyle name="40% - Accent2 12 2" xfId="26340"/>
    <cellStyle name="40% - Accent2 12 3" xfId="29671"/>
    <cellStyle name="40% - Accent2 12 4" xfId="31446"/>
    <cellStyle name="40% - Accent2 12 5" xfId="33208"/>
    <cellStyle name="40% - Accent2 12 6" xfId="34926"/>
    <cellStyle name="40% - Accent2 12 7" xfId="36579"/>
    <cellStyle name="40% - Accent2 12 8" xfId="38153"/>
    <cellStyle name="40% - Accent2 12 9" xfId="39606"/>
    <cellStyle name="40% - Accent2 13" xfId="10067"/>
    <cellStyle name="40% - Accent2 13 10" xfId="41226"/>
    <cellStyle name="40% - Accent2 13 11" xfId="42282"/>
    <cellStyle name="40% - Accent2 13 2" xfId="26754"/>
    <cellStyle name="40% - Accent2 13 3" xfId="30083"/>
    <cellStyle name="40% - Accent2 13 4" xfId="31858"/>
    <cellStyle name="40% - Accent2 13 5" xfId="33614"/>
    <cellStyle name="40% - Accent2 13 6" xfId="35327"/>
    <cellStyle name="40% - Accent2 13 7" xfId="36973"/>
    <cellStyle name="40% - Accent2 13 8" xfId="38534"/>
    <cellStyle name="40% - Accent2 13 9" xfId="39973"/>
    <cellStyle name="40% - Accent2 14" xfId="10134"/>
    <cellStyle name="40% - Accent2 14 10" xfId="40978"/>
    <cellStyle name="40% - Accent2 14 11" xfId="42052"/>
    <cellStyle name="40% - Accent2 14 2" xfId="26458"/>
    <cellStyle name="40% - Accent2 14 3" xfId="29789"/>
    <cellStyle name="40% - Accent2 14 4" xfId="31564"/>
    <cellStyle name="40% - Accent2 14 5" xfId="33323"/>
    <cellStyle name="40% - Accent2 14 6" xfId="35040"/>
    <cellStyle name="40% - Accent2 14 7" xfId="36691"/>
    <cellStyle name="40% - Accent2 14 8" xfId="38260"/>
    <cellStyle name="40% - Accent2 14 9" xfId="39710"/>
    <cellStyle name="40% - Accent2 15" xfId="9500"/>
    <cellStyle name="40% - Accent2 15 10" xfId="20389"/>
    <cellStyle name="40% - Accent2 15 11" xfId="21227"/>
    <cellStyle name="40% - Accent2 15 12" xfId="22029"/>
    <cellStyle name="40% - Accent2 15 13" xfId="26870"/>
    <cellStyle name="40% - Accent2 15 14" xfId="30198"/>
    <cellStyle name="40% - Accent2 15 15" xfId="31973"/>
    <cellStyle name="40% - Accent2 15 16" xfId="33728"/>
    <cellStyle name="40% - Accent2 15 17" xfId="35441"/>
    <cellStyle name="40% - Accent2 15 18" xfId="37086"/>
    <cellStyle name="40% - Accent2 15 19" xfId="38642"/>
    <cellStyle name="40% - Accent2 15 2" xfId="12938"/>
    <cellStyle name="40% - Accent2 15 20" xfId="40076"/>
    <cellStyle name="40% - Accent2 15 21" xfId="41323"/>
    <cellStyle name="40% - Accent2 15 22" xfId="42374"/>
    <cellStyle name="40% - Accent2 15 3" xfId="14066"/>
    <cellStyle name="40% - Accent2 15 4" xfId="14995"/>
    <cellStyle name="40% - Accent2 15 5" xfId="15924"/>
    <cellStyle name="40% - Accent2 15 6" xfId="16853"/>
    <cellStyle name="40% - Accent2 15 7" xfId="17762"/>
    <cellStyle name="40% - Accent2 15 8" xfId="18651"/>
    <cellStyle name="40% - Accent2 15 9" xfId="19530"/>
    <cellStyle name="40% - Accent2 16" xfId="10243"/>
    <cellStyle name="40% - Accent2 16 10" xfId="20467"/>
    <cellStyle name="40% - Accent2 16 11" xfId="21303"/>
    <cellStyle name="40% - Accent2 16 12" xfId="22100"/>
    <cellStyle name="40% - Accent2 16 13" xfId="26328"/>
    <cellStyle name="40% - Accent2 16 14" xfId="29659"/>
    <cellStyle name="40% - Accent2 16 15" xfId="31434"/>
    <cellStyle name="40% - Accent2 16 16" xfId="33196"/>
    <cellStyle name="40% - Accent2 16 17" xfId="34914"/>
    <cellStyle name="40% - Accent2 16 18" xfId="36567"/>
    <cellStyle name="40% - Accent2 16 19" xfId="38141"/>
    <cellStyle name="40% - Accent2 16 2" xfId="13017"/>
    <cellStyle name="40% - Accent2 16 20" xfId="39594"/>
    <cellStyle name="40% - Accent2 16 21" xfId="40867"/>
    <cellStyle name="40% - Accent2 16 22" xfId="41946"/>
    <cellStyle name="40% - Accent2 16 3" xfId="14143"/>
    <cellStyle name="40% - Accent2 16 4" xfId="15073"/>
    <cellStyle name="40% - Accent2 16 5" xfId="16000"/>
    <cellStyle name="40% - Accent2 16 6" xfId="16930"/>
    <cellStyle name="40% - Accent2 16 7" xfId="17838"/>
    <cellStyle name="40% - Accent2 16 8" xfId="18728"/>
    <cellStyle name="40% - Accent2 16 9" xfId="19606"/>
    <cellStyle name="40% - Accent2 17" xfId="10479"/>
    <cellStyle name="40% - Accent2 17 10" xfId="20548"/>
    <cellStyle name="40% - Accent2 17 11" xfId="21384"/>
    <cellStyle name="40% - Accent2 17 12" xfId="22178"/>
    <cellStyle name="40% - Accent2 17 13" xfId="26916"/>
    <cellStyle name="40% - Accent2 17 14" xfId="30244"/>
    <cellStyle name="40% - Accent2 17 15" xfId="32019"/>
    <cellStyle name="40% - Accent2 17 16" xfId="33774"/>
    <cellStyle name="40% - Accent2 17 17" xfId="35487"/>
    <cellStyle name="40% - Accent2 17 18" xfId="37131"/>
    <cellStyle name="40% - Accent2 17 19" xfId="38687"/>
    <cellStyle name="40% - Accent2 17 2" xfId="13098"/>
    <cellStyle name="40% - Accent2 17 20" xfId="40121"/>
    <cellStyle name="40% - Accent2 17 21" xfId="41368"/>
    <cellStyle name="40% - Accent2 17 22" xfId="42419"/>
    <cellStyle name="40% - Accent2 17 3" xfId="14224"/>
    <cellStyle name="40% - Accent2 17 4" xfId="15153"/>
    <cellStyle name="40% - Accent2 17 5" xfId="16081"/>
    <cellStyle name="40% - Accent2 17 6" xfId="17011"/>
    <cellStyle name="40% - Accent2 17 7" xfId="17919"/>
    <cellStyle name="40% - Accent2 17 8" xfId="18809"/>
    <cellStyle name="40% - Accent2 17 9" xfId="19687"/>
    <cellStyle name="40% - Accent2 18" xfId="10831"/>
    <cellStyle name="40% - Accent2 18 10" xfId="20627"/>
    <cellStyle name="40% - Accent2 18 11" xfId="21464"/>
    <cellStyle name="40% - Accent2 18 12" xfId="22255"/>
    <cellStyle name="40% - Accent2 18 13" xfId="26446"/>
    <cellStyle name="40% - Accent2 18 14" xfId="29777"/>
    <cellStyle name="40% - Accent2 18 15" xfId="31552"/>
    <cellStyle name="40% - Accent2 18 16" xfId="33311"/>
    <cellStyle name="40% - Accent2 18 17" xfId="35028"/>
    <cellStyle name="40% - Accent2 18 18" xfId="36679"/>
    <cellStyle name="40% - Accent2 18 19" xfId="38248"/>
    <cellStyle name="40% - Accent2 18 2" xfId="13178"/>
    <cellStyle name="40% - Accent2 18 20" xfId="39698"/>
    <cellStyle name="40% - Accent2 18 21" xfId="40966"/>
    <cellStyle name="40% - Accent2 18 22" xfId="42040"/>
    <cellStyle name="40% - Accent2 18 3" xfId="14304"/>
    <cellStyle name="40% - Accent2 18 4" xfId="15232"/>
    <cellStyle name="40% - Accent2 18 5" xfId="16161"/>
    <cellStyle name="40% - Accent2 18 6" xfId="17091"/>
    <cellStyle name="40% - Accent2 18 7" xfId="17999"/>
    <cellStyle name="40% - Accent2 18 8" xfId="18889"/>
    <cellStyle name="40% - Accent2 18 9" xfId="19767"/>
    <cellStyle name="40% - Accent2 19" xfId="10969"/>
    <cellStyle name="40% - Accent2 19 10" xfId="20705"/>
    <cellStyle name="40% - Accent2 19 11" xfId="21543"/>
    <cellStyle name="40% - Accent2 19 12" xfId="22331"/>
    <cellStyle name="40% - Accent2 19 13" xfId="26682"/>
    <cellStyle name="40% - Accent2 19 14" xfId="30011"/>
    <cellStyle name="40% - Accent2 19 15" xfId="31786"/>
    <cellStyle name="40% - Accent2 19 16" xfId="33544"/>
    <cellStyle name="40% - Accent2 19 17" xfId="35258"/>
    <cellStyle name="40% - Accent2 19 18" xfId="36905"/>
    <cellStyle name="40% - Accent2 19 19" xfId="38468"/>
    <cellStyle name="40% - Accent2 19 2" xfId="13257"/>
    <cellStyle name="40% - Accent2 19 20" xfId="39909"/>
    <cellStyle name="40% - Accent2 19 21" xfId="41163"/>
    <cellStyle name="40% - Accent2 19 22" xfId="42223"/>
    <cellStyle name="40% - Accent2 19 3" xfId="14382"/>
    <cellStyle name="40% - Accent2 19 4" xfId="15310"/>
    <cellStyle name="40% - Accent2 19 5" xfId="16240"/>
    <cellStyle name="40% - Accent2 19 6" xfId="17170"/>
    <cellStyle name="40% - Accent2 19 7" xfId="18078"/>
    <cellStyle name="40% - Accent2 19 8" xfId="18968"/>
    <cellStyle name="40% - Accent2 19 9" xfId="19845"/>
    <cellStyle name="40% - Accent2 2" xfId="3957"/>
    <cellStyle name="40% - Accent2 2 10" xfId="11260"/>
    <cellStyle name="40% - Accent2 2 11" xfId="11723"/>
    <cellStyle name="40% - Accent2 2 12" xfId="12064"/>
    <cellStyle name="40% - Accent2 2 13" xfId="11038"/>
    <cellStyle name="40% - Accent2 2 14" xfId="12191"/>
    <cellStyle name="40% - Accent2 2 15" xfId="10788"/>
    <cellStyle name="40% - Accent2 2 16" xfId="14885"/>
    <cellStyle name="40% - Accent2 2 17" xfId="12544"/>
    <cellStyle name="40% - Accent2 2 18" xfId="15757"/>
    <cellStyle name="40% - Accent2 2 19" xfId="11183"/>
    <cellStyle name="40% - Accent2 2 2" xfId="9360"/>
    <cellStyle name="40% - Accent2 2 2 2" xfId="9550"/>
    <cellStyle name="40% - Accent2 2 20" xfId="10728"/>
    <cellStyle name="40% - Accent2 2 21" xfId="18544"/>
    <cellStyle name="40% - Accent2 2 22" xfId="21092"/>
    <cellStyle name="40% - Accent2 2 23" xfId="22991"/>
    <cellStyle name="40% - Accent2 2 24" xfId="23238"/>
    <cellStyle name="40% - Accent2 2 25" xfId="28761"/>
    <cellStyle name="40% - Accent2 2 26" xfId="30549"/>
    <cellStyle name="40% - Accent2 2 27" xfId="32324"/>
    <cellStyle name="40% - Accent2 2 28" xfId="34076"/>
    <cellStyle name="40% - Accent2 2 29" xfId="35786"/>
    <cellStyle name="40% - Accent2 2 3" xfId="10308"/>
    <cellStyle name="40% - Accent2 2 30" xfId="37423"/>
    <cellStyle name="40% - Accent2 2 31" xfId="38972"/>
    <cellStyle name="40% - Accent2 2 32" xfId="40391"/>
    <cellStyle name="40% - Accent2 2 33" xfId="8698"/>
    <cellStyle name="40% - Accent2 2 4" xfId="10775"/>
    <cellStyle name="40% - Accent2 2 5" xfId="11085"/>
    <cellStyle name="40% - Accent2 2 6" xfId="11279"/>
    <cellStyle name="40% - Accent2 2 7" xfId="11471"/>
    <cellStyle name="40% - Accent2 2 8" xfId="11655"/>
    <cellStyle name="40% - Accent2 2 9" xfId="11838"/>
    <cellStyle name="40% - Accent2 20" xfId="10807"/>
    <cellStyle name="40% - Accent2 20 10" xfId="20785"/>
    <cellStyle name="40% - Accent2 20 11" xfId="21623"/>
    <cellStyle name="40% - Accent2 20 12" xfId="22409"/>
    <cellStyle name="40% - Accent2 20 13" xfId="26315"/>
    <cellStyle name="40% - Accent2 20 14" xfId="29646"/>
    <cellStyle name="40% - Accent2 20 15" xfId="31421"/>
    <cellStyle name="40% - Accent2 20 16" xfId="33184"/>
    <cellStyle name="40% - Accent2 20 17" xfId="34902"/>
    <cellStyle name="40% - Accent2 20 18" xfId="36555"/>
    <cellStyle name="40% - Accent2 20 19" xfId="38129"/>
    <cellStyle name="40% - Accent2 20 2" xfId="13338"/>
    <cellStyle name="40% - Accent2 20 20" xfId="39582"/>
    <cellStyle name="40% - Accent2 20 21" xfId="40855"/>
    <cellStyle name="40% - Accent2 20 22" xfId="41934"/>
    <cellStyle name="40% - Accent2 20 3" xfId="14462"/>
    <cellStyle name="40% - Accent2 20 4" xfId="15391"/>
    <cellStyle name="40% - Accent2 20 5" xfId="16320"/>
    <cellStyle name="40% - Accent2 20 6" xfId="17250"/>
    <cellStyle name="40% - Accent2 20 7" xfId="18158"/>
    <cellStyle name="40% - Accent2 20 8" xfId="19048"/>
    <cellStyle name="40% - Accent2 20 9" xfId="19925"/>
    <cellStyle name="40% - Accent2 21" xfId="10458"/>
    <cellStyle name="40% - Accent2 21 10" xfId="20864"/>
    <cellStyle name="40% - Accent2 21 11" xfId="21703"/>
    <cellStyle name="40% - Accent2 21 12" xfId="22487"/>
    <cellStyle name="40% - Accent2 21 13" xfId="26948"/>
    <cellStyle name="40% - Accent2 21 14" xfId="30276"/>
    <cellStyle name="40% - Accent2 21 15" xfId="32051"/>
    <cellStyle name="40% - Accent2 21 16" xfId="33806"/>
    <cellStyle name="40% - Accent2 21 17" xfId="35519"/>
    <cellStyle name="40% - Accent2 21 18" xfId="37163"/>
    <cellStyle name="40% - Accent2 21 19" xfId="38719"/>
    <cellStyle name="40% - Accent2 21 2" xfId="13418"/>
    <cellStyle name="40% - Accent2 21 20" xfId="40153"/>
    <cellStyle name="40% - Accent2 21 21" xfId="41398"/>
    <cellStyle name="40% - Accent2 21 22" xfId="42448"/>
    <cellStyle name="40% - Accent2 21 3" xfId="14542"/>
    <cellStyle name="40% - Accent2 21 4" xfId="15469"/>
    <cellStyle name="40% - Accent2 21 5" xfId="16400"/>
    <cellStyle name="40% - Accent2 21 6" xfId="17330"/>
    <cellStyle name="40% - Accent2 21 7" xfId="18238"/>
    <cellStyle name="40% - Accent2 21 8" xfId="19128"/>
    <cellStyle name="40% - Accent2 21 9" xfId="20005"/>
    <cellStyle name="40% - Accent2 22" xfId="10433"/>
    <cellStyle name="40% - Accent2 22 10" xfId="20942"/>
    <cellStyle name="40% - Accent2 22 11" xfId="21783"/>
    <cellStyle name="40% - Accent2 22 12" xfId="22565"/>
    <cellStyle name="40% - Accent2 22 13" xfId="26964"/>
    <cellStyle name="40% - Accent2 22 14" xfId="30293"/>
    <cellStyle name="40% - Accent2 22 15" xfId="32068"/>
    <cellStyle name="40% - Accent2 22 16" xfId="33823"/>
    <cellStyle name="40% - Accent2 22 17" xfId="35536"/>
    <cellStyle name="40% - Accent2 22 18" xfId="37180"/>
    <cellStyle name="40% - Accent2 22 19" xfId="38736"/>
    <cellStyle name="40% - Accent2 22 2" xfId="13498"/>
    <cellStyle name="40% - Accent2 22 20" xfId="40170"/>
    <cellStyle name="40% - Accent2 22 21" xfId="41413"/>
    <cellStyle name="40% - Accent2 22 22" xfId="42462"/>
    <cellStyle name="40% - Accent2 22 3" xfId="14621"/>
    <cellStyle name="40% - Accent2 22 4" xfId="15549"/>
    <cellStyle name="40% - Accent2 22 5" xfId="16480"/>
    <cellStyle name="40% - Accent2 22 6" xfId="17410"/>
    <cellStyle name="40% - Accent2 22 7" xfId="18318"/>
    <cellStyle name="40% - Accent2 22 8" xfId="19208"/>
    <cellStyle name="40% - Accent2 22 9" xfId="20084"/>
    <cellStyle name="40% - Accent2 23" xfId="11319"/>
    <cellStyle name="40% - Accent2 23 10" xfId="21015"/>
    <cellStyle name="40% - Accent2 23 11" xfId="21854"/>
    <cellStyle name="40% - Accent2 23 12" xfId="22635"/>
    <cellStyle name="40% - Accent2 23 2" xfId="13578"/>
    <cellStyle name="40% - Accent2 23 3" xfId="14697"/>
    <cellStyle name="40% - Accent2 23 4" xfId="15626"/>
    <cellStyle name="40% - Accent2 23 5" xfId="16557"/>
    <cellStyle name="40% - Accent2 23 6" xfId="17485"/>
    <cellStyle name="40% - Accent2 23 7" xfId="18392"/>
    <cellStyle name="40% - Accent2 23 8" xfId="19280"/>
    <cellStyle name="40% - Accent2 23 9" xfId="20154"/>
    <cellStyle name="40% - Accent2 24" xfId="9493"/>
    <cellStyle name="40% - Accent2 24 10" xfId="21079"/>
    <cellStyle name="40% - Accent2 24 11" xfId="21914"/>
    <cellStyle name="40% - Accent2 24 12" xfId="22695"/>
    <cellStyle name="40% - Accent2 24 2" xfId="13658"/>
    <cellStyle name="40% - Accent2 24 3" xfId="14774"/>
    <cellStyle name="40% - Accent2 24 4" xfId="15699"/>
    <cellStyle name="40% - Accent2 24 5" xfId="16629"/>
    <cellStyle name="40% - Accent2 24 6" xfId="17560"/>
    <cellStyle name="40% - Accent2 24 7" xfId="18463"/>
    <cellStyle name="40% - Accent2 24 8" xfId="19347"/>
    <cellStyle name="40% - Accent2 24 9" xfId="20224"/>
    <cellStyle name="40% - Accent2 25" xfId="13730"/>
    <cellStyle name="40% - Accent2 26" xfId="13792"/>
    <cellStyle name="40% - Accent2 27" xfId="12511"/>
    <cellStyle name="40% - Accent2 28" xfId="14089"/>
    <cellStyle name="40% - Accent2 29" xfId="13875"/>
    <cellStyle name="40% - Accent2 3" xfId="8812"/>
    <cellStyle name="40% - Accent2 30" xfId="16026"/>
    <cellStyle name="40% - Accent2 31" xfId="16956"/>
    <cellStyle name="40% - Accent2 32" xfId="17864"/>
    <cellStyle name="40% - Accent2 33" xfId="18754"/>
    <cellStyle name="40% - Accent2 34" xfId="19552"/>
    <cellStyle name="40% - Accent2 35" xfId="20347"/>
    <cellStyle name="40% - Accent2 36" xfId="21329"/>
    <cellStyle name="40% - Accent2 37" xfId="22788"/>
    <cellStyle name="40% - Accent2 38" xfId="22929"/>
    <cellStyle name="40% - Accent2 39" xfId="29056"/>
    <cellStyle name="40% - Accent2 4" xfId="8908"/>
    <cellStyle name="40% - Accent2 40" xfId="30841"/>
    <cellStyle name="40% - Accent2 41" xfId="32614"/>
    <cellStyle name="40% - Accent2 42" xfId="34356"/>
    <cellStyle name="40% - Accent2 43" xfId="36046"/>
    <cellStyle name="40% - Accent2 44" xfId="37664"/>
    <cellStyle name="40% - Accent2 45" xfId="39182"/>
    <cellStyle name="40% - Accent2 46" xfId="40562"/>
    <cellStyle name="40% - Accent2 47" xfId="42585"/>
    <cellStyle name="40% - Accent2 48" xfId="42690"/>
    <cellStyle name="40% - Accent2 49" xfId="42735"/>
    <cellStyle name="40% - Accent2 5" xfId="8986"/>
    <cellStyle name="40% - Accent2 50" xfId="42777"/>
    <cellStyle name="40% - Accent2 51" xfId="42818"/>
    <cellStyle name="40% - Accent2 52" xfId="42859"/>
    <cellStyle name="40% - Accent2 53" xfId="42900"/>
    <cellStyle name="40% - Accent2 54" xfId="42940"/>
    <cellStyle name="40% - Accent2 55" xfId="42977"/>
    <cellStyle name="40% - Accent2 56" xfId="43014"/>
    <cellStyle name="40% - Accent2 57" xfId="43048"/>
    <cellStyle name="40% - Accent2 58" xfId="43081"/>
    <cellStyle name="40% - Accent2 59" xfId="43106"/>
    <cellStyle name="40% - Accent2 6" xfId="9061"/>
    <cellStyle name="40% - Accent2 60" xfId="43132"/>
    <cellStyle name="40% - Accent2 61" xfId="43192"/>
    <cellStyle name="40% - Accent2 62" xfId="8624"/>
    <cellStyle name="40% - Accent2 63" xfId="7683"/>
    <cellStyle name="40% - Accent2 64" xfId="3643"/>
    <cellStyle name="40% - Accent2 7" xfId="9122"/>
    <cellStyle name="40% - Accent2 8" xfId="9248"/>
    <cellStyle name="40% - Accent2 9" xfId="9740"/>
    <cellStyle name="40% - Accent3" xfId="29" builtinId="39" customBuiltin="1"/>
    <cellStyle name="40% - Accent3 10" xfId="9825"/>
    <cellStyle name="40% - Accent3 11" xfId="9906"/>
    <cellStyle name="40% - Accent3 11 10" xfId="37727"/>
    <cellStyle name="40% - Accent3 11 11" xfId="39235"/>
    <cellStyle name="40% - Accent3 11 2" xfId="24078"/>
    <cellStyle name="40% - Accent3 11 3" xfId="27490"/>
    <cellStyle name="40% - Accent3 11 4" xfId="23044"/>
    <cellStyle name="40% - Accent3 11 5" xfId="29139"/>
    <cellStyle name="40% - Accent3 11 6" xfId="30923"/>
    <cellStyle name="40% - Accent3 11 7" xfId="32694"/>
    <cellStyle name="40% - Accent3 11 8" xfId="34432"/>
    <cellStyle name="40% - Accent3 11 9" xfId="36114"/>
    <cellStyle name="40% - Accent3 12" xfId="9986"/>
    <cellStyle name="40% - Accent3 12 10" xfId="40880"/>
    <cellStyle name="40% - Accent3 12 11" xfId="41959"/>
    <cellStyle name="40% - Accent3 12 2" xfId="26341"/>
    <cellStyle name="40% - Accent3 12 3" xfId="29672"/>
    <cellStyle name="40% - Accent3 12 4" xfId="31447"/>
    <cellStyle name="40% - Accent3 12 5" xfId="33209"/>
    <cellStyle name="40% - Accent3 12 6" xfId="34927"/>
    <cellStyle name="40% - Accent3 12 7" xfId="36580"/>
    <cellStyle name="40% - Accent3 12 8" xfId="38154"/>
    <cellStyle name="40% - Accent3 12 9" xfId="39607"/>
    <cellStyle name="40% - Accent3 13" xfId="10066"/>
    <cellStyle name="40% - Accent3 13 10" xfId="41225"/>
    <cellStyle name="40% - Accent3 13 11" xfId="42281"/>
    <cellStyle name="40% - Accent3 13 2" xfId="26753"/>
    <cellStyle name="40% - Accent3 13 3" xfId="30082"/>
    <cellStyle name="40% - Accent3 13 4" xfId="31857"/>
    <cellStyle name="40% - Accent3 13 5" xfId="33613"/>
    <cellStyle name="40% - Accent3 13 6" xfId="35326"/>
    <cellStyle name="40% - Accent3 13 7" xfId="36972"/>
    <cellStyle name="40% - Accent3 13 8" xfId="38533"/>
    <cellStyle name="40% - Accent3 13 9" xfId="39972"/>
    <cellStyle name="40% - Accent3 14" xfId="10133"/>
    <cellStyle name="40% - Accent3 14 10" xfId="40979"/>
    <cellStyle name="40% - Accent3 14 11" xfId="42053"/>
    <cellStyle name="40% - Accent3 14 2" xfId="26459"/>
    <cellStyle name="40% - Accent3 14 3" xfId="29790"/>
    <cellStyle name="40% - Accent3 14 4" xfId="31565"/>
    <cellStyle name="40% - Accent3 14 5" xfId="33324"/>
    <cellStyle name="40% - Accent3 14 6" xfId="35041"/>
    <cellStyle name="40% - Accent3 14 7" xfId="36692"/>
    <cellStyle name="40% - Accent3 14 8" xfId="38261"/>
    <cellStyle name="40% - Accent3 14 9" xfId="39711"/>
    <cellStyle name="40% - Accent3 15" xfId="9499"/>
    <cellStyle name="40% - Accent3 15 10" xfId="20388"/>
    <cellStyle name="40% - Accent3 15 11" xfId="21226"/>
    <cellStyle name="40% - Accent3 15 12" xfId="22028"/>
    <cellStyle name="40% - Accent3 15 13" xfId="26869"/>
    <cellStyle name="40% - Accent3 15 14" xfId="30197"/>
    <cellStyle name="40% - Accent3 15 15" xfId="31972"/>
    <cellStyle name="40% - Accent3 15 16" xfId="33727"/>
    <cellStyle name="40% - Accent3 15 17" xfId="35440"/>
    <cellStyle name="40% - Accent3 15 18" xfId="37085"/>
    <cellStyle name="40% - Accent3 15 19" xfId="38641"/>
    <cellStyle name="40% - Accent3 15 2" xfId="12937"/>
    <cellStyle name="40% - Accent3 15 20" xfId="40075"/>
    <cellStyle name="40% - Accent3 15 21" xfId="41322"/>
    <cellStyle name="40% - Accent3 15 22" xfId="42373"/>
    <cellStyle name="40% - Accent3 15 3" xfId="14065"/>
    <cellStyle name="40% - Accent3 15 4" xfId="14994"/>
    <cellStyle name="40% - Accent3 15 5" xfId="15923"/>
    <cellStyle name="40% - Accent3 15 6" xfId="16852"/>
    <cellStyle name="40% - Accent3 15 7" xfId="17761"/>
    <cellStyle name="40% - Accent3 15 8" xfId="18650"/>
    <cellStyle name="40% - Accent3 15 9" xfId="19529"/>
    <cellStyle name="40% - Accent3 16" xfId="10242"/>
    <cellStyle name="40% - Accent3 16 10" xfId="20465"/>
    <cellStyle name="40% - Accent3 16 11" xfId="21301"/>
    <cellStyle name="40% - Accent3 16 12" xfId="22098"/>
    <cellStyle name="40% - Accent3 16 13" xfId="26329"/>
    <cellStyle name="40% - Accent3 16 14" xfId="29660"/>
    <cellStyle name="40% - Accent3 16 15" xfId="31435"/>
    <cellStyle name="40% - Accent3 16 16" xfId="33197"/>
    <cellStyle name="40% - Accent3 16 17" xfId="34915"/>
    <cellStyle name="40% - Accent3 16 18" xfId="36568"/>
    <cellStyle name="40% - Accent3 16 19" xfId="38142"/>
    <cellStyle name="40% - Accent3 16 2" xfId="13015"/>
    <cellStyle name="40% - Accent3 16 20" xfId="39595"/>
    <cellStyle name="40% - Accent3 16 21" xfId="40868"/>
    <cellStyle name="40% - Accent3 16 22" xfId="41947"/>
    <cellStyle name="40% - Accent3 16 3" xfId="14141"/>
    <cellStyle name="40% - Accent3 16 4" xfId="15071"/>
    <cellStyle name="40% - Accent3 16 5" xfId="15998"/>
    <cellStyle name="40% - Accent3 16 6" xfId="16928"/>
    <cellStyle name="40% - Accent3 16 7" xfId="17836"/>
    <cellStyle name="40% - Accent3 16 8" xfId="18726"/>
    <cellStyle name="40% - Accent3 16 9" xfId="19604"/>
    <cellStyle name="40% - Accent3 17" xfId="10555"/>
    <cellStyle name="40% - Accent3 17 10" xfId="20547"/>
    <cellStyle name="40% - Accent3 17 11" xfId="21383"/>
    <cellStyle name="40% - Accent3 17 12" xfId="22177"/>
    <cellStyle name="40% - Accent3 17 13" xfId="26915"/>
    <cellStyle name="40% - Accent3 17 14" xfId="30243"/>
    <cellStyle name="40% - Accent3 17 15" xfId="32018"/>
    <cellStyle name="40% - Accent3 17 16" xfId="33773"/>
    <cellStyle name="40% - Accent3 17 17" xfId="35486"/>
    <cellStyle name="40% - Accent3 17 18" xfId="37130"/>
    <cellStyle name="40% - Accent3 17 19" xfId="38686"/>
    <cellStyle name="40% - Accent3 17 2" xfId="13097"/>
    <cellStyle name="40% - Accent3 17 20" xfId="40120"/>
    <cellStyle name="40% - Accent3 17 21" xfId="41367"/>
    <cellStyle name="40% - Accent3 17 22" xfId="42418"/>
    <cellStyle name="40% - Accent3 17 3" xfId="14223"/>
    <cellStyle name="40% - Accent3 17 4" xfId="15152"/>
    <cellStyle name="40% - Accent3 17 5" xfId="16080"/>
    <cellStyle name="40% - Accent3 17 6" xfId="17010"/>
    <cellStyle name="40% - Accent3 17 7" xfId="17918"/>
    <cellStyle name="40% - Accent3 17 8" xfId="18808"/>
    <cellStyle name="40% - Accent3 17 9" xfId="19686"/>
    <cellStyle name="40% - Accent3 18" xfId="11043"/>
    <cellStyle name="40% - Accent3 18 10" xfId="20626"/>
    <cellStyle name="40% - Accent3 18 11" xfId="21463"/>
    <cellStyle name="40% - Accent3 18 12" xfId="22254"/>
    <cellStyle name="40% - Accent3 18 13" xfId="26447"/>
    <cellStyle name="40% - Accent3 18 14" xfId="29778"/>
    <cellStyle name="40% - Accent3 18 15" xfId="31553"/>
    <cellStyle name="40% - Accent3 18 16" xfId="33312"/>
    <cellStyle name="40% - Accent3 18 17" xfId="35029"/>
    <cellStyle name="40% - Accent3 18 18" xfId="36680"/>
    <cellStyle name="40% - Accent3 18 19" xfId="38249"/>
    <cellStyle name="40% - Accent3 18 2" xfId="13177"/>
    <cellStyle name="40% - Accent3 18 20" xfId="39699"/>
    <cellStyle name="40% - Accent3 18 21" xfId="40967"/>
    <cellStyle name="40% - Accent3 18 22" xfId="42041"/>
    <cellStyle name="40% - Accent3 18 3" xfId="14303"/>
    <cellStyle name="40% - Accent3 18 4" xfId="15231"/>
    <cellStyle name="40% - Accent3 18 5" xfId="16160"/>
    <cellStyle name="40% - Accent3 18 6" xfId="17090"/>
    <cellStyle name="40% - Accent3 18 7" xfId="17998"/>
    <cellStyle name="40% - Accent3 18 8" xfId="18888"/>
    <cellStyle name="40% - Accent3 18 9" xfId="19766"/>
    <cellStyle name="40% - Accent3 19" xfId="11103"/>
    <cellStyle name="40% - Accent3 19 10" xfId="20703"/>
    <cellStyle name="40% - Accent3 19 11" xfId="21541"/>
    <cellStyle name="40% - Accent3 19 12" xfId="22329"/>
    <cellStyle name="40% - Accent3 19 13" xfId="26681"/>
    <cellStyle name="40% - Accent3 19 14" xfId="30010"/>
    <cellStyle name="40% - Accent3 19 15" xfId="31785"/>
    <cellStyle name="40% - Accent3 19 16" xfId="33543"/>
    <cellStyle name="40% - Accent3 19 17" xfId="35257"/>
    <cellStyle name="40% - Accent3 19 18" xfId="36904"/>
    <cellStyle name="40% - Accent3 19 19" xfId="38467"/>
    <cellStyle name="40% - Accent3 19 2" xfId="13255"/>
    <cellStyle name="40% - Accent3 19 20" xfId="39908"/>
    <cellStyle name="40% - Accent3 19 21" xfId="41162"/>
    <cellStyle name="40% - Accent3 19 22" xfId="42222"/>
    <cellStyle name="40% - Accent3 19 3" xfId="14380"/>
    <cellStyle name="40% - Accent3 19 4" xfId="15308"/>
    <cellStyle name="40% - Accent3 19 5" xfId="16238"/>
    <cellStyle name="40% - Accent3 19 6" xfId="17168"/>
    <cellStyle name="40% - Accent3 19 7" xfId="18076"/>
    <cellStyle name="40% - Accent3 19 8" xfId="18966"/>
    <cellStyle name="40% - Accent3 19 9" xfId="19843"/>
    <cellStyle name="40% - Accent3 2" xfId="3958"/>
    <cellStyle name="40% - Accent3 2 10" xfId="9494"/>
    <cellStyle name="40% - Accent3 2 11" xfId="11624"/>
    <cellStyle name="40% - Accent3 2 12" xfId="11586"/>
    <cellStyle name="40% - Accent3 2 13" xfId="10404"/>
    <cellStyle name="40% - Accent3 2 14" xfId="12482"/>
    <cellStyle name="40% - Accent3 2 15" xfId="13964"/>
    <cellStyle name="40% - Accent3 2 16" xfId="12841"/>
    <cellStyle name="40% - Accent3 2 17" xfId="11300"/>
    <cellStyle name="40% - Accent3 2 18" xfId="12047"/>
    <cellStyle name="40% - Accent3 2 19" xfId="11082"/>
    <cellStyle name="40% - Accent3 2 2" xfId="9361"/>
    <cellStyle name="40% - Accent3 2 2 2" xfId="9551"/>
    <cellStyle name="40% - Accent3 2 20" xfId="18496"/>
    <cellStyle name="40% - Accent3 2 21" xfId="13954"/>
    <cellStyle name="40% - Accent3 2 22" xfId="17635"/>
    <cellStyle name="40% - Accent3 2 23" xfId="22992"/>
    <cellStyle name="40% - Accent3 2 24" xfId="23160"/>
    <cellStyle name="40% - Accent3 2 25" xfId="28760"/>
    <cellStyle name="40% - Accent3 2 26" xfId="30548"/>
    <cellStyle name="40% - Accent3 2 27" xfId="32323"/>
    <cellStyle name="40% - Accent3 2 28" xfId="34075"/>
    <cellStyle name="40% - Accent3 2 29" xfId="35785"/>
    <cellStyle name="40% - Accent3 2 3" xfId="10309"/>
    <cellStyle name="40% - Accent3 2 30" xfId="37422"/>
    <cellStyle name="40% - Accent3 2 31" xfId="38971"/>
    <cellStyle name="40% - Accent3 2 32" xfId="40390"/>
    <cellStyle name="40% - Accent3 2 33" xfId="8699"/>
    <cellStyle name="40% - Accent3 2 4" xfId="10699"/>
    <cellStyle name="40% - Accent3 2 5" xfId="10325"/>
    <cellStyle name="40% - Accent3 2 6" xfId="10619"/>
    <cellStyle name="40% - Accent3 2 7" xfId="10575"/>
    <cellStyle name="40% - Accent3 2 8" xfId="10507"/>
    <cellStyle name="40% - Accent3 2 9" xfId="11049"/>
    <cellStyle name="40% - Accent3 20" xfId="11297"/>
    <cellStyle name="40% - Accent3 20 10" xfId="20784"/>
    <cellStyle name="40% - Accent3 20 11" xfId="21622"/>
    <cellStyle name="40% - Accent3 20 12" xfId="22408"/>
    <cellStyle name="40% - Accent3 20 13" xfId="26316"/>
    <cellStyle name="40% - Accent3 20 14" xfId="29647"/>
    <cellStyle name="40% - Accent3 20 15" xfId="31422"/>
    <cellStyle name="40% - Accent3 20 16" xfId="33185"/>
    <cellStyle name="40% - Accent3 20 17" xfId="34903"/>
    <cellStyle name="40% - Accent3 20 18" xfId="36556"/>
    <cellStyle name="40% - Accent3 20 19" xfId="38130"/>
    <cellStyle name="40% - Accent3 20 2" xfId="13337"/>
    <cellStyle name="40% - Accent3 20 20" xfId="39583"/>
    <cellStyle name="40% - Accent3 20 21" xfId="40856"/>
    <cellStyle name="40% - Accent3 20 22" xfId="41935"/>
    <cellStyle name="40% - Accent3 20 3" xfId="14461"/>
    <cellStyle name="40% - Accent3 20 4" xfId="15390"/>
    <cellStyle name="40% - Accent3 20 5" xfId="16319"/>
    <cellStyle name="40% - Accent3 20 6" xfId="17249"/>
    <cellStyle name="40% - Accent3 20 7" xfId="18157"/>
    <cellStyle name="40% - Accent3 20 8" xfId="19047"/>
    <cellStyle name="40% - Accent3 20 9" xfId="19924"/>
    <cellStyle name="40% - Accent3 21" xfId="11489"/>
    <cellStyle name="40% - Accent3 21 10" xfId="20863"/>
    <cellStyle name="40% - Accent3 21 11" xfId="21702"/>
    <cellStyle name="40% - Accent3 21 12" xfId="22486"/>
    <cellStyle name="40% - Accent3 21 13" xfId="26927"/>
    <cellStyle name="40% - Accent3 21 14" xfId="30255"/>
    <cellStyle name="40% - Accent3 21 15" xfId="32030"/>
    <cellStyle name="40% - Accent3 21 16" xfId="33785"/>
    <cellStyle name="40% - Accent3 21 17" xfId="35498"/>
    <cellStyle name="40% - Accent3 21 18" xfId="37142"/>
    <cellStyle name="40% - Accent3 21 19" xfId="38698"/>
    <cellStyle name="40% - Accent3 21 2" xfId="13417"/>
    <cellStyle name="40% - Accent3 21 20" xfId="40132"/>
    <cellStyle name="40% - Accent3 21 21" xfId="41379"/>
    <cellStyle name="40% - Accent3 21 22" xfId="42430"/>
    <cellStyle name="40% - Accent3 21 3" xfId="14541"/>
    <cellStyle name="40% - Accent3 21 4" xfId="15468"/>
    <cellStyle name="40% - Accent3 21 5" xfId="16399"/>
    <cellStyle name="40% - Accent3 21 6" xfId="17329"/>
    <cellStyle name="40% - Accent3 21 7" xfId="18237"/>
    <cellStyle name="40% - Accent3 21 8" xfId="19127"/>
    <cellStyle name="40% - Accent3 21 9" xfId="20004"/>
    <cellStyle name="40% - Accent3 22" xfId="11835"/>
    <cellStyle name="40% - Accent3 22 10" xfId="20941"/>
    <cellStyle name="40% - Accent3 22 11" xfId="21782"/>
    <cellStyle name="40% - Accent3 22 12" xfId="22564"/>
    <cellStyle name="40% - Accent3 22 13" xfId="24873"/>
    <cellStyle name="40% - Accent3 22 14" xfId="28261"/>
    <cellStyle name="40% - Accent3 22 15" xfId="27514"/>
    <cellStyle name="40% - Accent3 22 16" xfId="23152"/>
    <cellStyle name="40% - Accent3 22 17" xfId="28972"/>
    <cellStyle name="40% - Accent3 22 18" xfId="30758"/>
    <cellStyle name="40% - Accent3 22 19" xfId="32531"/>
    <cellStyle name="40% - Accent3 22 2" xfId="13497"/>
    <cellStyle name="40% - Accent3 22 20" xfId="34274"/>
    <cellStyle name="40% - Accent3 22 21" xfId="35970"/>
    <cellStyle name="40% - Accent3 22 22" xfId="37593"/>
    <cellStyle name="40% - Accent3 22 3" xfId="14620"/>
    <cellStyle name="40% - Accent3 22 4" xfId="15548"/>
    <cellStyle name="40% - Accent3 22 5" xfId="16479"/>
    <cellStyle name="40% - Accent3 22 6" xfId="17409"/>
    <cellStyle name="40% - Accent3 22 7" xfId="18317"/>
    <cellStyle name="40% - Accent3 22 8" xfId="19207"/>
    <cellStyle name="40% - Accent3 22 9" xfId="20083"/>
    <cellStyle name="40% - Accent3 23" xfId="12050"/>
    <cellStyle name="40% - Accent3 23 10" xfId="21014"/>
    <cellStyle name="40% - Accent3 23 11" xfId="21853"/>
    <cellStyle name="40% - Accent3 23 12" xfId="22634"/>
    <cellStyle name="40% - Accent3 23 2" xfId="13577"/>
    <cellStyle name="40% - Accent3 23 3" xfId="14696"/>
    <cellStyle name="40% - Accent3 23 4" xfId="15625"/>
    <cellStyle name="40% - Accent3 23 5" xfId="16556"/>
    <cellStyle name="40% - Accent3 23 6" xfId="17484"/>
    <cellStyle name="40% - Accent3 23 7" xfId="18391"/>
    <cellStyle name="40% - Accent3 23 8" xfId="19279"/>
    <cellStyle name="40% - Accent3 23 9" xfId="20153"/>
    <cellStyle name="40% - Accent3 24" xfId="11097"/>
    <cellStyle name="40% - Accent3 24 10" xfId="21078"/>
    <cellStyle name="40% - Accent3 24 11" xfId="21913"/>
    <cellStyle name="40% - Accent3 24 12" xfId="22694"/>
    <cellStyle name="40% - Accent3 24 2" xfId="13657"/>
    <cellStyle name="40% - Accent3 24 3" xfId="14773"/>
    <cellStyle name="40% - Accent3 24 4" xfId="15698"/>
    <cellStyle name="40% - Accent3 24 5" xfId="16628"/>
    <cellStyle name="40% - Accent3 24 6" xfId="17559"/>
    <cellStyle name="40% - Accent3 24 7" xfId="18462"/>
    <cellStyle name="40% - Accent3 24 8" xfId="19346"/>
    <cellStyle name="40% - Accent3 24 9" xfId="20223"/>
    <cellStyle name="40% - Accent3 25" xfId="13729"/>
    <cellStyle name="40% - Accent3 26" xfId="13791"/>
    <cellStyle name="40% - Accent3 27" xfId="11672"/>
    <cellStyle name="40% - Accent3 28" xfId="14018"/>
    <cellStyle name="40% - Accent3 29" xfId="14877"/>
    <cellStyle name="40% - Accent3 3" xfId="8811"/>
    <cellStyle name="40% - Accent3 30" xfId="15946"/>
    <cellStyle name="40% - Accent3 31" xfId="16876"/>
    <cellStyle name="40% - Accent3 32" xfId="17784"/>
    <cellStyle name="40% - Accent3 33" xfId="18674"/>
    <cellStyle name="40% - Accent3 34" xfId="19488"/>
    <cellStyle name="40% - Accent3 35" xfId="12711"/>
    <cellStyle name="40% - Accent3 36" xfId="21249"/>
    <cellStyle name="40% - Accent3 37" xfId="22789"/>
    <cellStyle name="40% - Accent3 38" xfId="22928"/>
    <cellStyle name="40% - Accent3 39" xfId="29055"/>
    <cellStyle name="40% - Accent3 4" xfId="8907"/>
    <cellStyle name="40% - Accent3 40" xfId="30840"/>
    <cellStyle name="40% - Accent3 41" xfId="32613"/>
    <cellStyle name="40% - Accent3 42" xfId="34355"/>
    <cellStyle name="40% - Accent3 43" xfId="36045"/>
    <cellStyle name="40% - Accent3 44" xfId="37663"/>
    <cellStyle name="40% - Accent3 45" xfId="39181"/>
    <cellStyle name="40% - Accent3 46" xfId="40561"/>
    <cellStyle name="40% - Accent3 47" xfId="42586"/>
    <cellStyle name="40% - Accent3 48" xfId="42687"/>
    <cellStyle name="40% - Accent3 49" xfId="42734"/>
    <cellStyle name="40% - Accent3 5" xfId="8985"/>
    <cellStyle name="40% - Accent3 50" xfId="42776"/>
    <cellStyle name="40% - Accent3 51" xfId="42817"/>
    <cellStyle name="40% - Accent3 52" xfId="42858"/>
    <cellStyle name="40% - Accent3 53" xfId="42899"/>
    <cellStyle name="40% - Accent3 54" xfId="42939"/>
    <cellStyle name="40% - Accent3 55" xfId="42976"/>
    <cellStyle name="40% - Accent3 56" xfId="43013"/>
    <cellStyle name="40% - Accent3 57" xfId="43047"/>
    <cellStyle name="40% - Accent3 58" xfId="43080"/>
    <cellStyle name="40% - Accent3 59" xfId="43105"/>
    <cellStyle name="40% - Accent3 6" xfId="9060"/>
    <cellStyle name="40% - Accent3 60" xfId="43133"/>
    <cellStyle name="40% - Accent3 61" xfId="43189"/>
    <cellStyle name="40% - Accent3 62" xfId="8625"/>
    <cellStyle name="40% - Accent3 63" xfId="7684"/>
    <cellStyle name="40% - Accent3 64" xfId="3644"/>
    <cellStyle name="40% - Accent3 7" xfId="9121"/>
    <cellStyle name="40% - Accent3 8" xfId="9249"/>
    <cellStyle name="40% - Accent3 9" xfId="9739"/>
    <cellStyle name="40% - Accent4" xfId="33" builtinId="43" customBuiltin="1"/>
    <cellStyle name="40% - Accent4 10" xfId="9824"/>
    <cellStyle name="40% - Accent4 11" xfId="9905"/>
    <cellStyle name="40% - Accent4 11 10" xfId="37844"/>
    <cellStyle name="40% - Accent4 11 11" xfId="39333"/>
    <cellStyle name="40% - Accent4 11 2" xfId="24079"/>
    <cellStyle name="40% - Accent4 11 3" xfId="27491"/>
    <cellStyle name="40% - Accent4 11 4" xfId="23117"/>
    <cellStyle name="40% - Accent4 11 5" xfId="29288"/>
    <cellStyle name="40% - Accent4 11 6" xfId="31070"/>
    <cellStyle name="40% - Accent4 11 7" xfId="32839"/>
    <cellStyle name="40% - Accent4 11 8" xfId="34571"/>
    <cellStyle name="40% - Accent4 11 9" xfId="36243"/>
    <cellStyle name="40% - Accent4 12" xfId="9981"/>
    <cellStyle name="40% - Accent4 12 10" xfId="40881"/>
    <cellStyle name="40% - Accent4 12 11" xfId="41960"/>
    <cellStyle name="40% - Accent4 12 2" xfId="26342"/>
    <cellStyle name="40% - Accent4 12 3" xfId="29673"/>
    <cellStyle name="40% - Accent4 12 4" xfId="31448"/>
    <cellStyle name="40% - Accent4 12 5" xfId="33210"/>
    <cellStyle name="40% - Accent4 12 6" xfId="34928"/>
    <cellStyle name="40% - Accent4 12 7" xfId="36581"/>
    <cellStyle name="40% - Accent4 12 8" xfId="38155"/>
    <cellStyle name="40% - Accent4 12 9" xfId="39608"/>
    <cellStyle name="40% - Accent4 13" xfId="10061"/>
    <cellStyle name="40% - Accent4 13 10" xfId="41224"/>
    <cellStyle name="40% - Accent4 13 11" xfId="42280"/>
    <cellStyle name="40% - Accent4 13 2" xfId="26752"/>
    <cellStyle name="40% - Accent4 13 3" xfId="30081"/>
    <cellStyle name="40% - Accent4 13 4" xfId="31856"/>
    <cellStyle name="40% - Accent4 13 5" xfId="33612"/>
    <cellStyle name="40% - Accent4 13 6" xfId="35325"/>
    <cellStyle name="40% - Accent4 13 7" xfId="36971"/>
    <cellStyle name="40% - Accent4 13 8" xfId="38532"/>
    <cellStyle name="40% - Accent4 13 9" xfId="39971"/>
    <cellStyle name="40% - Accent4 14" xfId="10128"/>
    <cellStyle name="40% - Accent4 14 10" xfId="40980"/>
    <cellStyle name="40% - Accent4 14 11" xfId="42054"/>
    <cellStyle name="40% - Accent4 14 2" xfId="26460"/>
    <cellStyle name="40% - Accent4 14 3" xfId="29791"/>
    <cellStyle name="40% - Accent4 14 4" xfId="31566"/>
    <cellStyle name="40% - Accent4 14 5" xfId="33325"/>
    <cellStyle name="40% - Accent4 14 6" xfId="35042"/>
    <cellStyle name="40% - Accent4 14 7" xfId="36693"/>
    <cellStyle name="40% - Accent4 14 8" xfId="38262"/>
    <cellStyle name="40% - Accent4 14 9" xfId="39712"/>
    <cellStyle name="40% - Accent4 15" xfId="9498"/>
    <cellStyle name="40% - Accent4 15 10" xfId="20386"/>
    <cellStyle name="40% - Accent4 15 11" xfId="21224"/>
    <cellStyle name="40% - Accent4 15 12" xfId="22027"/>
    <cellStyle name="40% - Accent4 15 13" xfId="26868"/>
    <cellStyle name="40% - Accent4 15 14" xfId="30196"/>
    <cellStyle name="40% - Accent4 15 15" xfId="31971"/>
    <cellStyle name="40% - Accent4 15 16" xfId="33726"/>
    <cellStyle name="40% - Accent4 15 17" xfId="35439"/>
    <cellStyle name="40% - Accent4 15 18" xfId="37084"/>
    <cellStyle name="40% - Accent4 15 19" xfId="38640"/>
    <cellStyle name="40% - Accent4 15 2" xfId="12936"/>
    <cellStyle name="40% - Accent4 15 20" xfId="40074"/>
    <cellStyle name="40% - Accent4 15 21" xfId="41321"/>
    <cellStyle name="40% - Accent4 15 22" xfId="42372"/>
    <cellStyle name="40% - Accent4 15 3" xfId="14063"/>
    <cellStyle name="40% - Accent4 15 4" xfId="14992"/>
    <cellStyle name="40% - Accent4 15 5" xfId="15921"/>
    <cellStyle name="40% - Accent4 15 6" xfId="16850"/>
    <cellStyle name="40% - Accent4 15 7" xfId="17759"/>
    <cellStyle name="40% - Accent4 15 8" xfId="18648"/>
    <cellStyle name="40% - Accent4 15 9" xfId="19527"/>
    <cellStyle name="40% - Accent4 16" xfId="10241"/>
    <cellStyle name="40% - Accent4 16 10" xfId="20464"/>
    <cellStyle name="40% - Accent4 16 11" xfId="21300"/>
    <cellStyle name="40% - Accent4 16 12" xfId="22097"/>
    <cellStyle name="40% - Accent4 16 13" xfId="26330"/>
    <cellStyle name="40% - Accent4 16 14" xfId="29661"/>
    <cellStyle name="40% - Accent4 16 15" xfId="31436"/>
    <cellStyle name="40% - Accent4 16 16" xfId="33198"/>
    <cellStyle name="40% - Accent4 16 17" xfId="34916"/>
    <cellStyle name="40% - Accent4 16 18" xfId="36569"/>
    <cellStyle name="40% - Accent4 16 19" xfId="38143"/>
    <cellStyle name="40% - Accent4 16 2" xfId="13014"/>
    <cellStyle name="40% - Accent4 16 20" xfId="39596"/>
    <cellStyle name="40% - Accent4 16 21" xfId="40869"/>
    <cellStyle name="40% - Accent4 16 22" xfId="41948"/>
    <cellStyle name="40% - Accent4 16 3" xfId="14140"/>
    <cellStyle name="40% - Accent4 16 4" xfId="15070"/>
    <cellStyle name="40% - Accent4 16 5" xfId="15997"/>
    <cellStyle name="40% - Accent4 16 6" xfId="16927"/>
    <cellStyle name="40% - Accent4 16 7" xfId="17835"/>
    <cellStyle name="40% - Accent4 16 8" xfId="18725"/>
    <cellStyle name="40% - Accent4 16 9" xfId="19603"/>
    <cellStyle name="40% - Accent4 17" xfId="10631"/>
    <cellStyle name="40% - Accent4 17 10" xfId="20545"/>
    <cellStyle name="40% - Accent4 17 11" xfId="21381"/>
    <cellStyle name="40% - Accent4 17 12" xfId="22175"/>
    <cellStyle name="40% - Accent4 17 13" xfId="26914"/>
    <cellStyle name="40% - Accent4 17 14" xfId="30242"/>
    <cellStyle name="40% - Accent4 17 15" xfId="32017"/>
    <cellStyle name="40% - Accent4 17 16" xfId="33772"/>
    <cellStyle name="40% - Accent4 17 17" xfId="35485"/>
    <cellStyle name="40% - Accent4 17 18" xfId="37129"/>
    <cellStyle name="40% - Accent4 17 19" xfId="38685"/>
    <cellStyle name="40% - Accent4 17 2" xfId="13095"/>
    <cellStyle name="40% - Accent4 17 20" xfId="40119"/>
    <cellStyle name="40% - Accent4 17 21" xfId="41366"/>
    <cellStyle name="40% - Accent4 17 22" xfId="42417"/>
    <cellStyle name="40% - Accent4 17 3" xfId="14221"/>
    <cellStyle name="40% - Accent4 17 4" xfId="15150"/>
    <cellStyle name="40% - Accent4 17 5" xfId="16078"/>
    <cellStyle name="40% - Accent4 17 6" xfId="17008"/>
    <cellStyle name="40% - Accent4 17 7" xfId="17916"/>
    <cellStyle name="40% - Accent4 17 8" xfId="18806"/>
    <cellStyle name="40% - Accent4 17 9" xfId="19684"/>
    <cellStyle name="40% - Accent4 18" xfId="10570"/>
    <cellStyle name="40% - Accent4 18 10" xfId="20624"/>
    <cellStyle name="40% - Accent4 18 11" xfId="21461"/>
    <cellStyle name="40% - Accent4 18 12" xfId="22252"/>
    <cellStyle name="40% - Accent4 18 13" xfId="26448"/>
    <cellStyle name="40% - Accent4 18 14" xfId="29779"/>
    <cellStyle name="40% - Accent4 18 15" xfId="31554"/>
    <cellStyle name="40% - Accent4 18 16" xfId="33313"/>
    <cellStyle name="40% - Accent4 18 17" xfId="35030"/>
    <cellStyle name="40% - Accent4 18 18" xfId="36681"/>
    <cellStyle name="40% - Accent4 18 19" xfId="38250"/>
    <cellStyle name="40% - Accent4 18 2" xfId="13175"/>
    <cellStyle name="40% - Accent4 18 20" xfId="39700"/>
    <cellStyle name="40% - Accent4 18 21" xfId="40968"/>
    <cellStyle name="40% - Accent4 18 22" xfId="42042"/>
    <cellStyle name="40% - Accent4 18 3" xfId="14301"/>
    <cellStyle name="40% - Accent4 18 4" xfId="15229"/>
    <cellStyle name="40% - Accent4 18 5" xfId="16158"/>
    <cellStyle name="40% - Accent4 18 6" xfId="17088"/>
    <cellStyle name="40% - Accent4 18 7" xfId="17996"/>
    <cellStyle name="40% - Accent4 18 8" xfId="18886"/>
    <cellStyle name="40% - Accent4 18 9" xfId="19764"/>
    <cellStyle name="40% - Accent4 19" xfId="9338"/>
    <cellStyle name="40% - Accent4 19 10" xfId="20702"/>
    <cellStyle name="40% - Accent4 19 11" xfId="21540"/>
    <cellStyle name="40% - Accent4 19 12" xfId="22328"/>
    <cellStyle name="40% - Accent4 19 13" xfId="26680"/>
    <cellStyle name="40% - Accent4 19 14" xfId="30009"/>
    <cellStyle name="40% - Accent4 19 15" xfId="31784"/>
    <cellStyle name="40% - Accent4 19 16" xfId="33542"/>
    <cellStyle name="40% - Accent4 19 17" xfId="35256"/>
    <cellStyle name="40% - Accent4 19 18" xfId="36903"/>
    <cellStyle name="40% - Accent4 19 19" xfId="38466"/>
    <cellStyle name="40% - Accent4 19 2" xfId="13254"/>
    <cellStyle name="40% - Accent4 19 20" xfId="39907"/>
    <cellStyle name="40% - Accent4 19 21" xfId="41161"/>
    <cellStyle name="40% - Accent4 19 22" xfId="42221"/>
    <cellStyle name="40% - Accent4 19 3" xfId="14379"/>
    <cellStyle name="40% - Accent4 19 4" xfId="15307"/>
    <cellStyle name="40% - Accent4 19 5" xfId="16237"/>
    <cellStyle name="40% - Accent4 19 6" xfId="17167"/>
    <cellStyle name="40% - Accent4 19 7" xfId="18075"/>
    <cellStyle name="40% - Accent4 19 8" xfId="18965"/>
    <cellStyle name="40% - Accent4 19 9" xfId="19842"/>
    <cellStyle name="40% - Accent4 2" xfId="3959"/>
    <cellStyle name="40% - Accent4 2 10" xfId="11920"/>
    <cellStyle name="40% - Accent4 2 11" xfId="11756"/>
    <cellStyle name="40% - Accent4 2 12" xfId="12531"/>
    <cellStyle name="40% - Accent4 2 13" xfId="12301"/>
    <cellStyle name="40% - Accent4 2 14" xfId="12843"/>
    <cellStyle name="40% - Accent4 2 15" xfId="11731"/>
    <cellStyle name="40% - Accent4 2 16" xfId="12852"/>
    <cellStyle name="40% - Accent4 2 17" xfId="12087"/>
    <cellStyle name="40% - Accent4 2 18" xfId="16665"/>
    <cellStyle name="40% - Accent4 2 19" xfId="17592"/>
    <cellStyle name="40% - Accent4 2 2" xfId="9362"/>
    <cellStyle name="40% - Accent4 2 2 2" xfId="9552"/>
    <cellStyle name="40% - Accent4 2 20" xfId="18480"/>
    <cellStyle name="40% - Accent4 2 21" xfId="16817"/>
    <cellStyle name="40% - Accent4 2 22" xfId="15791"/>
    <cellStyle name="40% - Accent4 2 23" xfId="22993"/>
    <cellStyle name="40% - Accent4 2 24" xfId="23077"/>
    <cellStyle name="40% - Accent4 2 25" xfId="28759"/>
    <cellStyle name="40% - Accent4 2 26" xfId="30547"/>
    <cellStyle name="40% - Accent4 2 27" xfId="32322"/>
    <cellStyle name="40% - Accent4 2 28" xfId="34074"/>
    <cellStyle name="40% - Accent4 2 29" xfId="35784"/>
    <cellStyle name="40% - Accent4 2 3" xfId="10310"/>
    <cellStyle name="40% - Accent4 2 30" xfId="37421"/>
    <cellStyle name="40% - Accent4 2 31" xfId="38970"/>
    <cellStyle name="40% - Accent4 2 32" xfId="40389"/>
    <cellStyle name="40% - Accent4 2 33" xfId="8700"/>
    <cellStyle name="40% - Accent4 2 4" xfId="10625"/>
    <cellStyle name="40% - Accent4 2 5" xfId="11032"/>
    <cellStyle name="40% - Accent4 2 6" xfId="10432"/>
    <cellStyle name="40% - Accent4 2 7" xfId="11194"/>
    <cellStyle name="40% - Accent4 2 8" xfId="11387"/>
    <cellStyle name="40% - Accent4 2 9" xfId="11575"/>
    <cellStyle name="40% - Accent4 20" xfId="10867"/>
    <cellStyle name="40% - Accent4 20 10" xfId="20782"/>
    <cellStyle name="40% - Accent4 20 11" xfId="21620"/>
    <cellStyle name="40% - Accent4 20 12" xfId="22406"/>
    <cellStyle name="40% - Accent4 20 13" xfId="26317"/>
    <cellStyle name="40% - Accent4 20 14" xfId="29648"/>
    <cellStyle name="40% - Accent4 20 15" xfId="31423"/>
    <cellStyle name="40% - Accent4 20 16" xfId="33186"/>
    <cellStyle name="40% - Accent4 20 17" xfId="34904"/>
    <cellStyle name="40% - Accent4 20 18" xfId="36557"/>
    <cellStyle name="40% - Accent4 20 19" xfId="38131"/>
    <cellStyle name="40% - Accent4 20 2" xfId="13335"/>
    <cellStyle name="40% - Accent4 20 20" xfId="39584"/>
    <cellStyle name="40% - Accent4 20 21" xfId="40857"/>
    <cellStyle name="40% - Accent4 20 22" xfId="41936"/>
    <cellStyle name="40% - Accent4 20 3" xfId="14459"/>
    <cellStyle name="40% - Accent4 20 4" xfId="15388"/>
    <cellStyle name="40% - Accent4 20 5" xfId="16317"/>
    <cellStyle name="40% - Accent4 20 6" xfId="17247"/>
    <cellStyle name="40% - Accent4 20 7" xfId="18155"/>
    <cellStyle name="40% - Accent4 20 8" xfId="19045"/>
    <cellStyle name="40% - Accent4 20 9" xfId="19922"/>
    <cellStyle name="40% - Accent4 21" xfId="9461"/>
    <cellStyle name="40% - Accent4 21 10" xfId="20861"/>
    <cellStyle name="40% - Accent4 21 11" xfId="21700"/>
    <cellStyle name="40% - Accent4 21 12" xfId="22484"/>
    <cellStyle name="40% - Accent4 21 13" xfId="26926"/>
    <cellStyle name="40% - Accent4 21 14" xfId="30254"/>
    <cellStyle name="40% - Accent4 21 15" xfId="32029"/>
    <cellStyle name="40% - Accent4 21 16" xfId="33784"/>
    <cellStyle name="40% - Accent4 21 17" xfId="35497"/>
    <cellStyle name="40% - Accent4 21 18" xfId="37141"/>
    <cellStyle name="40% - Accent4 21 19" xfId="38697"/>
    <cellStyle name="40% - Accent4 21 2" xfId="13415"/>
    <cellStyle name="40% - Accent4 21 20" xfId="40131"/>
    <cellStyle name="40% - Accent4 21 21" xfId="41378"/>
    <cellStyle name="40% - Accent4 21 22" xfId="42429"/>
    <cellStyle name="40% - Accent4 21 3" xfId="14539"/>
    <cellStyle name="40% - Accent4 21 4" xfId="15466"/>
    <cellStyle name="40% - Accent4 21 5" xfId="16397"/>
    <cellStyle name="40% - Accent4 21 6" xfId="17327"/>
    <cellStyle name="40% - Accent4 21 7" xfId="18235"/>
    <cellStyle name="40% - Accent4 21 8" xfId="19125"/>
    <cellStyle name="40% - Accent4 21 9" xfId="20002"/>
    <cellStyle name="40% - Accent4 22" xfId="12373"/>
    <cellStyle name="40% - Accent4 22 10" xfId="20939"/>
    <cellStyle name="40% - Accent4 22 11" xfId="21780"/>
    <cellStyle name="40% - Accent4 22 12" xfId="22562"/>
    <cellStyle name="40% - Accent4 22 13" xfId="24872"/>
    <cellStyle name="40% - Accent4 22 14" xfId="28260"/>
    <cellStyle name="40% - Accent4 22 15" xfId="27515"/>
    <cellStyle name="40% - Accent4 22 16" xfId="26383"/>
    <cellStyle name="40% - Accent4 22 17" xfId="29006"/>
    <cellStyle name="40% - Accent4 22 18" xfId="30791"/>
    <cellStyle name="40% - Accent4 22 19" xfId="32564"/>
    <cellStyle name="40% - Accent4 22 2" xfId="13495"/>
    <cellStyle name="40% - Accent4 22 20" xfId="34306"/>
    <cellStyle name="40% - Accent4 22 21" xfId="35997"/>
    <cellStyle name="40% - Accent4 22 22" xfId="37620"/>
    <cellStyle name="40% - Accent4 22 3" xfId="14618"/>
    <cellStyle name="40% - Accent4 22 4" xfId="15546"/>
    <cellStyle name="40% - Accent4 22 5" xfId="16477"/>
    <cellStyle name="40% - Accent4 22 6" xfId="17407"/>
    <cellStyle name="40% - Accent4 22 7" xfId="18315"/>
    <cellStyle name="40% - Accent4 22 8" xfId="19205"/>
    <cellStyle name="40% - Accent4 22 9" xfId="20081"/>
    <cellStyle name="40% - Accent4 23" xfId="10543"/>
    <cellStyle name="40% - Accent4 23 10" xfId="21012"/>
    <cellStyle name="40% - Accent4 23 11" xfId="21851"/>
    <cellStyle name="40% - Accent4 23 12" xfId="22632"/>
    <cellStyle name="40% - Accent4 23 2" xfId="13575"/>
    <cellStyle name="40% - Accent4 23 3" xfId="14694"/>
    <cellStyle name="40% - Accent4 23 4" xfId="15623"/>
    <cellStyle name="40% - Accent4 23 5" xfId="16554"/>
    <cellStyle name="40% - Accent4 23 6" xfId="17482"/>
    <cellStyle name="40% - Accent4 23 7" xfId="18389"/>
    <cellStyle name="40% - Accent4 23 8" xfId="19277"/>
    <cellStyle name="40% - Accent4 23 9" xfId="20151"/>
    <cellStyle name="40% - Accent4 24" xfId="10716"/>
    <cellStyle name="40% - Accent4 24 10" xfId="21076"/>
    <cellStyle name="40% - Accent4 24 11" xfId="21911"/>
    <cellStyle name="40% - Accent4 24 12" xfId="22692"/>
    <cellStyle name="40% - Accent4 24 2" xfId="13655"/>
    <cellStyle name="40% - Accent4 24 3" xfId="14771"/>
    <cellStyle name="40% - Accent4 24 4" xfId="15696"/>
    <cellStyle name="40% - Accent4 24 5" xfId="16626"/>
    <cellStyle name="40% - Accent4 24 6" xfId="17557"/>
    <cellStyle name="40% - Accent4 24 7" xfId="18460"/>
    <cellStyle name="40% - Accent4 24 8" xfId="19344"/>
    <cellStyle name="40% - Accent4 24 9" xfId="20221"/>
    <cellStyle name="40% - Accent4 25" xfId="13727"/>
    <cellStyle name="40% - Accent4 26" xfId="13789"/>
    <cellStyle name="40% - Accent4 27" xfId="12341"/>
    <cellStyle name="40% - Accent4 28" xfId="13945"/>
    <cellStyle name="40% - Accent4 29" xfId="15841"/>
    <cellStyle name="40% - Accent4 3" xfId="8809"/>
    <cellStyle name="40% - Accent4 30" xfId="15876"/>
    <cellStyle name="40% - Accent4 31" xfId="16803"/>
    <cellStyle name="40% - Accent4 32" xfId="17715"/>
    <cellStyle name="40% - Accent4 33" xfId="18608"/>
    <cellStyle name="40% - Accent4 34" xfId="16619"/>
    <cellStyle name="40% - Accent4 35" xfId="20296"/>
    <cellStyle name="40% - Accent4 36" xfId="21191"/>
    <cellStyle name="40% - Accent4 37" xfId="22790"/>
    <cellStyle name="40% - Accent4 38" xfId="22927"/>
    <cellStyle name="40% - Accent4 39" xfId="29054"/>
    <cellStyle name="40% - Accent4 4" xfId="8905"/>
    <cellStyle name="40% - Accent4 40" xfId="30839"/>
    <cellStyle name="40% - Accent4 41" xfId="32612"/>
    <cellStyle name="40% - Accent4 42" xfId="34354"/>
    <cellStyle name="40% - Accent4 43" xfId="36044"/>
    <cellStyle name="40% - Accent4 44" xfId="37662"/>
    <cellStyle name="40% - Accent4 45" xfId="39180"/>
    <cellStyle name="40% - Accent4 46" xfId="40560"/>
    <cellStyle name="40% - Accent4 47" xfId="42587"/>
    <cellStyle name="40% - Accent4 48" xfId="42686"/>
    <cellStyle name="40% - Accent4 49" xfId="42733"/>
    <cellStyle name="40% - Accent4 5" xfId="8983"/>
    <cellStyle name="40% - Accent4 50" xfId="42775"/>
    <cellStyle name="40% - Accent4 51" xfId="42816"/>
    <cellStyle name="40% - Accent4 52" xfId="42857"/>
    <cellStyle name="40% - Accent4 53" xfId="42898"/>
    <cellStyle name="40% - Accent4 54" xfId="42938"/>
    <cellStyle name="40% - Accent4 55" xfId="42975"/>
    <cellStyle name="40% - Accent4 56" xfId="43012"/>
    <cellStyle name="40% - Accent4 57" xfId="43046"/>
    <cellStyle name="40% - Accent4 58" xfId="43079"/>
    <cellStyle name="40% - Accent4 59" xfId="43104"/>
    <cellStyle name="40% - Accent4 6" xfId="9058"/>
    <cellStyle name="40% - Accent4 60" xfId="43134"/>
    <cellStyle name="40% - Accent4 61" xfId="43188"/>
    <cellStyle name="40% - Accent4 62" xfId="8626"/>
    <cellStyle name="40% - Accent4 63" xfId="7685"/>
    <cellStyle name="40% - Accent4 64" xfId="3645"/>
    <cellStyle name="40% - Accent4 7" xfId="9119"/>
    <cellStyle name="40% - Accent4 8" xfId="9250"/>
    <cellStyle name="40% - Accent4 9" xfId="9738"/>
    <cellStyle name="40% - Accent5" xfId="37" builtinId="47" customBuiltin="1"/>
    <cellStyle name="40% - Accent5 10" xfId="9823"/>
    <cellStyle name="40% - Accent5 11" xfId="9900"/>
    <cellStyle name="40% - Accent5 11 10" xfId="37936"/>
    <cellStyle name="40% - Accent5 11 11" xfId="39406"/>
    <cellStyle name="40% - Accent5 11 2" xfId="24080"/>
    <cellStyle name="40% - Accent5 11 3" xfId="27492"/>
    <cellStyle name="40% - Accent5 11 4" xfId="24842"/>
    <cellStyle name="40% - Accent5 11 5" xfId="29420"/>
    <cellStyle name="40% - Accent5 11 6" xfId="31197"/>
    <cellStyle name="40% - Accent5 11 7" xfId="32963"/>
    <cellStyle name="40% - Accent5 11 8" xfId="34686"/>
    <cellStyle name="40% - Accent5 11 9" xfId="36350"/>
    <cellStyle name="40% - Accent5 12" xfId="9980"/>
    <cellStyle name="40% - Accent5 12 10" xfId="40882"/>
    <cellStyle name="40% - Accent5 12 11" xfId="41961"/>
    <cellStyle name="40% - Accent5 12 2" xfId="26343"/>
    <cellStyle name="40% - Accent5 12 3" xfId="29674"/>
    <cellStyle name="40% - Accent5 12 4" xfId="31449"/>
    <cellStyle name="40% - Accent5 12 5" xfId="33211"/>
    <cellStyle name="40% - Accent5 12 6" xfId="34929"/>
    <cellStyle name="40% - Accent5 12 7" xfId="36582"/>
    <cellStyle name="40% - Accent5 12 8" xfId="38156"/>
    <cellStyle name="40% - Accent5 12 9" xfId="39609"/>
    <cellStyle name="40% - Accent5 13" xfId="10060"/>
    <cellStyle name="40% - Accent5 13 10" xfId="41223"/>
    <cellStyle name="40% - Accent5 13 11" xfId="42279"/>
    <cellStyle name="40% - Accent5 13 2" xfId="26751"/>
    <cellStyle name="40% - Accent5 13 3" xfId="30080"/>
    <cellStyle name="40% - Accent5 13 4" xfId="31855"/>
    <cellStyle name="40% - Accent5 13 5" xfId="33611"/>
    <cellStyle name="40% - Accent5 13 6" xfId="35324"/>
    <cellStyle name="40% - Accent5 13 7" xfId="36970"/>
    <cellStyle name="40% - Accent5 13 8" xfId="38531"/>
    <cellStyle name="40% - Accent5 13 9" xfId="39970"/>
    <cellStyle name="40% - Accent5 14" xfId="10127"/>
    <cellStyle name="40% - Accent5 14 10" xfId="40981"/>
    <cellStyle name="40% - Accent5 14 11" xfId="42055"/>
    <cellStyle name="40% - Accent5 14 2" xfId="26461"/>
    <cellStyle name="40% - Accent5 14 3" xfId="29792"/>
    <cellStyle name="40% - Accent5 14 4" xfId="31567"/>
    <cellStyle name="40% - Accent5 14 5" xfId="33326"/>
    <cellStyle name="40% - Accent5 14 6" xfId="35043"/>
    <cellStyle name="40% - Accent5 14 7" xfId="36694"/>
    <cellStyle name="40% - Accent5 14 8" xfId="38263"/>
    <cellStyle name="40% - Accent5 14 9" xfId="39713"/>
    <cellStyle name="40% - Accent5 15" xfId="9497"/>
    <cellStyle name="40% - Accent5 15 10" xfId="20385"/>
    <cellStyle name="40% - Accent5 15 11" xfId="21223"/>
    <cellStyle name="40% - Accent5 15 12" xfId="22026"/>
    <cellStyle name="40% - Accent5 15 13" xfId="26867"/>
    <cellStyle name="40% - Accent5 15 14" xfId="30195"/>
    <cellStyle name="40% - Accent5 15 15" xfId="31970"/>
    <cellStyle name="40% - Accent5 15 16" xfId="33725"/>
    <cellStyle name="40% - Accent5 15 17" xfId="35438"/>
    <cellStyle name="40% - Accent5 15 18" xfId="37083"/>
    <cellStyle name="40% - Accent5 15 19" xfId="38639"/>
    <cellStyle name="40% - Accent5 15 2" xfId="12935"/>
    <cellStyle name="40% - Accent5 15 20" xfId="40073"/>
    <cellStyle name="40% - Accent5 15 21" xfId="41320"/>
    <cellStyle name="40% - Accent5 15 22" xfId="42371"/>
    <cellStyle name="40% - Accent5 15 3" xfId="14062"/>
    <cellStyle name="40% - Accent5 15 4" xfId="14991"/>
    <cellStyle name="40% - Accent5 15 5" xfId="15920"/>
    <cellStyle name="40% - Accent5 15 6" xfId="16849"/>
    <cellStyle name="40% - Accent5 15 7" xfId="17758"/>
    <cellStyle name="40% - Accent5 15 8" xfId="18647"/>
    <cellStyle name="40% - Accent5 15 9" xfId="19526"/>
    <cellStyle name="40% - Accent5 16" xfId="10240"/>
    <cellStyle name="40% - Accent5 16 10" xfId="20463"/>
    <cellStyle name="40% - Accent5 16 11" xfId="21299"/>
    <cellStyle name="40% - Accent5 16 12" xfId="22096"/>
    <cellStyle name="40% - Accent5 16 13" xfId="26331"/>
    <cellStyle name="40% - Accent5 16 14" xfId="29662"/>
    <cellStyle name="40% - Accent5 16 15" xfId="31437"/>
    <cellStyle name="40% - Accent5 16 16" xfId="33199"/>
    <cellStyle name="40% - Accent5 16 17" xfId="34917"/>
    <cellStyle name="40% - Accent5 16 18" xfId="36570"/>
    <cellStyle name="40% - Accent5 16 19" xfId="38144"/>
    <cellStyle name="40% - Accent5 16 2" xfId="13013"/>
    <cellStyle name="40% - Accent5 16 20" xfId="39597"/>
    <cellStyle name="40% - Accent5 16 21" xfId="40870"/>
    <cellStyle name="40% - Accent5 16 22" xfId="41949"/>
    <cellStyle name="40% - Accent5 16 3" xfId="14139"/>
    <cellStyle name="40% - Accent5 16 4" xfId="15069"/>
    <cellStyle name="40% - Accent5 16 5" xfId="15996"/>
    <cellStyle name="40% - Accent5 16 6" xfId="16926"/>
    <cellStyle name="40% - Accent5 16 7" xfId="17834"/>
    <cellStyle name="40% - Accent5 16 8" xfId="18724"/>
    <cellStyle name="40% - Accent5 16 9" xfId="19602"/>
    <cellStyle name="40% - Accent5 17" xfId="10705"/>
    <cellStyle name="40% - Accent5 17 10" xfId="20544"/>
    <cellStyle name="40% - Accent5 17 11" xfId="21380"/>
    <cellStyle name="40% - Accent5 17 12" xfId="22174"/>
    <cellStyle name="40% - Accent5 17 13" xfId="26913"/>
    <cellStyle name="40% - Accent5 17 14" xfId="30241"/>
    <cellStyle name="40% - Accent5 17 15" xfId="32016"/>
    <cellStyle name="40% - Accent5 17 16" xfId="33771"/>
    <cellStyle name="40% - Accent5 17 17" xfId="35484"/>
    <cellStyle name="40% - Accent5 17 18" xfId="37128"/>
    <cellStyle name="40% - Accent5 17 19" xfId="38684"/>
    <cellStyle name="40% - Accent5 17 2" xfId="13094"/>
    <cellStyle name="40% - Accent5 17 20" xfId="40118"/>
    <cellStyle name="40% - Accent5 17 21" xfId="41365"/>
    <cellStyle name="40% - Accent5 17 22" xfId="42416"/>
    <cellStyle name="40% - Accent5 17 3" xfId="14220"/>
    <cellStyle name="40% - Accent5 17 4" xfId="15149"/>
    <cellStyle name="40% - Accent5 17 5" xfId="16077"/>
    <cellStyle name="40% - Accent5 17 6" xfId="17007"/>
    <cellStyle name="40% - Accent5 17 7" xfId="17915"/>
    <cellStyle name="40% - Accent5 17 8" xfId="18805"/>
    <cellStyle name="40% - Accent5 17 9" xfId="19683"/>
    <cellStyle name="40% - Accent5 18" xfId="10709"/>
    <cellStyle name="40% - Accent5 18 10" xfId="20623"/>
    <cellStyle name="40% - Accent5 18 11" xfId="21460"/>
    <cellStyle name="40% - Accent5 18 12" xfId="22251"/>
    <cellStyle name="40% - Accent5 18 13" xfId="26449"/>
    <cellStyle name="40% - Accent5 18 14" xfId="29780"/>
    <cellStyle name="40% - Accent5 18 15" xfId="31555"/>
    <cellStyle name="40% - Accent5 18 16" xfId="33314"/>
    <cellStyle name="40% - Accent5 18 17" xfId="35031"/>
    <cellStyle name="40% - Accent5 18 18" xfId="36682"/>
    <cellStyle name="40% - Accent5 18 19" xfId="38251"/>
    <cellStyle name="40% - Accent5 18 2" xfId="13174"/>
    <cellStyle name="40% - Accent5 18 20" xfId="39701"/>
    <cellStyle name="40% - Accent5 18 21" xfId="40969"/>
    <cellStyle name="40% - Accent5 18 22" xfId="42043"/>
    <cellStyle name="40% - Accent5 18 3" xfId="14300"/>
    <cellStyle name="40% - Accent5 18 4" xfId="15228"/>
    <cellStyle name="40% - Accent5 18 5" xfId="16157"/>
    <cellStyle name="40% - Accent5 18 6" xfId="17087"/>
    <cellStyle name="40% - Accent5 18 7" xfId="17995"/>
    <cellStyle name="40% - Accent5 18 8" xfId="18885"/>
    <cellStyle name="40% - Accent5 18 9" xfId="19763"/>
    <cellStyle name="40% - Accent5 19" xfId="10334"/>
    <cellStyle name="40% - Accent5 19 10" xfId="20701"/>
    <cellStyle name="40% - Accent5 19 11" xfId="21539"/>
    <cellStyle name="40% - Accent5 19 12" xfId="22327"/>
    <cellStyle name="40% - Accent5 19 13" xfId="26679"/>
    <cellStyle name="40% - Accent5 19 14" xfId="30008"/>
    <cellStyle name="40% - Accent5 19 15" xfId="31783"/>
    <cellStyle name="40% - Accent5 19 16" xfId="33541"/>
    <cellStyle name="40% - Accent5 19 17" xfId="35255"/>
    <cellStyle name="40% - Accent5 19 18" xfId="36902"/>
    <cellStyle name="40% - Accent5 19 19" xfId="38465"/>
    <cellStyle name="40% - Accent5 19 2" xfId="13253"/>
    <cellStyle name="40% - Accent5 19 20" xfId="39906"/>
    <cellStyle name="40% - Accent5 19 21" xfId="41160"/>
    <cellStyle name="40% - Accent5 19 22" xfId="42220"/>
    <cellStyle name="40% - Accent5 19 3" xfId="14378"/>
    <cellStyle name="40% - Accent5 19 4" xfId="15306"/>
    <cellStyle name="40% - Accent5 19 5" xfId="16236"/>
    <cellStyle name="40% - Accent5 19 6" xfId="17166"/>
    <cellStyle name="40% - Accent5 19 7" xfId="18074"/>
    <cellStyle name="40% - Accent5 19 8" xfId="18964"/>
    <cellStyle name="40% - Accent5 19 9" xfId="19841"/>
    <cellStyle name="40% - Accent5 2" xfId="3960"/>
    <cellStyle name="40% - Accent5 2 10" xfId="10587"/>
    <cellStyle name="40% - Accent5 2 11" xfId="11625"/>
    <cellStyle name="40% - Accent5 2 12" xfId="12715"/>
    <cellStyle name="40% - Accent5 2 13" xfId="10537"/>
    <cellStyle name="40% - Accent5 2 14" xfId="12458"/>
    <cellStyle name="40% - Accent5 2 15" xfId="11958"/>
    <cellStyle name="40% - Accent5 2 16" xfId="12088"/>
    <cellStyle name="40% - Accent5 2 17" xfId="12158"/>
    <cellStyle name="40% - Accent5 2 18" xfId="16650"/>
    <cellStyle name="40% - Accent5 2 19" xfId="17578"/>
    <cellStyle name="40% - Accent5 2 2" xfId="9363"/>
    <cellStyle name="40% - Accent5 2 2 2" xfId="9553"/>
    <cellStyle name="40% - Accent5 2 20" xfId="19382"/>
    <cellStyle name="40% - Accent5 2 21" xfId="16834"/>
    <cellStyle name="40% - Accent5 2 22" xfId="14765"/>
    <cellStyle name="40% - Accent5 2 23" xfId="22994"/>
    <cellStyle name="40% - Accent5 2 24" xfId="23687"/>
    <cellStyle name="40% - Accent5 2 25" xfId="28758"/>
    <cellStyle name="40% - Accent5 2 26" xfId="30546"/>
    <cellStyle name="40% - Accent5 2 27" xfId="32321"/>
    <cellStyle name="40% - Accent5 2 28" xfId="34073"/>
    <cellStyle name="40% - Accent5 2 29" xfId="35783"/>
    <cellStyle name="40% - Accent5 2 3" xfId="10311"/>
    <cellStyle name="40% - Accent5 2 30" xfId="37420"/>
    <cellStyle name="40% - Accent5 2 31" xfId="38969"/>
    <cellStyle name="40% - Accent5 2 32" xfId="40388"/>
    <cellStyle name="40% - Accent5 2 33" xfId="8701"/>
    <cellStyle name="40% - Accent5 2 4" xfId="10550"/>
    <cellStyle name="40% - Accent5 2 5" xfId="10675"/>
    <cellStyle name="40% - Accent5 2 6" xfId="10559"/>
    <cellStyle name="40% - Accent5 2 7" xfId="10661"/>
    <cellStyle name="40% - Accent5 2 8" xfId="9381"/>
    <cellStyle name="40% - Accent5 2 9" xfId="11022"/>
    <cellStyle name="40% - Accent5 20" xfId="10202"/>
    <cellStyle name="40% - Accent5 20 10" xfId="20781"/>
    <cellStyle name="40% - Accent5 20 11" xfId="21619"/>
    <cellStyle name="40% - Accent5 20 12" xfId="22405"/>
    <cellStyle name="40% - Accent5 20 13" xfId="26318"/>
    <cellStyle name="40% - Accent5 20 14" xfId="29649"/>
    <cellStyle name="40% - Accent5 20 15" xfId="31424"/>
    <cellStyle name="40% - Accent5 20 16" xfId="33187"/>
    <cellStyle name="40% - Accent5 20 17" xfId="34905"/>
    <cellStyle name="40% - Accent5 20 18" xfId="36558"/>
    <cellStyle name="40% - Accent5 20 19" xfId="38132"/>
    <cellStyle name="40% - Accent5 20 2" xfId="13334"/>
    <cellStyle name="40% - Accent5 20 20" xfId="39585"/>
    <cellStyle name="40% - Accent5 20 21" xfId="40858"/>
    <cellStyle name="40% - Accent5 20 22" xfId="41937"/>
    <cellStyle name="40% - Accent5 20 3" xfId="14458"/>
    <cellStyle name="40% - Accent5 20 4" xfId="15387"/>
    <cellStyle name="40% - Accent5 20 5" xfId="16316"/>
    <cellStyle name="40% - Accent5 20 6" xfId="17246"/>
    <cellStyle name="40% - Accent5 20 7" xfId="18154"/>
    <cellStyle name="40% - Accent5 20 8" xfId="19044"/>
    <cellStyle name="40% - Accent5 20 9" xfId="19921"/>
    <cellStyle name="40% - Accent5 21" xfId="10785"/>
    <cellStyle name="40% - Accent5 21 10" xfId="20860"/>
    <cellStyle name="40% - Accent5 21 11" xfId="21699"/>
    <cellStyle name="40% - Accent5 21 12" xfId="22483"/>
    <cellStyle name="40% - Accent5 21 13" xfId="26925"/>
    <cellStyle name="40% - Accent5 21 14" xfId="30253"/>
    <cellStyle name="40% - Accent5 21 15" xfId="32028"/>
    <cellStyle name="40% - Accent5 21 16" xfId="33783"/>
    <cellStyle name="40% - Accent5 21 17" xfId="35496"/>
    <cellStyle name="40% - Accent5 21 18" xfId="37140"/>
    <cellStyle name="40% - Accent5 21 19" xfId="38696"/>
    <cellStyle name="40% - Accent5 21 2" xfId="13414"/>
    <cellStyle name="40% - Accent5 21 20" xfId="40130"/>
    <cellStyle name="40% - Accent5 21 21" xfId="41377"/>
    <cellStyle name="40% - Accent5 21 22" xfId="42428"/>
    <cellStyle name="40% - Accent5 21 3" xfId="14538"/>
    <cellStyle name="40% - Accent5 21 4" xfId="15465"/>
    <cellStyle name="40% - Accent5 21 5" xfId="16396"/>
    <cellStyle name="40% - Accent5 21 6" xfId="17326"/>
    <cellStyle name="40% - Accent5 21 7" xfId="18234"/>
    <cellStyle name="40% - Accent5 21 8" xfId="19124"/>
    <cellStyle name="40% - Accent5 21 9" xfId="20001"/>
    <cellStyle name="40% - Accent5 22" xfId="12334"/>
    <cellStyle name="40% - Accent5 22 10" xfId="20938"/>
    <cellStyle name="40% - Accent5 22 11" xfId="21779"/>
    <cellStyle name="40% - Accent5 22 12" xfId="22561"/>
    <cellStyle name="40% - Accent5 22 13" xfId="24871"/>
    <cellStyle name="40% - Accent5 22 14" xfId="28259"/>
    <cellStyle name="40% - Accent5 22 15" xfId="27516"/>
    <cellStyle name="40% - Accent5 22 16" xfId="23060"/>
    <cellStyle name="40% - Accent5 22 17" xfId="29168"/>
    <cellStyle name="40% - Accent5 22 18" xfId="30952"/>
    <cellStyle name="40% - Accent5 22 19" xfId="32723"/>
    <cellStyle name="40% - Accent5 22 2" xfId="13494"/>
    <cellStyle name="40% - Accent5 22 20" xfId="34460"/>
    <cellStyle name="40% - Accent5 22 21" xfId="36142"/>
    <cellStyle name="40% - Accent5 22 22" xfId="37754"/>
    <cellStyle name="40% - Accent5 22 3" xfId="14617"/>
    <cellStyle name="40% - Accent5 22 4" xfId="15545"/>
    <cellStyle name="40% - Accent5 22 5" xfId="16476"/>
    <cellStyle name="40% - Accent5 22 6" xfId="17406"/>
    <cellStyle name="40% - Accent5 22 7" xfId="18314"/>
    <cellStyle name="40% - Accent5 22 8" xfId="19204"/>
    <cellStyle name="40% - Accent5 22 9" xfId="20080"/>
    <cellStyle name="40% - Accent5 23" xfId="11585"/>
    <cellStyle name="40% - Accent5 23 10" xfId="21011"/>
    <cellStyle name="40% - Accent5 23 11" xfId="21850"/>
    <cellStyle name="40% - Accent5 23 12" xfId="22631"/>
    <cellStyle name="40% - Accent5 23 2" xfId="13574"/>
    <cellStyle name="40% - Accent5 23 3" xfId="14693"/>
    <cellStyle name="40% - Accent5 23 4" xfId="15622"/>
    <cellStyle name="40% - Accent5 23 5" xfId="16553"/>
    <cellStyle name="40% - Accent5 23 6" xfId="17481"/>
    <cellStyle name="40% - Accent5 23 7" xfId="18388"/>
    <cellStyle name="40% - Accent5 23 8" xfId="19276"/>
    <cellStyle name="40% - Accent5 23 9" xfId="20150"/>
    <cellStyle name="40% - Accent5 24" xfId="12184"/>
    <cellStyle name="40% - Accent5 24 10" xfId="21075"/>
    <cellStyle name="40% - Accent5 24 11" xfId="21910"/>
    <cellStyle name="40% - Accent5 24 12" xfId="22691"/>
    <cellStyle name="40% - Accent5 24 2" xfId="13654"/>
    <cellStyle name="40% - Accent5 24 3" xfId="14770"/>
    <cellStyle name="40% - Accent5 24 4" xfId="15695"/>
    <cellStyle name="40% - Accent5 24 5" xfId="16625"/>
    <cellStyle name="40% - Accent5 24 6" xfId="17556"/>
    <cellStyle name="40% - Accent5 24 7" xfId="18459"/>
    <cellStyle name="40% - Accent5 24 8" xfId="19343"/>
    <cellStyle name="40% - Accent5 24 9" xfId="20220"/>
    <cellStyle name="40% - Accent5 25" xfId="13726"/>
    <cellStyle name="40% - Accent5 26" xfId="13788"/>
    <cellStyle name="40% - Accent5 27" xfId="12625"/>
    <cellStyle name="40% - Accent5 28" xfId="13883"/>
    <cellStyle name="40% - Accent5 29" xfId="15813"/>
    <cellStyle name="40% - Accent5 3" xfId="8808"/>
    <cellStyle name="40% - Accent5 30" xfId="12275"/>
    <cellStyle name="40% - Accent5 31" xfId="13947"/>
    <cellStyle name="40% - Accent5 32" xfId="10313"/>
    <cellStyle name="40% - Accent5 33" xfId="14860"/>
    <cellStyle name="40% - Accent5 34" xfId="15811"/>
    <cellStyle name="40% - Accent5 35" xfId="21168"/>
    <cellStyle name="40% - Accent5 36" xfId="11406"/>
    <cellStyle name="40% - Accent5 37" xfId="22791"/>
    <cellStyle name="40% - Accent5 38" xfId="22926"/>
    <cellStyle name="40% - Accent5 39" xfId="29053"/>
    <cellStyle name="40% - Accent5 4" xfId="8904"/>
    <cellStyle name="40% - Accent5 40" xfId="30838"/>
    <cellStyle name="40% - Accent5 41" xfId="32611"/>
    <cellStyle name="40% - Accent5 42" xfId="34353"/>
    <cellStyle name="40% - Accent5 43" xfId="36043"/>
    <cellStyle name="40% - Accent5 44" xfId="37661"/>
    <cellStyle name="40% - Accent5 45" xfId="39179"/>
    <cellStyle name="40% - Accent5 46" xfId="40559"/>
    <cellStyle name="40% - Accent5 47" xfId="42588"/>
    <cellStyle name="40% - Accent5 48" xfId="42685"/>
    <cellStyle name="40% - Accent5 49" xfId="42730"/>
    <cellStyle name="40% - Accent5 5" xfId="8982"/>
    <cellStyle name="40% - Accent5 50" xfId="42772"/>
    <cellStyle name="40% - Accent5 51" xfId="42813"/>
    <cellStyle name="40% - Accent5 52" xfId="42854"/>
    <cellStyle name="40% - Accent5 53" xfId="42895"/>
    <cellStyle name="40% - Accent5 54" xfId="42935"/>
    <cellStyle name="40% - Accent5 55" xfId="42972"/>
    <cellStyle name="40% - Accent5 56" xfId="43009"/>
    <cellStyle name="40% - Accent5 57" xfId="43043"/>
    <cellStyle name="40% - Accent5 58" xfId="43076"/>
    <cellStyle name="40% - Accent5 59" xfId="43101"/>
    <cellStyle name="40% - Accent5 6" xfId="9057"/>
    <cellStyle name="40% - Accent5 60" xfId="43135"/>
    <cellStyle name="40% - Accent5 61" xfId="43187"/>
    <cellStyle name="40% - Accent5 62" xfId="8627"/>
    <cellStyle name="40% - Accent5 63" xfId="7686"/>
    <cellStyle name="40% - Accent5 64" xfId="3646"/>
    <cellStyle name="40% - Accent5 7" xfId="9118"/>
    <cellStyle name="40% - Accent5 8" xfId="9251"/>
    <cellStyle name="40% - Accent5 9" xfId="9737"/>
    <cellStyle name="40% - Accent6" xfId="41" builtinId="51" customBuiltin="1"/>
    <cellStyle name="40% - Accent6 10" xfId="9822"/>
    <cellStyle name="40% - Accent6 11" xfId="9899"/>
    <cellStyle name="40% - Accent6 11 10" xfId="37457"/>
    <cellStyle name="40% - Accent6 11 11" xfId="39004"/>
    <cellStyle name="40% - Accent6 11 2" xfId="24081"/>
    <cellStyle name="40% - Accent6 11 3" xfId="27493"/>
    <cellStyle name="40% - Accent6 11 4" xfId="23689"/>
    <cellStyle name="40% - Accent6 11 5" xfId="28801"/>
    <cellStyle name="40% - Accent6 11 6" xfId="30589"/>
    <cellStyle name="40% - Accent6 11 7" xfId="32363"/>
    <cellStyle name="40% - Accent6 11 8" xfId="34115"/>
    <cellStyle name="40% - Accent6 11 9" xfId="35822"/>
    <cellStyle name="40% - Accent6 12" xfId="9978"/>
    <cellStyle name="40% - Accent6 12 10" xfId="40883"/>
    <cellStyle name="40% - Accent6 12 11" xfId="41962"/>
    <cellStyle name="40% - Accent6 12 2" xfId="26344"/>
    <cellStyle name="40% - Accent6 12 3" xfId="29675"/>
    <cellStyle name="40% - Accent6 12 4" xfId="31450"/>
    <cellStyle name="40% - Accent6 12 5" xfId="33212"/>
    <cellStyle name="40% - Accent6 12 6" xfId="34930"/>
    <cellStyle name="40% - Accent6 12 7" xfId="36583"/>
    <cellStyle name="40% - Accent6 12 8" xfId="38157"/>
    <cellStyle name="40% - Accent6 12 9" xfId="39610"/>
    <cellStyle name="40% - Accent6 13" xfId="10058"/>
    <cellStyle name="40% - Accent6 13 10" xfId="41222"/>
    <cellStyle name="40% - Accent6 13 11" xfId="42278"/>
    <cellStyle name="40% - Accent6 13 2" xfId="26750"/>
    <cellStyle name="40% - Accent6 13 3" xfId="30079"/>
    <cellStyle name="40% - Accent6 13 4" xfId="31854"/>
    <cellStyle name="40% - Accent6 13 5" xfId="33610"/>
    <cellStyle name="40% - Accent6 13 6" xfId="35323"/>
    <cellStyle name="40% - Accent6 13 7" xfId="36969"/>
    <cellStyle name="40% - Accent6 13 8" xfId="38530"/>
    <cellStyle name="40% - Accent6 13 9" xfId="39969"/>
    <cellStyle name="40% - Accent6 14" xfId="10125"/>
    <cellStyle name="40% - Accent6 14 10" xfId="40982"/>
    <cellStyle name="40% - Accent6 14 11" xfId="42056"/>
    <cellStyle name="40% - Accent6 14 2" xfId="26462"/>
    <cellStyle name="40% - Accent6 14 3" xfId="29793"/>
    <cellStyle name="40% - Accent6 14 4" xfId="31568"/>
    <cellStyle name="40% - Accent6 14 5" xfId="33327"/>
    <cellStyle name="40% - Accent6 14 6" xfId="35044"/>
    <cellStyle name="40% - Accent6 14 7" xfId="36695"/>
    <cellStyle name="40% - Accent6 14 8" xfId="38264"/>
    <cellStyle name="40% - Accent6 14 9" xfId="39714"/>
    <cellStyle name="40% - Accent6 15" xfId="9496"/>
    <cellStyle name="40% - Accent6 15 10" xfId="20384"/>
    <cellStyle name="40% - Accent6 15 11" xfId="21222"/>
    <cellStyle name="40% - Accent6 15 12" xfId="22025"/>
    <cellStyle name="40% - Accent6 15 13" xfId="26866"/>
    <cellStyle name="40% - Accent6 15 14" xfId="30194"/>
    <cellStyle name="40% - Accent6 15 15" xfId="31969"/>
    <cellStyle name="40% - Accent6 15 16" xfId="33724"/>
    <cellStyle name="40% - Accent6 15 17" xfId="35437"/>
    <cellStyle name="40% - Accent6 15 18" xfId="37082"/>
    <cellStyle name="40% - Accent6 15 19" xfId="38638"/>
    <cellStyle name="40% - Accent6 15 2" xfId="12934"/>
    <cellStyle name="40% - Accent6 15 20" xfId="40072"/>
    <cellStyle name="40% - Accent6 15 21" xfId="41319"/>
    <cellStyle name="40% - Accent6 15 22" xfId="42370"/>
    <cellStyle name="40% - Accent6 15 3" xfId="14061"/>
    <cellStyle name="40% - Accent6 15 4" xfId="14990"/>
    <cellStyle name="40% - Accent6 15 5" xfId="15919"/>
    <cellStyle name="40% - Accent6 15 6" xfId="16848"/>
    <cellStyle name="40% - Accent6 15 7" xfId="17757"/>
    <cellStyle name="40% - Accent6 15 8" xfId="18646"/>
    <cellStyle name="40% - Accent6 15 9" xfId="19525"/>
    <cellStyle name="40% - Accent6 16" xfId="10239"/>
    <cellStyle name="40% - Accent6 16 10" xfId="20461"/>
    <cellStyle name="40% - Accent6 16 11" xfId="21297"/>
    <cellStyle name="40% - Accent6 16 12" xfId="22094"/>
    <cellStyle name="40% - Accent6 16 13" xfId="26332"/>
    <cellStyle name="40% - Accent6 16 14" xfId="29663"/>
    <cellStyle name="40% - Accent6 16 15" xfId="31438"/>
    <cellStyle name="40% - Accent6 16 16" xfId="33200"/>
    <cellStyle name="40% - Accent6 16 17" xfId="34918"/>
    <cellStyle name="40% - Accent6 16 18" xfId="36571"/>
    <cellStyle name="40% - Accent6 16 19" xfId="38145"/>
    <cellStyle name="40% - Accent6 16 2" xfId="13011"/>
    <cellStyle name="40% - Accent6 16 20" xfId="39598"/>
    <cellStyle name="40% - Accent6 16 21" xfId="40871"/>
    <cellStyle name="40% - Accent6 16 22" xfId="41950"/>
    <cellStyle name="40% - Accent6 16 3" xfId="14137"/>
    <cellStyle name="40% - Accent6 16 4" xfId="15067"/>
    <cellStyle name="40% - Accent6 16 5" xfId="15994"/>
    <cellStyle name="40% - Accent6 16 6" xfId="16924"/>
    <cellStyle name="40% - Accent6 16 7" xfId="17832"/>
    <cellStyle name="40% - Accent6 16 8" xfId="18722"/>
    <cellStyle name="40% - Accent6 16 9" xfId="19600"/>
    <cellStyle name="40% - Accent6 17" xfId="10781"/>
    <cellStyle name="40% - Accent6 17 10" xfId="20543"/>
    <cellStyle name="40% - Accent6 17 11" xfId="21379"/>
    <cellStyle name="40% - Accent6 17 12" xfId="22173"/>
    <cellStyle name="40% - Accent6 17 13" xfId="26912"/>
    <cellStyle name="40% - Accent6 17 14" xfId="30240"/>
    <cellStyle name="40% - Accent6 17 15" xfId="32015"/>
    <cellStyle name="40% - Accent6 17 16" xfId="33770"/>
    <cellStyle name="40% - Accent6 17 17" xfId="35483"/>
    <cellStyle name="40% - Accent6 17 18" xfId="37127"/>
    <cellStyle name="40% - Accent6 17 19" xfId="38683"/>
    <cellStyle name="40% - Accent6 17 2" xfId="13093"/>
    <cellStyle name="40% - Accent6 17 20" xfId="40117"/>
    <cellStyle name="40% - Accent6 17 21" xfId="41364"/>
    <cellStyle name="40% - Accent6 17 22" xfId="42415"/>
    <cellStyle name="40% - Accent6 17 3" xfId="14219"/>
    <cellStyle name="40% - Accent6 17 4" xfId="15148"/>
    <cellStyle name="40% - Accent6 17 5" xfId="16076"/>
    <cellStyle name="40% - Accent6 17 6" xfId="17006"/>
    <cellStyle name="40% - Accent6 17 7" xfId="17914"/>
    <cellStyle name="40% - Accent6 17 8" xfId="18804"/>
    <cellStyle name="40% - Accent6 17 9" xfId="19682"/>
    <cellStyle name="40% - Accent6 18" xfId="10753"/>
    <cellStyle name="40% - Accent6 18 10" xfId="20622"/>
    <cellStyle name="40% - Accent6 18 11" xfId="21459"/>
    <cellStyle name="40% - Accent6 18 12" xfId="22250"/>
    <cellStyle name="40% - Accent6 18 13" xfId="26450"/>
    <cellStyle name="40% - Accent6 18 14" xfId="29781"/>
    <cellStyle name="40% - Accent6 18 15" xfId="31556"/>
    <cellStyle name="40% - Accent6 18 16" xfId="33315"/>
    <cellStyle name="40% - Accent6 18 17" xfId="35032"/>
    <cellStyle name="40% - Accent6 18 18" xfId="36683"/>
    <cellStyle name="40% - Accent6 18 19" xfId="38252"/>
    <cellStyle name="40% - Accent6 18 2" xfId="13173"/>
    <cellStyle name="40% - Accent6 18 20" xfId="39702"/>
    <cellStyle name="40% - Accent6 18 21" xfId="40970"/>
    <cellStyle name="40% - Accent6 18 22" xfId="42044"/>
    <cellStyle name="40% - Accent6 18 3" xfId="14299"/>
    <cellStyle name="40% - Accent6 18 4" xfId="15227"/>
    <cellStyle name="40% - Accent6 18 5" xfId="16156"/>
    <cellStyle name="40% - Accent6 18 6" xfId="17086"/>
    <cellStyle name="40% - Accent6 18 7" xfId="17994"/>
    <cellStyle name="40% - Accent6 18 8" xfId="18884"/>
    <cellStyle name="40% - Accent6 18 9" xfId="19762"/>
    <cellStyle name="40% - Accent6 19" xfId="10509"/>
    <cellStyle name="40% - Accent6 19 10" xfId="20699"/>
    <cellStyle name="40% - Accent6 19 11" xfId="21537"/>
    <cellStyle name="40% - Accent6 19 12" xfId="22325"/>
    <cellStyle name="40% - Accent6 19 13" xfId="26678"/>
    <cellStyle name="40% - Accent6 19 14" xfId="30007"/>
    <cellStyle name="40% - Accent6 19 15" xfId="31782"/>
    <cellStyle name="40% - Accent6 19 16" xfId="33540"/>
    <cellStyle name="40% - Accent6 19 17" xfId="35254"/>
    <cellStyle name="40% - Accent6 19 18" xfId="36901"/>
    <cellStyle name="40% - Accent6 19 19" xfId="38464"/>
    <cellStyle name="40% - Accent6 19 2" xfId="13251"/>
    <cellStyle name="40% - Accent6 19 20" xfId="39905"/>
    <cellStyle name="40% - Accent6 19 21" xfId="41159"/>
    <cellStyle name="40% - Accent6 19 22" xfId="42219"/>
    <cellStyle name="40% - Accent6 19 3" xfId="14376"/>
    <cellStyle name="40% - Accent6 19 4" xfId="15304"/>
    <cellStyle name="40% - Accent6 19 5" xfId="16234"/>
    <cellStyle name="40% - Accent6 19 6" xfId="17164"/>
    <cellStyle name="40% - Accent6 19 7" xfId="18072"/>
    <cellStyle name="40% - Accent6 19 8" xfId="18962"/>
    <cellStyle name="40% - Accent6 19 9" xfId="19839"/>
    <cellStyle name="40% - Accent6 2" xfId="3961"/>
    <cellStyle name="40% - Accent6 2 10" xfId="10906"/>
    <cellStyle name="40% - Accent6 2 11" xfId="12347"/>
    <cellStyle name="40% - Accent6 2 12" xfId="12670"/>
    <cellStyle name="40% - Accent6 2 13" xfId="12660"/>
    <cellStyle name="40% - Accent6 2 14" xfId="10937"/>
    <cellStyle name="40% - Accent6 2 15" xfId="12413"/>
    <cellStyle name="40% - Accent6 2 16" xfId="11474"/>
    <cellStyle name="40% - Accent6 2 17" xfId="16668"/>
    <cellStyle name="40% - Accent6 2 18" xfId="17595"/>
    <cellStyle name="40% - Accent6 2 19" xfId="18499"/>
    <cellStyle name="40% - Accent6 2 2" xfId="9364"/>
    <cellStyle name="40% - Accent6 2 2 2" xfId="9554"/>
    <cellStyle name="40% - Accent6 2 20" xfId="16700"/>
    <cellStyle name="40% - Accent6 2 21" xfId="19425"/>
    <cellStyle name="40% - Accent6 2 22" xfId="19302"/>
    <cellStyle name="40% - Accent6 2 23" xfId="22995"/>
    <cellStyle name="40% - Accent6 2 24" xfId="22885"/>
    <cellStyle name="40% - Accent6 2 25" xfId="28757"/>
    <cellStyle name="40% - Accent6 2 26" xfId="30545"/>
    <cellStyle name="40% - Accent6 2 27" xfId="32320"/>
    <cellStyle name="40% - Accent6 2 28" xfId="34072"/>
    <cellStyle name="40% - Accent6 2 29" xfId="35782"/>
    <cellStyle name="40% - Accent6 2 3" xfId="10312"/>
    <cellStyle name="40% - Accent6 2 30" xfId="37419"/>
    <cellStyle name="40% - Accent6 2 31" xfId="38968"/>
    <cellStyle name="40% - Accent6 2 32" xfId="40387"/>
    <cellStyle name="40% - Accent6 2 33" xfId="8702"/>
    <cellStyle name="40% - Accent6 2 4" xfId="10473"/>
    <cellStyle name="40% - Accent6 2 5" xfId="11242"/>
    <cellStyle name="40% - Accent6 2 6" xfId="11433"/>
    <cellStyle name="40% - Accent6 2 7" xfId="11621"/>
    <cellStyle name="40% - Accent6 2 8" xfId="11805"/>
    <cellStyle name="40% - Accent6 2 9" xfId="11985"/>
    <cellStyle name="40% - Accent6 20" xfId="10828"/>
    <cellStyle name="40% - Accent6 20 10" xfId="20780"/>
    <cellStyle name="40% - Accent6 20 11" xfId="21618"/>
    <cellStyle name="40% - Accent6 20 12" xfId="22404"/>
    <cellStyle name="40% - Accent6 20 13" xfId="26319"/>
    <cellStyle name="40% - Accent6 20 14" xfId="29650"/>
    <cellStyle name="40% - Accent6 20 15" xfId="31425"/>
    <cellStyle name="40% - Accent6 20 16" xfId="33188"/>
    <cellStyle name="40% - Accent6 20 17" xfId="34906"/>
    <cellStyle name="40% - Accent6 20 18" xfId="36559"/>
    <cellStyle name="40% - Accent6 20 19" xfId="38133"/>
    <cellStyle name="40% - Accent6 20 2" xfId="13333"/>
    <cellStyle name="40% - Accent6 20 20" xfId="39586"/>
    <cellStyle name="40% - Accent6 20 21" xfId="40859"/>
    <cellStyle name="40% - Accent6 20 22" xfId="41938"/>
    <cellStyle name="40% - Accent6 20 3" xfId="14457"/>
    <cellStyle name="40% - Accent6 20 4" xfId="15386"/>
    <cellStyle name="40% - Accent6 20 5" xfId="16315"/>
    <cellStyle name="40% - Accent6 20 6" xfId="17245"/>
    <cellStyle name="40% - Accent6 20 7" xfId="18153"/>
    <cellStyle name="40% - Accent6 20 8" xfId="19043"/>
    <cellStyle name="40% - Accent6 20 9" xfId="19920"/>
    <cellStyle name="40% - Accent6 21" xfId="10368"/>
    <cellStyle name="40% - Accent6 21 10" xfId="20859"/>
    <cellStyle name="40% - Accent6 21 11" xfId="21698"/>
    <cellStyle name="40% - Accent6 21 12" xfId="22482"/>
    <cellStyle name="40% - Accent6 21 13" xfId="26924"/>
    <cellStyle name="40% - Accent6 21 14" xfId="30252"/>
    <cellStyle name="40% - Accent6 21 15" xfId="32027"/>
    <cellStyle name="40% - Accent6 21 16" xfId="33782"/>
    <cellStyle name="40% - Accent6 21 17" xfId="35495"/>
    <cellStyle name="40% - Accent6 21 18" xfId="37139"/>
    <cellStyle name="40% - Accent6 21 19" xfId="38695"/>
    <cellStyle name="40% - Accent6 21 2" xfId="13413"/>
    <cellStyle name="40% - Accent6 21 20" xfId="40129"/>
    <cellStyle name="40% - Accent6 21 21" xfId="41376"/>
    <cellStyle name="40% - Accent6 21 22" xfId="42427"/>
    <cellStyle name="40% - Accent6 21 3" xfId="14537"/>
    <cellStyle name="40% - Accent6 21 4" xfId="15464"/>
    <cellStyle name="40% - Accent6 21 5" xfId="16395"/>
    <cellStyle name="40% - Accent6 21 6" xfId="17325"/>
    <cellStyle name="40% - Accent6 21 7" xfId="18233"/>
    <cellStyle name="40% - Accent6 21 8" xfId="19123"/>
    <cellStyle name="40% - Accent6 21 9" xfId="20000"/>
    <cellStyle name="40% - Accent6 22" xfId="12277"/>
    <cellStyle name="40% - Accent6 22 10" xfId="20937"/>
    <cellStyle name="40% - Accent6 22 11" xfId="21778"/>
    <cellStyle name="40% - Accent6 22 12" xfId="22560"/>
    <cellStyle name="40% - Accent6 22 13" xfId="24870"/>
    <cellStyle name="40% - Accent6 22 14" xfId="28258"/>
    <cellStyle name="40% - Accent6 22 15" xfId="27517"/>
    <cellStyle name="40% - Accent6 22 16" xfId="23366"/>
    <cellStyle name="40% - Accent6 22 17" xfId="29302"/>
    <cellStyle name="40% - Accent6 22 18" xfId="31083"/>
    <cellStyle name="40% - Accent6 22 19" xfId="32852"/>
    <cellStyle name="40% - Accent6 22 2" xfId="13493"/>
    <cellStyle name="40% - Accent6 22 20" xfId="34581"/>
    <cellStyle name="40% - Accent6 22 21" xfId="36253"/>
    <cellStyle name="40% - Accent6 22 22" xfId="37850"/>
    <cellStyle name="40% - Accent6 22 3" xfId="14616"/>
    <cellStyle name="40% - Accent6 22 4" xfId="15544"/>
    <cellStyle name="40% - Accent6 22 5" xfId="16475"/>
    <cellStyle name="40% - Accent6 22 6" xfId="17405"/>
    <cellStyle name="40% - Accent6 22 7" xfId="18313"/>
    <cellStyle name="40% - Accent6 22 8" xfId="19203"/>
    <cellStyle name="40% - Accent6 22 9" xfId="20079"/>
    <cellStyle name="40% - Accent6 23" xfId="11844"/>
    <cellStyle name="40% - Accent6 23 10" xfId="21010"/>
    <cellStyle name="40% - Accent6 23 11" xfId="21849"/>
    <cellStyle name="40% - Accent6 23 12" xfId="22630"/>
    <cellStyle name="40% - Accent6 23 2" xfId="13573"/>
    <cellStyle name="40% - Accent6 23 3" xfId="14692"/>
    <cellStyle name="40% - Accent6 23 4" xfId="15621"/>
    <cellStyle name="40% - Accent6 23 5" xfId="16552"/>
    <cellStyle name="40% - Accent6 23 6" xfId="17480"/>
    <cellStyle name="40% - Accent6 23 7" xfId="18387"/>
    <cellStyle name="40% - Accent6 23 8" xfId="19275"/>
    <cellStyle name="40% - Accent6 23 9" xfId="20149"/>
    <cellStyle name="40% - Accent6 24" xfId="11282"/>
    <cellStyle name="40% - Accent6 24 10" xfId="21074"/>
    <cellStyle name="40% - Accent6 24 11" xfId="21909"/>
    <cellStyle name="40% - Accent6 24 12" xfId="22690"/>
    <cellStyle name="40% - Accent6 24 2" xfId="13653"/>
    <cellStyle name="40% - Accent6 24 3" xfId="14769"/>
    <cellStyle name="40% - Accent6 24 4" xfId="15694"/>
    <cellStyle name="40% - Accent6 24 5" xfId="16624"/>
    <cellStyle name="40% - Accent6 24 6" xfId="17555"/>
    <cellStyle name="40% - Accent6 24 7" xfId="18458"/>
    <cellStyle name="40% - Accent6 24 8" xfId="19342"/>
    <cellStyle name="40% - Accent6 24 9" xfId="20219"/>
    <cellStyle name="40% - Accent6 25" xfId="13725"/>
    <cellStyle name="40% - Accent6 26" xfId="13787"/>
    <cellStyle name="40% - Accent6 27" xfId="12673"/>
    <cellStyle name="40% - Accent6 28" xfId="14914"/>
    <cellStyle name="40% - Accent6 29" xfId="15774"/>
    <cellStyle name="40% - Accent6 3" xfId="8807"/>
    <cellStyle name="40% - Accent6 30" xfId="14927"/>
    <cellStyle name="40% - Accent6 31" xfId="11099"/>
    <cellStyle name="40% - Accent6 32" xfId="11542"/>
    <cellStyle name="40% - Accent6 33" xfId="12456"/>
    <cellStyle name="40% - Accent6 34" xfId="20321"/>
    <cellStyle name="40% - Accent6 35" xfId="21152"/>
    <cellStyle name="40% - Accent6 36" xfId="21122"/>
    <cellStyle name="40% - Accent6 37" xfId="22792"/>
    <cellStyle name="40% - Accent6 38" xfId="22925"/>
    <cellStyle name="40% - Accent6 39" xfId="28507"/>
    <cellStyle name="40% - Accent6 4" xfId="8899"/>
    <cellStyle name="40% - Accent6 40" xfId="27186"/>
    <cellStyle name="40% - Accent6 41" xfId="29839"/>
    <cellStyle name="40% - Accent6 42" xfId="31614"/>
    <cellStyle name="40% - Accent6 43" xfId="33373"/>
    <cellStyle name="40% - Accent6 44" xfId="35088"/>
    <cellStyle name="40% - Accent6 45" xfId="36738"/>
    <cellStyle name="40% - Accent6 46" xfId="38307"/>
    <cellStyle name="40% - Accent6 47" xfId="42589"/>
    <cellStyle name="40% - Accent6 48" xfId="42684"/>
    <cellStyle name="40% - Accent6 49" xfId="42729"/>
    <cellStyle name="40% - Accent6 5" xfId="8977"/>
    <cellStyle name="40% - Accent6 50" xfId="42771"/>
    <cellStyle name="40% - Accent6 51" xfId="42812"/>
    <cellStyle name="40% - Accent6 52" xfId="42853"/>
    <cellStyle name="40% - Accent6 53" xfId="42894"/>
    <cellStyle name="40% - Accent6 54" xfId="42934"/>
    <cellStyle name="40% - Accent6 55" xfId="42971"/>
    <cellStyle name="40% - Accent6 56" xfId="43008"/>
    <cellStyle name="40% - Accent6 57" xfId="43042"/>
    <cellStyle name="40% - Accent6 58" xfId="43075"/>
    <cellStyle name="40% - Accent6 59" xfId="43100"/>
    <cellStyle name="40% - Accent6 6" xfId="9052"/>
    <cellStyle name="40% - Accent6 60" xfId="43136"/>
    <cellStyle name="40% - Accent6 61" xfId="43186"/>
    <cellStyle name="40% - Accent6 62" xfId="8628"/>
    <cellStyle name="40% - Accent6 63" xfId="7687"/>
    <cellStyle name="40% - Accent6 64" xfId="3647"/>
    <cellStyle name="40% - Accent6 7" xfId="9113"/>
    <cellStyle name="40% - Accent6 8" xfId="9252"/>
    <cellStyle name="40% - Accent6 9" xfId="9736"/>
    <cellStyle name="40% - Акцент1" xfId="7809"/>
    <cellStyle name="40% - Акцент2" xfId="7810"/>
    <cellStyle name="40% - Акцент3" xfId="7811"/>
    <cellStyle name="40% - Акцент4" xfId="7812"/>
    <cellStyle name="40% - Акцент5" xfId="7813"/>
    <cellStyle name="40% - Акцент6" xfId="7814"/>
    <cellStyle name="40% - 强调文字颜色 1 10" xfId="8386"/>
    <cellStyle name="40% - 强调文字颜色 1 11" xfId="8428"/>
    <cellStyle name="40% - 强调文字颜色 1 12" xfId="8470"/>
    <cellStyle name="40% - 强调文字颜色 1 13" xfId="8512"/>
    <cellStyle name="40% - 强调文字颜色 1 14" xfId="8554"/>
    <cellStyle name="40% - 强调文字颜色 1 15" xfId="43239"/>
    <cellStyle name="40% - 强调文字颜色 1 16" xfId="43281"/>
    <cellStyle name="40% - 强调文字颜色 1 2" xfId="8051"/>
    <cellStyle name="40% - 强调文字颜色 1 3" xfId="8093"/>
    <cellStyle name="40% - 强调文字颜色 1 4" xfId="8135"/>
    <cellStyle name="40% - 强调文字颜色 1 5" xfId="8177"/>
    <cellStyle name="40% - 强调文字颜色 1 6" xfId="8218"/>
    <cellStyle name="40% - 强调文字颜色 1 7" xfId="8260"/>
    <cellStyle name="40% - 强调文字颜色 1 8" xfId="8302"/>
    <cellStyle name="40% - 强调文字颜色 1 9" xfId="8344"/>
    <cellStyle name="40% - 强调文字颜色 2 10" xfId="8390"/>
    <cellStyle name="40% - 强调文字颜色 2 11" xfId="8432"/>
    <cellStyle name="40% - 强调文字颜色 2 12" xfId="8474"/>
    <cellStyle name="40% - 强调文字颜色 2 13" xfId="8516"/>
    <cellStyle name="40% - 强调文字颜色 2 14" xfId="8558"/>
    <cellStyle name="40% - 强调文字颜色 2 15" xfId="43243"/>
    <cellStyle name="40% - 强调文字颜色 2 16" xfId="43285"/>
    <cellStyle name="40% - 强调文字颜色 2 2" xfId="8055"/>
    <cellStyle name="40% - 强调文字颜色 2 3" xfId="8097"/>
    <cellStyle name="40% - 强调文字颜色 2 4" xfId="8139"/>
    <cellStyle name="40% - 强调文字颜色 2 5" xfId="8181"/>
    <cellStyle name="40% - 强调文字颜色 2 6" xfId="8222"/>
    <cellStyle name="40% - 强调文字颜色 2 7" xfId="8264"/>
    <cellStyle name="40% - 强调文字颜色 2 8" xfId="8306"/>
    <cellStyle name="40% - 强调文字颜色 2 9" xfId="8348"/>
    <cellStyle name="40% - 强调文字颜色 3 10" xfId="8394"/>
    <cellStyle name="40% - 强调文字颜色 3 11" xfId="8436"/>
    <cellStyle name="40% - 强调文字颜色 3 12" xfId="8478"/>
    <cellStyle name="40% - 强调文字颜色 3 13" xfId="8520"/>
    <cellStyle name="40% - 强调文字颜色 3 14" xfId="8562"/>
    <cellStyle name="40% - 强调文字颜色 3 15" xfId="43247"/>
    <cellStyle name="40% - 强调文字颜色 3 16" xfId="43289"/>
    <cellStyle name="40% - 强调文字颜色 3 2" xfId="8059"/>
    <cellStyle name="40% - 强调文字颜色 3 3" xfId="8101"/>
    <cellStyle name="40% - 强调文字颜色 3 4" xfId="8143"/>
    <cellStyle name="40% - 强调文字颜色 3 5" xfId="8185"/>
    <cellStyle name="40% - 强调文字颜色 3 6" xfId="8226"/>
    <cellStyle name="40% - 强调文字颜色 3 7" xfId="8268"/>
    <cellStyle name="40% - 强调文字颜色 3 8" xfId="8310"/>
    <cellStyle name="40% - 强调文字颜色 3 9" xfId="8352"/>
    <cellStyle name="40% - 强调文字颜色 4 10" xfId="8398"/>
    <cellStyle name="40% - 强调文字颜色 4 11" xfId="8440"/>
    <cellStyle name="40% - 强调文字颜色 4 12" xfId="8482"/>
    <cellStyle name="40% - 强调文字颜色 4 13" xfId="8524"/>
    <cellStyle name="40% - 强调文字颜色 4 14" xfId="8566"/>
    <cellStyle name="40% - 强调文字颜色 4 15" xfId="43251"/>
    <cellStyle name="40% - 强调文字颜色 4 16" xfId="43293"/>
    <cellStyle name="40% - 强调文字颜色 4 2" xfId="8063"/>
    <cellStyle name="40% - 强调文字颜色 4 3" xfId="8105"/>
    <cellStyle name="40% - 强调文字颜色 4 4" xfId="8147"/>
    <cellStyle name="40% - 强调文字颜色 4 5" xfId="8189"/>
    <cellStyle name="40% - 强调文字颜色 4 6" xfId="8230"/>
    <cellStyle name="40% - 强调文字颜色 4 7" xfId="8272"/>
    <cellStyle name="40% - 强调文字颜色 4 8" xfId="8314"/>
    <cellStyle name="40% - 强调文字颜色 4 9" xfId="8356"/>
    <cellStyle name="40% - 强调文字颜色 5 10" xfId="8402"/>
    <cellStyle name="40% - 强调文字颜色 5 11" xfId="8444"/>
    <cellStyle name="40% - 强调文字颜色 5 12" xfId="8486"/>
    <cellStyle name="40% - 强调文字颜色 5 13" xfId="8528"/>
    <cellStyle name="40% - 强调文字颜色 5 14" xfId="8570"/>
    <cellStyle name="40% - 强调文字颜色 5 15" xfId="43255"/>
    <cellStyle name="40% - 强调文字颜色 5 16" xfId="43297"/>
    <cellStyle name="40% - 强调文字颜色 5 2" xfId="8067"/>
    <cellStyle name="40% - 强调文字颜色 5 3" xfId="8109"/>
    <cellStyle name="40% - 强调文字颜色 5 4" xfId="8151"/>
    <cellStyle name="40% - 强调文字颜色 5 5" xfId="8193"/>
    <cellStyle name="40% - 强调文字颜色 5 6" xfId="8234"/>
    <cellStyle name="40% - 强调文字颜色 5 7" xfId="8276"/>
    <cellStyle name="40% - 强调文字颜色 5 8" xfId="8318"/>
    <cellStyle name="40% - 强调文字颜色 5 9" xfId="8360"/>
    <cellStyle name="40% - 强调文字颜色 6 10" xfId="8406"/>
    <cellStyle name="40% - 强调文字颜色 6 11" xfId="8448"/>
    <cellStyle name="40% - 强调文字颜色 6 12" xfId="8490"/>
    <cellStyle name="40% - 强调文字颜色 6 13" xfId="8532"/>
    <cellStyle name="40% - 强调文字颜色 6 14" xfId="8574"/>
    <cellStyle name="40% - 强调文字颜色 6 15" xfId="43259"/>
    <cellStyle name="40% - 强调文字颜色 6 16" xfId="43301"/>
    <cellStyle name="40% - 强调文字颜色 6 2" xfId="8071"/>
    <cellStyle name="40% - 强调文字颜色 6 3" xfId="8113"/>
    <cellStyle name="40% - 强调文字颜色 6 4" xfId="8155"/>
    <cellStyle name="40% - 强调文字颜色 6 5" xfId="8197"/>
    <cellStyle name="40% - 强调文字颜色 6 6" xfId="8238"/>
    <cellStyle name="40% - 强调文字颜色 6 7" xfId="8280"/>
    <cellStyle name="40% - 强调文字颜色 6 8" xfId="8322"/>
    <cellStyle name="40% - 强调文字颜色 6 9" xfId="8364"/>
    <cellStyle name="40% - 輔色1 10" xfId="10844"/>
    <cellStyle name="40% - 輔色1 10 10" xfId="36745"/>
    <cellStyle name="40% - 輔色1 10 11" xfId="38314"/>
    <cellStyle name="40% - 輔色1 10 2" xfId="24082"/>
    <cellStyle name="40% - 輔色1 10 3" xfId="27494"/>
    <cellStyle name="40% - 輔色1 10 4" xfId="23605"/>
    <cellStyle name="40% - 輔色1 10 5" xfId="27127"/>
    <cellStyle name="40% - 輔色1 10 6" xfId="29847"/>
    <cellStyle name="40% - 輔色1 10 7" xfId="31622"/>
    <cellStyle name="40% - 輔色1 10 8" xfId="33381"/>
    <cellStyle name="40% - 輔色1 10 9" xfId="35095"/>
    <cellStyle name="40% - 輔色1 11" xfId="11775"/>
    <cellStyle name="40% - 輔色1 11 10" xfId="37521"/>
    <cellStyle name="40% - 輔色1 11 11" xfId="39060"/>
    <cellStyle name="40% - 輔色1 11 2" xfId="24083"/>
    <cellStyle name="40% - 輔色1 11 3" xfId="27495"/>
    <cellStyle name="40% - 輔色1 11 4" xfId="22912"/>
    <cellStyle name="40% - 輔色1 11 5" xfId="28883"/>
    <cellStyle name="40% - 輔色1 11 6" xfId="30669"/>
    <cellStyle name="40% - 輔色1 11 7" xfId="32442"/>
    <cellStyle name="40% - 輔色1 11 8" xfId="34193"/>
    <cellStyle name="40% - 輔色1 11 9" xfId="35894"/>
    <cellStyle name="40% - 輔色1 12" xfId="12195"/>
    <cellStyle name="40% - 輔色1 12 10" xfId="37523"/>
    <cellStyle name="40% - 輔色1 12 11" xfId="39062"/>
    <cellStyle name="40% - 輔色1 12 2" xfId="24084"/>
    <cellStyle name="40% - 輔色1 12 3" xfId="27496"/>
    <cellStyle name="40% - 輔色1 12 4" xfId="23700"/>
    <cellStyle name="40% - 輔色1 12 5" xfId="28885"/>
    <cellStyle name="40% - 輔色1 12 6" xfId="30671"/>
    <cellStyle name="40% - 輔色1 12 7" xfId="32444"/>
    <cellStyle name="40% - 輔色1 12 8" xfId="34195"/>
    <cellStyle name="40% - 輔色1 12 9" xfId="35896"/>
    <cellStyle name="40% - 輔色1 13" xfId="12680"/>
    <cellStyle name="40% - 輔色1 13 10" xfId="37524"/>
    <cellStyle name="40% - 輔色1 13 11" xfId="39063"/>
    <cellStyle name="40% - 輔色1 13 2" xfId="24085"/>
    <cellStyle name="40% - 輔色1 13 3" xfId="27497"/>
    <cellStyle name="40% - 輔色1 13 4" xfId="24859"/>
    <cellStyle name="40% - 輔色1 13 5" xfId="28886"/>
    <cellStyle name="40% - 輔色1 13 6" xfId="30672"/>
    <cellStyle name="40% - 輔色1 13 7" xfId="32445"/>
    <cellStyle name="40% - 輔色1 13 8" xfId="34196"/>
    <cellStyle name="40% - 輔色1 13 9" xfId="35897"/>
    <cellStyle name="40% - 輔色1 14" xfId="14487"/>
    <cellStyle name="40% - 輔色1 14 10" xfId="29427"/>
    <cellStyle name="40% - 輔色1 14 11" xfId="31204"/>
    <cellStyle name="40% - 輔色1 14 2" xfId="24086"/>
    <cellStyle name="40% - 輔色1 14 3" xfId="27498"/>
    <cellStyle name="40% - 輔色1 14 4" xfId="23096"/>
    <cellStyle name="40% - 輔色1 14 5" xfId="28425"/>
    <cellStyle name="40% - 輔色1 14 6" xfId="27331"/>
    <cellStyle name="40% - 輔色1 14 7" xfId="23107"/>
    <cellStyle name="40% - 輔色1 14 8" xfId="28317"/>
    <cellStyle name="40% - 輔色1 14 9" xfId="23389"/>
    <cellStyle name="40% - 輔色1 15" xfId="15335"/>
    <cellStyle name="40% - 輔色1 15 10" xfId="37587"/>
    <cellStyle name="40% - 輔色1 15 11" xfId="39118"/>
    <cellStyle name="40% - 輔色1 15 2" xfId="24087"/>
    <cellStyle name="40% - 輔色1 15 3" xfId="27499"/>
    <cellStyle name="40% - 輔色1 15 4" xfId="23632"/>
    <cellStyle name="40% - 輔色1 15 5" xfId="28962"/>
    <cellStyle name="40% - 輔色1 15 6" xfId="30748"/>
    <cellStyle name="40% - 輔色1 15 7" xfId="32521"/>
    <cellStyle name="40% - 輔色1 15 8" xfId="34264"/>
    <cellStyle name="40% - 輔色1 15 9" xfId="35961"/>
    <cellStyle name="40% - 輔色1 16" xfId="16425"/>
    <cellStyle name="40% - 輔色1 16 10" xfId="30762"/>
    <cellStyle name="40% - 輔色1 16 11" xfId="32535"/>
    <cellStyle name="40% - 輔色1 16 2" xfId="24088"/>
    <cellStyle name="40% - 輔色1 16 3" xfId="27500"/>
    <cellStyle name="40% - 輔色1 16 4" xfId="26549"/>
    <cellStyle name="40% - 輔色1 16 5" xfId="28387"/>
    <cellStyle name="40% - 輔色1 16 6" xfId="27391"/>
    <cellStyle name="40% - 輔色1 16 7" xfId="27097"/>
    <cellStyle name="40% - 輔色1 16 8" xfId="23394"/>
    <cellStyle name="40% - 輔色1 16 9" xfId="28976"/>
    <cellStyle name="40% - 輔色1 17" xfId="17355"/>
    <cellStyle name="40% - 輔色1 17 10" xfId="37752"/>
    <cellStyle name="40% - 輔色1 17 11" xfId="39258"/>
    <cellStyle name="40% - 輔色1 17 2" xfId="24089"/>
    <cellStyle name="40% - 輔色1 17 3" xfId="27501"/>
    <cellStyle name="40% - 輔色1 17 4" xfId="26801"/>
    <cellStyle name="40% - 輔色1 17 5" xfId="29166"/>
    <cellStyle name="40% - 輔色1 17 6" xfId="30950"/>
    <cellStyle name="40% - 輔色1 17 7" xfId="32721"/>
    <cellStyle name="40% - 輔色1 17 8" xfId="34458"/>
    <cellStyle name="40% - 輔色1 17 9" xfId="36140"/>
    <cellStyle name="40% - 輔色1 18" xfId="18263"/>
    <cellStyle name="40% - 輔色1 18 10" xfId="37847"/>
    <cellStyle name="40% - 輔色1 18 11" xfId="39336"/>
    <cellStyle name="40% - 輔色1 18 2" xfId="24090"/>
    <cellStyle name="40% - 輔色1 18 3" xfId="27502"/>
    <cellStyle name="40% - 輔色1 18 4" xfId="23447"/>
    <cellStyle name="40% - 輔色1 18 5" xfId="29292"/>
    <cellStyle name="40% - 輔色1 18 6" xfId="31074"/>
    <cellStyle name="40% - 輔色1 18 7" xfId="32843"/>
    <cellStyle name="40% - 輔色1 18 8" xfId="34574"/>
    <cellStyle name="40% - 輔色1 18 9" xfId="36246"/>
    <cellStyle name="40% - 輔色1 19" xfId="19153"/>
    <cellStyle name="40% - 輔色1 19 10" xfId="37939"/>
    <cellStyle name="40% - 輔色1 19 11" xfId="39409"/>
    <cellStyle name="40% - 輔色1 19 2" xfId="24091"/>
    <cellStyle name="40% - 輔色1 19 3" xfId="27503"/>
    <cellStyle name="40% - 輔色1 19 4" xfId="23147"/>
    <cellStyle name="40% - 輔色1 19 5" xfId="29425"/>
    <cellStyle name="40% - 輔色1 19 6" xfId="31202"/>
    <cellStyle name="40% - 輔色1 19 7" xfId="32968"/>
    <cellStyle name="40% - 輔色1 19 8" xfId="34691"/>
    <cellStyle name="40% - 輔色1 19 9" xfId="36354"/>
    <cellStyle name="40% - 輔色1 2" xfId="8024"/>
    <cellStyle name="40% - 輔色1 2 10" xfId="37454"/>
    <cellStyle name="40% - 輔色1 2 11" xfId="39001"/>
    <cellStyle name="40% - 輔色1 2 12" xfId="9177"/>
    <cellStyle name="40% - 輔色1 2 2" xfId="9368"/>
    <cellStyle name="40% - 輔色1 2 2 2" xfId="24092"/>
    <cellStyle name="40% - 輔色1 2 3" xfId="27504"/>
    <cellStyle name="40% - 輔色1 2 4" xfId="23410"/>
    <cellStyle name="40% - 輔色1 2 5" xfId="28796"/>
    <cellStyle name="40% - 輔色1 2 6" xfId="30584"/>
    <cellStyle name="40% - 輔色1 2 7" xfId="32358"/>
    <cellStyle name="40% - 輔色1 2 8" xfId="34110"/>
    <cellStyle name="40% - 輔色1 2 9" xfId="35818"/>
    <cellStyle name="40% - 輔色1 20" xfId="19950"/>
    <cellStyle name="40% - 輔色1 20 10" xfId="32357"/>
    <cellStyle name="40% - 輔色1 20 11" xfId="34109"/>
    <cellStyle name="40% - 輔色1 20 2" xfId="24093"/>
    <cellStyle name="40% - 輔色1 20 3" xfId="27505"/>
    <cellStyle name="40% - 輔色1 20 4" xfId="23666"/>
    <cellStyle name="40% - 輔色1 20 5" xfId="28264"/>
    <cellStyle name="40% - 輔色1 20 6" xfId="27510"/>
    <cellStyle name="40% - 輔色1 20 7" xfId="23326"/>
    <cellStyle name="40% - 輔色1 20 8" xfId="28795"/>
    <cellStyle name="40% - 輔色1 20 9" xfId="30583"/>
    <cellStyle name="40% - 輔色1 21" xfId="19305"/>
    <cellStyle name="40% - 輔色1 21 10" xfId="33062"/>
    <cellStyle name="40% - 輔色1 21 11" xfId="34781"/>
    <cellStyle name="40% - 輔色1 21 2" xfId="24094"/>
    <cellStyle name="40% - 輔色1 21 3" xfId="27506"/>
    <cellStyle name="40% - 輔色1 21 4" xfId="23185"/>
    <cellStyle name="40% - 輔色1 21 5" xfId="28427"/>
    <cellStyle name="40% - 輔色1 21 6" xfId="27329"/>
    <cellStyle name="40% - 輔色1 21 7" xfId="26510"/>
    <cellStyle name="40% - 輔色1 21 8" xfId="29522"/>
    <cellStyle name="40% - 輔色1 21 9" xfId="31298"/>
    <cellStyle name="40% - 輔色1 22" xfId="21728"/>
    <cellStyle name="40% - 輔色1 22 10" xfId="37588"/>
    <cellStyle name="40% - 輔色1 22 11" xfId="39119"/>
    <cellStyle name="40% - 輔色1 22 2" xfId="24095"/>
    <cellStyle name="40% - 輔色1 22 3" xfId="27507"/>
    <cellStyle name="40% - 輔色1 22 4" xfId="23054"/>
    <cellStyle name="40% - 輔色1 22 5" xfId="28963"/>
    <cellStyle name="40% - 輔色1 22 6" xfId="30749"/>
    <cellStyle name="40% - 輔色1 22 7" xfId="32522"/>
    <cellStyle name="40% - 輔色1 22 8" xfId="34265"/>
    <cellStyle name="40% - 輔色1 22 9" xfId="35962"/>
    <cellStyle name="40% - 輔色1 23" xfId="22798"/>
    <cellStyle name="40% - 輔色1 23 10" xfId="27576"/>
    <cellStyle name="40% - 輔色1 23 11" xfId="23079"/>
    <cellStyle name="40% - 輔色1 23 2" xfId="24096"/>
    <cellStyle name="40% - 輔色1 23 3" xfId="27508"/>
    <cellStyle name="40% - 輔色1 23 4" xfId="26811"/>
    <cellStyle name="40% - 輔色1 23 5" xfId="28388"/>
    <cellStyle name="40% - 輔色1 23 6" xfId="27390"/>
    <cellStyle name="40% - 輔色1 23 7" xfId="28231"/>
    <cellStyle name="40% - 輔色1 23 8" xfId="27546"/>
    <cellStyle name="40% - 輔色1 23 9" xfId="28219"/>
    <cellStyle name="40% - 輔色1 24" xfId="24097"/>
    <cellStyle name="40% - 輔色1 25" xfId="24098"/>
    <cellStyle name="40% - 輔色1 26" xfId="24099"/>
    <cellStyle name="40% - 輔色1 27" xfId="24100"/>
    <cellStyle name="40% - 輔色1 28" xfId="24101"/>
    <cellStyle name="40% - 輔色1 29" xfId="24102"/>
    <cellStyle name="40% - 輔色1 3" xfId="9219"/>
    <cellStyle name="40% - 輔色1 3 10" xfId="28390"/>
    <cellStyle name="40% - 輔色1 3 11" xfId="27388"/>
    <cellStyle name="40% - 輔色1 3 2" xfId="9484"/>
    <cellStyle name="40% - 輔色1 3 2 2" xfId="24103"/>
    <cellStyle name="40% - 輔色1 3 3" xfId="27513"/>
    <cellStyle name="40% - 輔色1 3 4" xfId="23262"/>
    <cellStyle name="40% - 輔色1 3 5" xfId="28435"/>
    <cellStyle name="40% - 輔色1 3 6" xfId="27302"/>
    <cellStyle name="40% - 輔色1 3 7" xfId="23523"/>
    <cellStyle name="40% - 輔色1 3 8" xfId="28314"/>
    <cellStyle name="40% - 輔色1 3 9" xfId="26382"/>
    <cellStyle name="40% - 輔色1 30" xfId="24104"/>
    <cellStyle name="40% - 輔色1 31" xfId="24105"/>
    <cellStyle name="40% - 輔色1 32" xfId="24106"/>
    <cellStyle name="40% - 輔色1 33" xfId="24107"/>
    <cellStyle name="40% - 輔色1 34" xfId="24108"/>
    <cellStyle name="40% - 輔色1 35" xfId="24109"/>
    <cellStyle name="40% - 輔色1 36" xfId="24110"/>
    <cellStyle name="40% - 輔色1 37" xfId="24111"/>
    <cellStyle name="40% - 輔色1 38" xfId="24112"/>
    <cellStyle name="40% - 輔色1 39" xfId="24113"/>
    <cellStyle name="40% - 輔色1 4" xfId="10655"/>
    <cellStyle name="40% - 輔色1 4 10" xfId="34271"/>
    <cellStyle name="40% - 輔色1 4 11" xfId="35967"/>
    <cellStyle name="40% - 輔色1 4 2" xfId="24114"/>
    <cellStyle name="40% - 輔色1 4 3" xfId="27524"/>
    <cellStyle name="40% - 輔色1 4 4" xfId="23451"/>
    <cellStyle name="40% - 輔色1 4 5" xfId="28274"/>
    <cellStyle name="40% - 輔色1 4 6" xfId="23554"/>
    <cellStyle name="40% - 輔色1 4 7" xfId="28969"/>
    <cellStyle name="40% - 輔色1 4 8" xfId="30755"/>
    <cellStyle name="40% - 輔色1 4 9" xfId="32528"/>
    <cellStyle name="40% - 輔色1 40" xfId="24115"/>
    <cellStyle name="40% - 輔色1 41" xfId="24116"/>
    <cellStyle name="40% - 輔色1 42" xfId="24117"/>
    <cellStyle name="40% - 輔色1 43" xfId="24118"/>
    <cellStyle name="40% - 輔色1 44" xfId="24119"/>
    <cellStyle name="40% - 輔色1 45" xfId="24120"/>
    <cellStyle name="40% - 輔色1 46" xfId="24121"/>
    <cellStyle name="40% - 輔色1 47" xfId="24122"/>
    <cellStyle name="40% - 輔色1 48" xfId="24123"/>
    <cellStyle name="40% - 輔色1 49" xfId="24124"/>
    <cellStyle name="40% - 輔色1 5" xfId="10558"/>
    <cellStyle name="40% - 輔色1 5 10" xfId="34847"/>
    <cellStyle name="40% - 輔色1 5 11" xfId="36500"/>
    <cellStyle name="40% - 輔色1 5 2" xfId="24125"/>
    <cellStyle name="40% - 輔色1 5 3" xfId="27534"/>
    <cellStyle name="40% - 輔色1 5 4" xfId="28220"/>
    <cellStyle name="40% - 輔色1 5 5" xfId="27575"/>
    <cellStyle name="40% - 輔色1 5 6" xfId="26951"/>
    <cellStyle name="40% - 輔色1 5 7" xfId="29590"/>
    <cellStyle name="40% - 輔色1 5 8" xfId="31366"/>
    <cellStyle name="40% - 輔色1 5 9" xfId="33129"/>
    <cellStyle name="40% - 輔色1 50" xfId="24126"/>
    <cellStyle name="40% - 輔色1 51" xfId="24127"/>
    <cellStyle name="40% - 輔色1 52" xfId="24128"/>
    <cellStyle name="40% - 輔色1 53" xfId="24129"/>
    <cellStyle name="40% - 輔色1 54" xfId="24130"/>
    <cellStyle name="40% - 輔色1 55" xfId="24131"/>
    <cellStyle name="40% - 輔色1 56" xfId="24132"/>
    <cellStyle name="40% - 輔色1 57" xfId="24133"/>
    <cellStyle name="40% - 輔色1 58" xfId="24134"/>
    <cellStyle name="40% - 輔色1 59" xfId="24135"/>
    <cellStyle name="40% - 輔色1 6" xfId="10739"/>
    <cellStyle name="40% - 輔色1 6 10" xfId="39798"/>
    <cellStyle name="40% - 輔色1 6 11" xfId="41060"/>
    <cellStyle name="40% - 輔色1 6 2" xfId="24136"/>
    <cellStyle name="40% - 輔色1 6 3" xfId="27545"/>
    <cellStyle name="40% - 輔色1 6 4" xfId="29891"/>
    <cellStyle name="40% - 輔色1 6 5" xfId="31666"/>
    <cellStyle name="40% - 輔色1 6 6" xfId="33425"/>
    <cellStyle name="40% - 輔色1 6 7" xfId="35139"/>
    <cellStyle name="40% - 輔色1 6 8" xfId="36789"/>
    <cellStyle name="40% - 輔色1 6 9" xfId="38354"/>
    <cellStyle name="40% - 輔色1 60" xfId="24137"/>
    <cellStyle name="40% - 輔色1 61" xfId="24138"/>
    <cellStyle name="40% - 輔色1 62" xfId="23594"/>
    <cellStyle name="40% - 輔色1 63" xfId="28500"/>
    <cellStyle name="40% - 輔色1 64" xfId="27212"/>
    <cellStyle name="40% - 輔色1 65" xfId="28241"/>
    <cellStyle name="40% - 輔色1 66" xfId="27535"/>
    <cellStyle name="40% - 輔色1 67" xfId="23531"/>
    <cellStyle name="40% - 輔色1 68" xfId="28275"/>
    <cellStyle name="40% - 輔色1 69" xfId="23364"/>
    <cellStyle name="40% - 輔色1 7" xfId="10660"/>
    <cellStyle name="40% - 輔色1 7 10" xfId="29657"/>
    <cellStyle name="40% - 輔色1 7 11" xfId="31432"/>
    <cellStyle name="40% - 輔色1 7 2" xfId="24139"/>
    <cellStyle name="40% - 輔色1 7 3" xfId="27548"/>
    <cellStyle name="40% - 輔色1 7 4" xfId="23183"/>
    <cellStyle name="40% - 輔色1 7 5" xfId="28443"/>
    <cellStyle name="40% - 輔色1 7 6" xfId="27293"/>
    <cellStyle name="40% - 輔色1 7 7" xfId="22812"/>
    <cellStyle name="40% - 輔色1 7 8" xfId="28554"/>
    <cellStyle name="40% - 輔色1 7 9" xfId="23453"/>
    <cellStyle name="40% - 輔色1 70" xfId="28999"/>
    <cellStyle name="40% - 輔色1 71" xfId="8629"/>
    <cellStyle name="40% - 輔色1 72" xfId="8001"/>
    <cellStyle name="40% - 輔色1 73" xfId="43306"/>
    <cellStyle name="40% - 輔色1 74" xfId="7945"/>
    <cellStyle name="40% - 輔色1 8" xfId="9380"/>
    <cellStyle name="40% - 輔色1 8 10" xfId="38060"/>
    <cellStyle name="40% - 輔色1 8 11" xfId="39517"/>
    <cellStyle name="40% - 輔色1 8 2" xfId="24140"/>
    <cellStyle name="40% - 輔色1 8 3" xfId="27549"/>
    <cellStyle name="40% - 輔色1 8 4" xfId="26543"/>
    <cellStyle name="40% - 輔色1 8 5" xfId="29565"/>
    <cellStyle name="40% - 輔色1 8 6" xfId="31341"/>
    <cellStyle name="40% - 輔色1 8 7" xfId="33105"/>
    <cellStyle name="40% - 輔色1 8 8" xfId="34823"/>
    <cellStyle name="40% - 輔色1 8 9" xfId="36478"/>
    <cellStyle name="40% - 輔色1 9" xfId="10944"/>
    <cellStyle name="40% - 輔色1 9 10" xfId="37621"/>
    <cellStyle name="40% - 輔色1 9 11" xfId="39146"/>
    <cellStyle name="40% - 輔色1 9 2" xfId="24141"/>
    <cellStyle name="40% - 輔色1 9 3" xfId="27550"/>
    <cellStyle name="40% - 輔色1 9 4" xfId="23179"/>
    <cellStyle name="40% - 輔色1 9 5" xfId="29010"/>
    <cellStyle name="40% - 輔色1 9 6" xfId="30795"/>
    <cellStyle name="40% - 輔色1 9 7" xfId="32568"/>
    <cellStyle name="40% - 輔色1 9 8" xfId="34310"/>
    <cellStyle name="40% - 輔色1 9 9" xfId="36000"/>
    <cellStyle name="40% - 輔色2 10" xfId="11419"/>
    <cellStyle name="40% - 輔色2 10 10" xfId="37761"/>
    <cellStyle name="40% - 輔色2 10 11" xfId="39264"/>
    <cellStyle name="40% - 輔色2 10 2" xfId="24142"/>
    <cellStyle name="40% - 輔色2 10 3" xfId="27551"/>
    <cellStyle name="40% - 輔色2 10 4" xfId="22988"/>
    <cellStyle name="40% - 輔色2 10 5" xfId="29182"/>
    <cellStyle name="40% - 輔色2 10 6" xfId="30966"/>
    <cellStyle name="40% - 輔色2 10 7" xfId="32736"/>
    <cellStyle name="40% - 輔色2 10 8" xfId="34472"/>
    <cellStyle name="40% - 輔色2 10 9" xfId="36153"/>
    <cellStyle name="40% - 輔色2 11" xfId="11658"/>
    <cellStyle name="40% - 輔色2 11 10" xfId="37853"/>
    <cellStyle name="40% - 輔色2 11 11" xfId="39340"/>
    <cellStyle name="40% - 輔色2 11 2" xfId="24143"/>
    <cellStyle name="40% - 輔色2 11 3" xfId="27552"/>
    <cellStyle name="40% - 輔色2 11 4" xfId="23382"/>
    <cellStyle name="40% - 輔色2 11 5" xfId="29310"/>
    <cellStyle name="40% - 輔色2 11 6" xfId="31091"/>
    <cellStyle name="40% - 輔色2 11 7" xfId="32860"/>
    <cellStyle name="40% - 輔色2 11 8" xfId="34589"/>
    <cellStyle name="40% - 輔色2 11 9" xfId="36259"/>
    <cellStyle name="40% - 輔色2 12" xfId="12729"/>
    <cellStyle name="40% - 輔色2 12 10" xfId="32560"/>
    <cellStyle name="40% - 輔色2 12 11" xfId="34302"/>
    <cellStyle name="40% - 輔色2 12 2" xfId="24144"/>
    <cellStyle name="40% - 輔色2 12 3" xfId="27553"/>
    <cellStyle name="40% - 輔色2 12 4" xfId="23677"/>
    <cellStyle name="40% - 輔色2 12 5" xfId="28592"/>
    <cellStyle name="40% - 輔色2 12 6" xfId="27090"/>
    <cellStyle name="40% - 輔色2 12 7" xfId="23528"/>
    <cellStyle name="40% - 輔色2 12 8" xfId="29002"/>
    <cellStyle name="40% - 輔色2 12 9" xfId="30787"/>
    <cellStyle name="40% - 輔色2 13" xfId="12402"/>
    <cellStyle name="40% - 輔色2 13 10" xfId="37430"/>
    <cellStyle name="40% - 輔色2 13 11" xfId="38979"/>
    <cellStyle name="40% - 輔色2 13 2" xfId="24145"/>
    <cellStyle name="40% - 輔色2 13 3" xfId="27554"/>
    <cellStyle name="40% - 輔色2 13 4" xfId="23562"/>
    <cellStyle name="40% - 輔色2 13 5" xfId="28769"/>
    <cellStyle name="40% - 輔色2 13 6" xfId="30557"/>
    <cellStyle name="40% - 輔色2 13 7" xfId="32332"/>
    <cellStyle name="40% - 輔色2 13 8" xfId="34084"/>
    <cellStyle name="40% - 輔色2 13 9" xfId="35794"/>
    <cellStyle name="40% - 輔色2 14" xfId="11676"/>
    <cellStyle name="40% - 輔色2 14 10" xfId="39653"/>
    <cellStyle name="40% - 輔色2 14 11" xfId="40924"/>
    <cellStyle name="40% - 輔色2 14 2" xfId="24146"/>
    <cellStyle name="40% - 輔色2 14 3" xfId="27555"/>
    <cellStyle name="40% - 輔色2 14 4" xfId="29724"/>
    <cellStyle name="40% - 輔色2 14 5" xfId="31499"/>
    <cellStyle name="40% - 輔色2 14 6" xfId="33260"/>
    <cellStyle name="40% - 輔色2 14 7" xfId="34978"/>
    <cellStyle name="40% - 輔色2 14 8" xfId="36631"/>
    <cellStyle name="40% - 輔色2 14 9" xfId="38202"/>
    <cellStyle name="40% - 輔色2 15" xfId="15256"/>
    <cellStyle name="40% - 輔色2 15 10" xfId="40011"/>
    <cellStyle name="40% - 輔色2 15 11" xfId="41261"/>
    <cellStyle name="40% - 輔色2 15 2" xfId="24147"/>
    <cellStyle name="40% - 輔色2 15 3" xfId="27556"/>
    <cellStyle name="40% - 輔色2 15 4" xfId="30127"/>
    <cellStyle name="40% - 輔色2 15 5" xfId="31902"/>
    <cellStyle name="40% - 輔色2 15 6" xfId="33657"/>
    <cellStyle name="40% - 輔色2 15 7" xfId="35370"/>
    <cellStyle name="40% - 輔色2 15 8" xfId="37015"/>
    <cellStyle name="40% - 輔色2 15 9" xfId="38574"/>
    <cellStyle name="40% - 輔色2 16" xfId="16345"/>
    <cellStyle name="40% - 輔色2 16 10" xfId="39797"/>
    <cellStyle name="40% - 輔色2 16 11" xfId="41059"/>
    <cellStyle name="40% - 輔色2 16 2" xfId="24148"/>
    <cellStyle name="40% - 輔色2 16 3" xfId="27557"/>
    <cellStyle name="40% - 輔色2 16 4" xfId="29890"/>
    <cellStyle name="40% - 輔色2 16 5" xfId="31665"/>
    <cellStyle name="40% - 輔色2 16 6" xfId="33424"/>
    <cellStyle name="40% - 輔色2 16 7" xfId="35138"/>
    <cellStyle name="40% - 輔色2 16 8" xfId="36788"/>
    <cellStyle name="40% - 輔色2 16 9" xfId="38353"/>
    <cellStyle name="40% - 輔色2 17" xfId="17275"/>
    <cellStyle name="40% - 輔色2 17 10" xfId="34485"/>
    <cellStyle name="40% - 輔色2 17 11" xfId="36165"/>
    <cellStyle name="40% - 輔色2 17 2" xfId="24149"/>
    <cellStyle name="40% - 輔色2 17 3" xfId="27558"/>
    <cellStyle name="40% - 輔色2 17 4" xfId="28218"/>
    <cellStyle name="40% - 輔色2 17 5" xfId="27577"/>
    <cellStyle name="40% - 輔色2 17 6" xfId="23098"/>
    <cellStyle name="40% - 輔色2 17 7" xfId="29196"/>
    <cellStyle name="40% - 輔色2 17 8" xfId="30979"/>
    <cellStyle name="40% - 輔色2 17 9" xfId="32749"/>
    <cellStyle name="40% - 輔色2 18" xfId="18183"/>
    <cellStyle name="40% - 輔色2 18 10" xfId="34466"/>
    <cellStyle name="40% - 輔色2 18 11" xfId="36148"/>
    <cellStyle name="40% - 輔色2 18 2" xfId="24150"/>
    <cellStyle name="40% - 輔色2 18 3" xfId="27559"/>
    <cellStyle name="40% - 輔色2 18 4" xfId="22776"/>
    <cellStyle name="40% - 輔色2 18 5" xfId="28276"/>
    <cellStyle name="40% - 輔色2 18 6" xfId="22845"/>
    <cellStyle name="40% - 輔色2 18 7" xfId="29175"/>
    <cellStyle name="40% - 輔色2 18 8" xfId="30959"/>
    <cellStyle name="40% - 輔色2 18 9" xfId="32730"/>
    <cellStyle name="40% - 輔色2 19" xfId="19073"/>
    <cellStyle name="40% - 輔色2 19 10" xfId="29178"/>
    <cellStyle name="40% - 輔色2 19 11" xfId="30962"/>
    <cellStyle name="40% - 輔色2 19 2" xfId="24151"/>
    <cellStyle name="40% - 輔色2 19 3" xfId="27560"/>
    <cellStyle name="40% - 輔色2 19 4" xfId="23339"/>
    <cellStyle name="40% - 輔色2 19 5" xfId="28444"/>
    <cellStyle name="40% - 輔色2 19 6" xfId="27292"/>
    <cellStyle name="40% - 輔色2 19 7" xfId="23294"/>
    <cellStyle name="40% - 輔色2 19 8" xfId="27091"/>
    <cellStyle name="40% - 輔色2 19 9" xfId="26559"/>
    <cellStyle name="40% - 輔色2 2" xfId="8576"/>
    <cellStyle name="40% - 輔色2 2 10" xfId="38061"/>
    <cellStyle name="40% - 輔色2 2 11" xfId="39518"/>
    <cellStyle name="40% - 輔色2 2 12" xfId="9181"/>
    <cellStyle name="40% - 輔色2 2 2" xfId="9369"/>
    <cellStyle name="40% - 輔色2 2 2 2" xfId="24152"/>
    <cellStyle name="40% - 輔色2 2 3" xfId="27561"/>
    <cellStyle name="40% - 輔色2 2 4" xfId="26931"/>
    <cellStyle name="40% - 輔色2 2 5" xfId="29566"/>
    <cellStyle name="40% - 輔色2 2 6" xfId="31342"/>
    <cellStyle name="40% - 輔色2 2 7" xfId="33106"/>
    <cellStyle name="40% - 輔色2 2 8" xfId="34824"/>
    <cellStyle name="40% - 輔色2 2 9" xfId="36479"/>
    <cellStyle name="40% - 輔色2 20" xfId="11513"/>
    <cellStyle name="40% - 輔色2 20 10" xfId="37624"/>
    <cellStyle name="40% - 輔色2 20 11" xfId="39149"/>
    <cellStyle name="40% - 輔色2 20 2" xfId="24153"/>
    <cellStyle name="40% - 輔色2 20 3" xfId="27562"/>
    <cellStyle name="40% - 輔色2 20 4" xfId="23363"/>
    <cellStyle name="40% - 輔色2 20 5" xfId="29013"/>
    <cellStyle name="40% - 輔色2 20 6" xfId="30798"/>
    <cellStyle name="40% - 輔色2 20 7" xfId="32571"/>
    <cellStyle name="40% - 輔色2 20 8" xfId="34313"/>
    <cellStyle name="40% - 輔色2 20 9" xfId="36003"/>
    <cellStyle name="40% - 輔色2 21" xfId="20730"/>
    <cellStyle name="40% - 輔色2 21 10" xfId="37762"/>
    <cellStyle name="40% - 輔色2 21 11" xfId="39265"/>
    <cellStyle name="40% - 輔色2 21 2" xfId="24154"/>
    <cellStyle name="40% - 輔色2 21 3" xfId="27563"/>
    <cellStyle name="40% - 輔色2 21 4" xfId="23097"/>
    <cellStyle name="40% - 輔色2 21 5" xfId="29183"/>
    <cellStyle name="40% - 輔色2 21 6" xfId="30967"/>
    <cellStyle name="40% - 輔色2 21 7" xfId="32737"/>
    <cellStyle name="40% - 輔色2 21 8" xfId="34473"/>
    <cellStyle name="40% - 輔色2 21 9" xfId="36154"/>
    <cellStyle name="40% - 輔色2 22" xfId="21648"/>
    <cellStyle name="40% - 輔色2 22 10" xfId="37854"/>
    <cellStyle name="40% - 輔色2 22 11" xfId="39341"/>
    <cellStyle name="40% - 輔色2 22 2" xfId="24155"/>
    <cellStyle name="40% - 輔色2 22 3" xfId="27564"/>
    <cellStyle name="40% - 輔色2 22 4" xfId="23458"/>
    <cellStyle name="40% - 輔色2 22 5" xfId="29311"/>
    <cellStyle name="40% - 輔色2 22 6" xfId="31092"/>
    <cellStyle name="40% - 輔色2 22 7" xfId="32861"/>
    <cellStyle name="40% - 輔色2 22 8" xfId="34590"/>
    <cellStyle name="40% - 輔色2 22 9" xfId="36260"/>
    <cellStyle name="40% - 輔色2 23" xfId="22799"/>
    <cellStyle name="40% - 輔色2 23 10" xfId="34377"/>
    <cellStyle name="40% - 輔色2 23 11" xfId="36065"/>
    <cellStyle name="40% - 輔色2 23 2" xfId="24156"/>
    <cellStyle name="40% - 輔色2 23 3" xfId="27565"/>
    <cellStyle name="40% - 輔色2 23 4" xfId="24844"/>
    <cellStyle name="40% - 輔色2 23 5" xfId="28593"/>
    <cellStyle name="40% - 輔色2 23 6" xfId="23295"/>
    <cellStyle name="40% - 輔色2 23 7" xfId="29079"/>
    <cellStyle name="40% - 輔色2 23 8" xfId="30864"/>
    <cellStyle name="40% - 輔色2 23 9" xfId="32636"/>
    <cellStyle name="40% - 輔色2 24" xfId="24157"/>
    <cellStyle name="40% - 輔色2 25" xfId="24158"/>
    <cellStyle name="40% - 輔色2 26" xfId="24159"/>
    <cellStyle name="40% - 輔色2 27" xfId="24160"/>
    <cellStyle name="40% - 輔色2 28" xfId="24161"/>
    <cellStyle name="40% - 輔色2 29" xfId="24162"/>
    <cellStyle name="40% - 輔色2 3" xfId="9223"/>
    <cellStyle name="40% - 輔色2 3 10" xfId="37533"/>
    <cellStyle name="40% - 輔色2 3 11" xfId="39072"/>
    <cellStyle name="40% - 輔色2 3 2" xfId="9482"/>
    <cellStyle name="40% - 輔色2 3 2 2" xfId="24163"/>
    <cellStyle name="40% - 輔色2 3 3" xfId="27571"/>
    <cellStyle name="40% - 輔色2 3 4" xfId="23586"/>
    <cellStyle name="40% - 輔色2 3 5" xfId="28896"/>
    <cellStyle name="40% - 輔色2 3 6" xfId="30682"/>
    <cellStyle name="40% - 輔色2 3 7" xfId="32455"/>
    <cellStyle name="40% - 輔色2 3 8" xfId="34206"/>
    <cellStyle name="40% - 輔色2 3 9" xfId="35906"/>
    <cellStyle name="40% - 輔色2 30" xfId="24164"/>
    <cellStyle name="40% - 輔色2 31" xfId="24165"/>
    <cellStyle name="40% - 輔色2 32" xfId="24166"/>
    <cellStyle name="40% - 輔色2 33" xfId="24167"/>
    <cellStyle name="40% - 輔色2 34" xfId="24168"/>
    <cellStyle name="40% - 輔色2 35" xfId="24169"/>
    <cellStyle name="40% - 輔色2 36" xfId="24170"/>
    <cellStyle name="40% - 輔色2 37" xfId="24171"/>
    <cellStyle name="40% - 輔色2 38" xfId="24172"/>
    <cellStyle name="40% - 輔色2 39" xfId="24173"/>
    <cellStyle name="40% - 輔色2 4" xfId="10577"/>
    <cellStyle name="40% - 輔色2 4 10" xfId="40012"/>
    <cellStyle name="40% - 輔色2 4 11" xfId="41262"/>
    <cellStyle name="40% - 輔色2 4 2" xfId="24174"/>
    <cellStyle name="40% - 輔色2 4 3" xfId="27582"/>
    <cellStyle name="40% - 輔色2 4 4" xfId="30129"/>
    <cellStyle name="40% - 輔色2 4 5" xfId="31904"/>
    <cellStyle name="40% - 輔色2 4 6" xfId="33659"/>
    <cellStyle name="40% - 輔色2 4 7" xfId="35372"/>
    <cellStyle name="40% - 輔色2 4 8" xfId="37017"/>
    <cellStyle name="40% - 輔色2 4 9" xfId="38576"/>
    <cellStyle name="40% - 輔色2 40" xfId="24175"/>
    <cellStyle name="40% - 輔色2 41" xfId="24176"/>
    <cellStyle name="40% - 輔色2 42" xfId="24177"/>
    <cellStyle name="40% - 輔色2 43" xfId="24178"/>
    <cellStyle name="40% - 輔色2 44" xfId="24179"/>
    <cellStyle name="40% - 輔色2 45" xfId="24180"/>
    <cellStyle name="40% - 輔色2 46" xfId="24181"/>
    <cellStyle name="40% - 輔色2 47" xfId="24182"/>
    <cellStyle name="40% - 輔色2 48" xfId="24183"/>
    <cellStyle name="40% - 輔色2 49" xfId="24184"/>
    <cellStyle name="40% - 輔色2 5" xfId="10294"/>
    <cellStyle name="40% - 輔色2 5 10" xfId="37346"/>
    <cellStyle name="40% - 輔色2 5 11" xfId="38899"/>
    <cellStyle name="40% - 輔色2 5 2" xfId="24185"/>
    <cellStyle name="40% - 輔色2 5 3" xfId="27593"/>
    <cellStyle name="40% - 輔色2 5 4" xfId="23682"/>
    <cellStyle name="40% - 輔色2 5 5" xfId="28678"/>
    <cellStyle name="40% - 輔色2 5 6" xfId="30467"/>
    <cellStyle name="40% - 輔色2 5 7" xfId="32242"/>
    <cellStyle name="40% - 輔色2 5 8" xfId="33995"/>
    <cellStyle name="40% - 輔色2 5 9" xfId="35706"/>
    <cellStyle name="40% - 輔色2 50" xfId="24186"/>
    <cellStyle name="40% - 輔色2 51" xfId="24187"/>
    <cellStyle name="40% - 輔色2 52" xfId="24188"/>
    <cellStyle name="40% - 輔色2 53" xfId="24189"/>
    <cellStyle name="40% - 輔色2 54" xfId="24190"/>
    <cellStyle name="40% - 輔色2 55" xfId="24191"/>
    <cellStyle name="40% - 輔色2 56" xfId="24192"/>
    <cellStyle name="40% - 輔色2 57" xfId="24193"/>
    <cellStyle name="40% - 輔色2 58" xfId="24194"/>
    <cellStyle name="40% - 輔色2 59" xfId="24195"/>
    <cellStyle name="40% - 輔色2 6" xfId="11069"/>
    <cellStyle name="40% - 輔色2 6 10" xfId="37408"/>
    <cellStyle name="40% - 輔色2 6 11" xfId="38959"/>
    <cellStyle name="40% - 輔色2 6 2" xfId="24196"/>
    <cellStyle name="40% - 輔色2 6 3" xfId="27604"/>
    <cellStyle name="40% - 輔色2 6 4" xfId="23629"/>
    <cellStyle name="40% - 輔色2 6 5" xfId="28745"/>
    <cellStyle name="40% - 輔色2 6 6" xfId="30533"/>
    <cellStyle name="40% - 輔色2 6 7" xfId="32308"/>
    <cellStyle name="40% - 輔色2 6 8" xfId="34060"/>
    <cellStyle name="40% - 輔色2 6 9" xfId="35770"/>
    <cellStyle name="40% - 輔色2 60" xfId="24197"/>
    <cellStyle name="40% - 輔色2 61" xfId="24198"/>
    <cellStyle name="40% - 輔色2 62" xfId="23519"/>
    <cellStyle name="40% - 輔色2 63" xfId="28499"/>
    <cellStyle name="40% - 輔色2 64" xfId="27213"/>
    <cellStyle name="40% - 輔色2 65" xfId="27114"/>
    <cellStyle name="40% - 輔色2 66" xfId="30017"/>
    <cellStyle name="40% - 輔色2 67" xfId="31792"/>
    <cellStyle name="40% - 輔色2 68" xfId="33549"/>
    <cellStyle name="40% - 輔色2 69" xfId="35263"/>
    <cellStyle name="40% - 輔色2 7" xfId="9651"/>
    <cellStyle name="40% - 輔色2 7 10" xfId="37407"/>
    <cellStyle name="40% - 輔色2 7 11" xfId="38958"/>
    <cellStyle name="40% - 輔色2 7 2" xfId="24199"/>
    <cellStyle name="40% - 輔色2 7 3" xfId="27607"/>
    <cellStyle name="40% - 輔色2 7 4" xfId="23400"/>
    <cellStyle name="40% - 輔色2 7 5" xfId="28742"/>
    <cellStyle name="40% - 輔色2 7 6" xfId="30531"/>
    <cellStyle name="40% - 輔色2 7 7" xfId="32306"/>
    <cellStyle name="40% - 輔色2 7 8" xfId="34059"/>
    <cellStyle name="40% - 輔色2 7 9" xfId="35769"/>
    <cellStyle name="40% - 輔色2 70" xfId="36910"/>
    <cellStyle name="40% - 輔色2 71" xfId="8005"/>
    <cellStyle name="40% - 輔色2 72" xfId="43308"/>
    <cellStyle name="40% - 輔色2 73" xfId="7946"/>
    <cellStyle name="40% - 輔色2 8" xfId="10821"/>
    <cellStyle name="40% - 輔色2 8 10" xfId="33116"/>
    <cellStyle name="40% - 輔色2 8 11" xfId="34834"/>
    <cellStyle name="40% - 輔色2 8 2" xfId="24200"/>
    <cellStyle name="40% - 輔色2 8 3" xfId="27608"/>
    <cellStyle name="40% - 輔色2 8 4" xfId="23503"/>
    <cellStyle name="40% - 輔色2 8 5" xfId="28533"/>
    <cellStyle name="40% - 輔色2 8 6" xfId="27158"/>
    <cellStyle name="40% - 輔色2 8 7" xfId="23047"/>
    <cellStyle name="40% - 輔色2 8 8" xfId="29576"/>
    <cellStyle name="40% - 輔色2 8 9" xfId="31352"/>
    <cellStyle name="40% - 輔色2 9" xfId="11041"/>
    <cellStyle name="40% - 輔色2 9 10" xfId="38076"/>
    <cellStyle name="40% - 輔色2 9 11" xfId="39530"/>
    <cellStyle name="40% - 輔色2 9 2" xfId="24201"/>
    <cellStyle name="40% - 輔色2 9 3" xfId="27609"/>
    <cellStyle name="40% - 輔色2 9 4" xfId="26929"/>
    <cellStyle name="40% - 輔色2 9 5" xfId="29588"/>
    <cellStyle name="40% - 輔色2 9 6" xfId="31364"/>
    <cellStyle name="40% - 輔色2 9 7" xfId="33127"/>
    <cellStyle name="40% - 輔色2 9 8" xfId="34845"/>
    <cellStyle name="40% - 輔色2 9 9" xfId="36498"/>
    <cellStyle name="40% - 輔色3 10" xfId="10790"/>
    <cellStyle name="40% - 輔色3 10 10" xfId="37630"/>
    <cellStyle name="40% - 輔色3 10 11" xfId="39154"/>
    <cellStyle name="40% - 輔色3 10 2" xfId="24202"/>
    <cellStyle name="40% - 輔色3 10 3" xfId="27610"/>
    <cellStyle name="40% - 輔色3 10 4" xfId="22977"/>
    <cellStyle name="40% - 輔色3 10 5" xfId="29021"/>
    <cellStyle name="40% - 輔色3 10 6" xfId="30806"/>
    <cellStyle name="40% - 輔色3 10 7" xfId="32579"/>
    <cellStyle name="40% - 輔色3 10 8" xfId="34321"/>
    <cellStyle name="40% - 輔色3 10 9" xfId="36011"/>
    <cellStyle name="40% - 輔色3 11" xfId="10737"/>
    <cellStyle name="40% - 輔色3 11 10" xfId="37764"/>
    <cellStyle name="40% - 輔色3 11 11" xfId="39267"/>
    <cellStyle name="40% - 輔色3 11 2" xfId="24203"/>
    <cellStyle name="40% - 輔色3 11 3" xfId="27611"/>
    <cellStyle name="40% - 輔色3 11 4" xfId="23342"/>
    <cellStyle name="40% - 輔色3 11 5" xfId="29186"/>
    <cellStyle name="40% - 輔色3 11 6" xfId="30969"/>
    <cellStyle name="40% - 輔色3 11 7" xfId="32739"/>
    <cellStyle name="40% - 輔色3 11 8" xfId="34475"/>
    <cellStyle name="40% - 輔色3 11 9" xfId="36156"/>
    <cellStyle name="40% - 輔色3 12" xfId="12692"/>
    <cellStyle name="40% - 輔色3 12 10" xfId="37921"/>
    <cellStyle name="40% - 輔色3 12 11" xfId="39398"/>
    <cellStyle name="40% - 輔色3 12 2" xfId="24204"/>
    <cellStyle name="40% - 輔色3 12 3" xfId="27612"/>
    <cellStyle name="40% - 輔色3 12 4" xfId="26411"/>
    <cellStyle name="40% - 輔色3 12 5" xfId="29399"/>
    <cellStyle name="40% - 輔色3 12 6" xfId="31176"/>
    <cellStyle name="40% - 輔色3 12 7" xfId="32943"/>
    <cellStyle name="40% - 輔色3 12 8" xfId="34669"/>
    <cellStyle name="40% - 輔色3 12 9" xfId="36335"/>
    <cellStyle name="40% - 輔色3 13" xfId="10546"/>
    <cellStyle name="40% - 輔色3 13 10" xfId="37291"/>
    <cellStyle name="40% - 輔色3 13 11" xfId="38847"/>
    <cellStyle name="40% - 輔色3 13 2" xfId="24205"/>
    <cellStyle name="40% - 輔色3 13 3" xfId="27613"/>
    <cellStyle name="40% - 輔色3 13 4" xfId="23679"/>
    <cellStyle name="40% - 輔色3 13 5" xfId="28614"/>
    <cellStyle name="40% - 輔色3 13 6" xfId="30406"/>
    <cellStyle name="40% - 輔色3 13 7" xfId="32181"/>
    <cellStyle name="40% - 輔色3 13 8" xfId="33936"/>
    <cellStyle name="40% - 輔色3 13 9" xfId="35649"/>
    <cellStyle name="40% - 輔色3 14" xfId="14407"/>
    <cellStyle name="40% - 輔色3 14 10" xfId="37418"/>
    <cellStyle name="40% - 輔色3 14 11" xfId="38967"/>
    <cellStyle name="40% - 輔色3 14 2" xfId="24206"/>
    <cellStyle name="40% - 輔色3 14 3" xfId="27614"/>
    <cellStyle name="40% - 輔色3 14 4" xfId="23630"/>
    <cellStyle name="40% - 輔色3 14 5" xfId="28756"/>
    <cellStyle name="40% - 輔色3 14 6" xfId="30544"/>
    <cellStyle name="40% - 輔色3 14 7" xfId="32319"/>
    <cellStyle name="40% - 輔色3 14 8" xfId="34071"/>
    <cellStyle name="40% - 輔色3 14 9" xfId="35781"/>
    <cellStyle name="40% - 輔色3 15" xfId="15177"/>
    <cellStyle name="40% - 輔色3 15 10" xfId="37406"/>
    <cellStyle name="40% - 輔色3 15 11" xfId="38957"/>
    <cellStyle name="40% - 輔色3 15 2" xfId="24207"/>
    <cellStyle name="40% - 輔色3 15 3" xfId="27615"/>
    <cellStyle name="40% - 輔色3 15 4" xfId="23318"/>
    <cellStyle name="40% - 輔色3 15 5" xfId="28741"/>
    <cellStyle name="40% - 輔色3 15 6" xfId="30530"/>
    <cellStyle name="40% - 輔色3 15 7" xfId="32305"/>
    <cellStyle name="40% - 輔色3 15 8" xfId="34058"/>
    <cellStyle name="40% - 輔色3 15 9" xfId="35768"/>
    <cellStyle name="40% - 輔色3 16" xfId="13842"/>
    <cellStyle name="40% - 輔色3 16 10" xfId="32750"/>
    <cellStyle name="40% - 輔色3 16 11" xfId="34486"/>
    <cellStyle name="40% - 輔色3 16 2" xfId="24208"/>
    <cellStyle name="40% - 輔色3 16 3" xfId="27616"/>
    <cellStyle name="40% - 輔色3 16 4" xfId="23424"/>
    <cellStyle name="40% - 輔色3 16 5" xfId="28531"/>
    <cellStyle name="40% - 輔色3 16 6" xfId="27160"/>
    <cellStyle name="40% - 輔色3 16 7" xfId="23187"/>
    <cellStyle name="40% - 輔色3 16 8" xfId="29197"/>
    <cellStyle name="40% - 輔色3 16 9" xfId="30980"/>
    <cellStyle name="40% - 輔色3 17" xfId="10531"/>
    <cellStyle name="40% - 輔色3 17 10" xfId="38067"/>
    <cellStyle name="40% - 輔色3 17 11" xfId="39524"/>
    <cellStyle name="40% - 輔色3 17 2" xfId="24209"/>
    <cellStyle name="40% - 輔色3 17 3" xfId="27617"/>
    <cellStyle name="40% - 輔色3 17 4" xfId="23544"/>
    <cellStyle name="40% - 輔色3 17 5" xfId="29575"/>
    <cellStyle name="40% - 輔色3 17 6" xfId="31351"/>
    <cellStyle name="40% - 輔色3 17 7" xfId="33115"/>
    <cellStyle name="40% - 輔色3 17 8" xfId="34833"/>
    <cellStyle name="40% - 輔色3 17 9" xfId="36487"/>
    <cellStyle name="40% - 輔色3 18" xfId="11139"/>
    <cellStyle name="40% - 輔色3 18 10" xfId="37629"/>
    <cellStyle name="40% - 輔色3 18 11" xfId="39153"/>
    <cellStyle name="40% - 輔色3 18 2" xfId="24210"/>
    <cellStyle name="40% - 輔色3 18 3" xfId="27618"/>
    <cellStyle name="40% - 輔色3 18 4" xfId="23020"/>
    <cellStyle name="40% - 輔色3 18 5" xfId="29020"/>
    <cellStyle name="40% - 輔色3 18 6" xfId="30805"/>
    <cellStyle name="40% - 輔色3 18 7" xfId="32578"/>
    <cellStyle name="40% - 輔色3 18 8" xfId="34320"/>
    <cellStyle name="40% - 輔色3 18 9" xfId="36010"/>
    <cellStyle name="40% - 輔色3 19" xfId="15787"/>
    <cellStyle name="40% - 輔色3 19 10" xfId="37763"/>
    <cellStyle name="40% - 輔色3 19 11" xfId="39266"/>
    <cellStyle name="40% - 輔色3 19 2" xfId="24211"/>
    <cellStyle name="40% - 輔色3 19 3" xfId="27619"/>
    <cellStyle name="40% - 輔色3 19 4" xfId="23268"/>
    <cellStyle name="40% - 輔色3 19 5" xfId="29185"/>
    <cellStyle name="40% - 輔色3 19 6" xfId="30968"/>
    <cellStyle name="40% - 輔色3 19 7" xfId="32738"/>
    <cellStyle name="40% - 輔色3 19 8" xfId="34474"/>
    <cellStyle name="40% - 輔色3 19 9" xfId="36155"/>
    <cellStyle name="40% - 輔色3 2" xfId="8577"/>
    <cellStyle name="40% - 輔色3 2 10" xfId="37887"/>
    <cellStyle name="40% - 輔色3 2 11" xfId="39369"/>
    <cellStyle name="40% - 輔色3 2 12" xfId="9185"/>
    <cellStyle name="40% - 輔色3 2 2" xfId="9370"/>
    <cellStyle name="40% - 輔色3 2 2 2" xfId="24212"/>
    <cellStyle name="40% - 輔色3 2 3" xfId="27620"/>
    <cellStyle name="40% - 輔色3 2 4" xfId="22865"/>
    <cellStyle name="40% - 輔色3 2 5" xfId="29352"/>
    <cellStyle name="40% - 輔色3 2 6" xfId="31133"/>
    <cellStyle name="40% - 輔色3 2 7" xfId="32901"/>
    <cellStyle name="40% - 輔色3 2 8" xfId="34630"/>
    <cellStyle name="40% - 輔色3 2 9" xfId="36299"/>
    <cellStyle name="40% - 輔色3 20" xfId="19870"/>
    <cellStyle name="40% - 輔色3 20 10" xfId="37290"/>
    <cellStyle name="40% - 輔色3 20 11" xfId="38846"/>
    <cellStyle name="40% - 輔色3 20 2" xfId="24213"/>
    <cellStyle name="40% - 輔色3 20 3" xfId="27621"/>
    <cellStyle name="40% - 輔色3 20 4" xfId="23621"/>
    <cellStyle name="40% - 輔色3 20 5" xfId="28613"/>
    <cellStyle name="40% - 輔色3 20 6" xfId="30405"/>
    <cellStyle name="40% - 輔色3 20 7" xfId="32180"/>
    <cellStyle name="40% - 輔色3 20 8" xfId="33935"/>
    <cellStyle name="40% - 輔色3 20 9" xfId="35648"/>
    <cellStyle name="40% - 輔色3 21" xfId="20651"/>
    <cellStyle name="40% - 輔色3 21 10" xfId="37426"/>
    <cellStyle name="40% - 輔色3 21 11" xfId="38975"/>
    <cellStyle name="40% - 輔色3 21 2" xfId="24214"/>
    <cellStyle name="40% - 輔色3 21 3" xfId="27622"/>
    <cellStyle name="40% - 輔色3 21 4" xfId="23402"/>
    <cellStyle name="40% - 輔色3 21 5" xfId="28764"/>
    <cellStyle name="40% - 輔色3 21 6" xfId="30552"/>
    <cellStyle name="40% - 輔色3 21 7" xfId="32327"/>
    <cellStyle name="40% - 輔色3 21 8" xfId="34079"/>
    <cellStyle name="40% - 輔色3 21 9" xfId="35789"/>
    <cellStyle name="40% - 輔色3 22" xfId="20163"/>
    <cellStyle name="40% - 輔色3 22 10" xfId="37404"/>
    <cellStyle name="40% - 輔色3 22 11" xfId="38955"/>
    <cellStyle name="40% - 輔色3 22 2" xfId="24215"/>
    <cellStyle name="40% - 輔色3 22 3" xfId="27623"/>
    <cellStyle name="40% - 輔色3 22 4" xfId="23236"/>
    <cellStyle name="40% - 輔色3 22 5" xfId="28739"/>
    <cellStyle name="40% - 輔色3 22 6" xfId="30528"/>
    <cellStyle name="40% - 輔色3 22 7" xfId="32303"/>
    <cellStyle name="40% - 輔色3 22 8" xfId="34056"/>
    <cellStyle name="40% - 輔色3 22 9" xfId="35766"/>
    <cellStyle name="40% - 輔色3 23" xfId="22800"/>
    <cellStyle name="40% - 輔色3 23 10" xfId="39647"/>
    <cellStyle name="40% - 輔色3 23 11" xfId="40919"/>
    <cellStyle name="40% - 輔色3 23 2" xfId="24216"/>
    <cellStyle name="40% - 輔色3 23 3" xfId="27624"/>
    <cellStyle name="40% - 輔色3 23 4" xfId="29716"/>
    <cellStyle name="40% - 輔色3 23 5" xfId="31491"/>
    <cellStyle name="40% - 輔色3 23 6" xfId="33252"/>
    <cellStyle name="40% - 輔色3 23 7" xfId="34970"/>
    <cellStyle name="40% - 輔色3 23 8" xfId="36623"/>
    <cellStyle name="40% - 輔色3 23 9" xfId="38196"/>
    <cellStyle name="40% - 輔色3 24" xfId="24217"/>
    <cellStyle name="40% - 輔色3 25" xfId="24218"/>
    <cellStyle name="40% - 輔色3 26" xfId="24219"/>
    <cellStyle name="40% - 輔色3 27" xfId="24220"/>
    <cellStyle name="40% - 輔色3 28" xfId="24221"/>
    <cellStyle name="40% - 輔色3 29" xfId="24222"/>
    <cellStyle name="40% - 輔色3 3" xfId="9227"/>
    <cellStyle name="40% - 輔色3 3 10" xfId="37753"/>
    <cellStyle name="40% - 輔色3 3 11" xfId="39259"/>
    <cellStyle name="40% - 輔色3 3 2" xfId="9481"/>
    <cellStyle name="40% - 輔色3 3 2 2" xfId="24223"/>
    <cellStyle name="40% - 輔色3 3 3" xfId="27631"/>
    <cellStyle name="40% - 輔色3 3 4" xfId="22998"/>
    <cellStyle name="40% - 輔色3 3 5" xfId="29167"/>
    <cellStyle name="40% - 輔色3 3 6" xfId="30951"/>
    <cellStyle name="40% - 輔色3 3 7" xfId="32722"/>
    <cellStyle name="40% - 輔色3 3 8" xfId="34459"/>
    <cellStyle name="40% - 輔色3 3 9" xfId="36141"/>
    <cellStyle name="40% - 輔色3 30" xfId="24224"/>
    <cellStyle name="40% - 輔色3 31" xfId="24225"/>
    <cellStyle name="40% - 輔色3 32" xfId="24226"/>
    <cellStyle name="40% - 輔色3 33" xfId="24227"/>
    <cellStyle name="40% - 輔色3 34" xfId="24228"/>
    <cellStyle name="40% - 輔色3 35" xfId="24229"/>
    <cellStyle name="40% - 輔色3 36" xfId="24230"/>
    <cellStyle name="40% - 輔色3 37" xfId="24231"/>
    <cellStyle name="40% - 輔色3 38" xfId="24232"/>
    <cellStyle name="40% - 輔色3 39" xfId="24233"/>
    <cellStyle name="40% - 輔色3 4" xfId="10500"/>
    <cellStyle name="40% - 輔色3 4 10" xfId="23247"/>
    <cellStyle name="40% - 輔色3 4 11" xfId="28803"/>
    <cellStyle name="40% - 輔色3 4 2" xfId="24234"/>
    <cellStyle name="40% - 輔色3 4 3" xfId="27642"/>
    <cellStyle name="40% - 輔色3 4 4" xfId="24820"/>
    <cellStyle name="40% - 輔色3 4 5" xfId="28386"/>
    <cellStyle name="40% - 輔色3 4 6" xfId="27393"/>
    <cellStyle name="40% - 輔色3 4 7" xfId="23660"/>
    <cellStyle name="40% - 輔色3 4 8" xfId="28324"/>
    <cellStyle name="40% - 輔色3 4 9" xfId="27477"/>
    <cellStyle name="40% - 輔色3 40" xfId="24235"/>
    <cellStyle name="40% - 輔色3 41" xfId="24236"/>
    <cellStyle name="40% - 輔色3 42" xfId="24237"/>
    <cellStyle name="40% - 輔色3 43" xfId="24238"/>
    <cellStyle name="40% - 輔色3 44" xfId="24239"/>
    <cellStyle name="40% - 輔色3 45" xfId="24240"/>
    <cellStyle name="40% - 輔色3 46" xfId="24241"/>
    <cellStyle name="40% - 輔色3 47" xfId="24242"/>
    <cellStyle name="40% - 輔色3 48" xfId="24243"/>
    <cellStyle name="40% - 輔色3 49" xfId="24244"/>
    <cellStyle name="40% - 輔色3 5" xfId="10756"/>
    <cellStyle name="40% - 輔色3 5 10" xfId="37586"/>
    <cellStyle name="40% - 輔色3 5 11" xfId="39117"/>
    <cellStyle name="40% - 輔色3 5 2" xfId="24245"/>
    <cellStyle name="40% - 輔色3 5 3" xfId="27653"/>
    <cellStyle name="40% - 輔色3 5 4" xfId="23563"/>
    <cellStyle name="40% - 輔色3 5 5" xfId="28961"/>
    <cellStyle name="40% - 輔色3 5 6" xfId="30747"/>
    <cellStyle name="40% - 輔色3 5 7" xfId="32520"/>
    <cellStyle name="40% - 輔色3 5 8" xfId="34263"/>
    <cellStyle name="40% - 輔色3 5 9" xfId="35960"/>
    <cellStyle name="40% - 輔色3 50" xfId="24246"/>
    <cellStyle name="40% - 輔色3 51" xfId="24247"/>
    <cellStyle name="40% - 輔色3 52" xfId="24248"/>
    <cellStyle name="40% - 輔色3 53" xfId="24249"/>
    <cellStyle name="40% - 輔色3 54" xfId="24250"/>
    <cellStyle name="40% - 輔色3 55" xfId="24251"/>
    <cellStyle name="40% - 輔色3 56" xfId="24252"/>
    <cellStyle name="40% - 輔色3 57" xfId="24253"/>
    <cellStyle name="40% - 輔色3 58" xfId="24254"/>
    <cellStyle name="40% - 輔色3 59" xfId="24255"/>
    <cellStyle name="40% - 輔色3 6" xfId="11083"/>
    <cellStyle name="40% - 輔色3 6 10" xfId="32674"/>
    <cellStyle name="40% - 輔色3 6 11" xfId="34413"/>
    <cellStyle name="40% - 輔色3 6 2" xfId="24256"/>
    <cellStyle name="40% - 輔色3 6 3" xfId="27664"/>
    <cellStyle name="40% - 輔色3 6 4" xfId="22797"/>
    <cellStyle name="40% - 輔色3 6 5" xfId="28423"/>
    <cellStyle name="40% - 輔色3 6 6" xfId="27334"/>
    <cellStyle name="40% - 輔色3 6 7" xfId="23140"/>
    <cellStyle name="40% - 輔色3 6 8" xfId="29119"/>
    <cellStyle name="40% - 輔色3 6 9" xfId="30903"/>
    <cellStyle name="40% - 輔色3 60" xfId="24257"/>
    <cellStyle name="40% - 輔色3 61" xfId="24258"/>
    <cellStyle name="40% - 輔色3 62" xfId="23440"/>
    <cellStyle name="40% - 輔色3 63" xfId="28498"/>
    <cellStyle name="40% - 輔色3 64" xfId="27214"/>
    <cellStyle name="40% - 輔色3 65" xfId="22760"/>
    <cellStyle name="40% - 輔色3 66" xfId="23330"/>
    <cellStyle name="40% - 輔色3 67" xfId="28852"/>
    <cellStyle name="40% - 輔色3 68" xfId="30638"/>
    <cellStyle name="40% - 輔色3 69" xfId="32412"/>
    <cellStyle name="40% - 輔色3 7" xfId="11277"/>
    <cellStyle name="40% - 輔色3 7 10" xfId="37728"/>
    <cellStyle name="40% - 輔色3 7 11" xfId="39236"/>
    <cellStyle name="40% - 輔色3 7 2" xfId="24259"/>
    <cellStyle name="40% - 輔色3 7 3" xfId="27667"/>
    <cellStyle name="40% - 輔色3 7 4" xfId="23007"/>
    <cellStyle name="40% - 輔色3 7 5" xfId="29140"/>
    <cellStyle name="40% - 輔色3 7 6" xfId="30924"/>
    <cellStyle name="40% - 輔色3 7 7" xfId="32695"/>
    <cellStyle name="40% - 輔色3 7 8" xfId="34433"/>
    <cellStyle name="40% - 輔色3 7 9" xfId="36115"/>
    <cellStyle name="40% - 輔色3 70" xfId="34163"/>
    <cellStyle name="40% - 輔色3 71" xfId="8630"/>
    <cellStyle name="40% - 輔色3 72" xfId="8009"/>
    <cellStyle name="40% - 輔色3 73" xfId="43310"/>
    <cellStyle name="40% - 輔色3 74" xfId="7947"/>
    <cellStyle name="40% - 輔色3 8" xfId="11468"/>
    <cellStyle name="40% - 輔色3 8 10" xfId="37846"/>
    <cellStyle name="40% - 輔色3 8 11" xfId="39335"/>
    <cellStyle name="40% - 輔色3 8 2" xfId="24260"/>
    <cellStyle name="40% - 輔色3 8 3" xfId="27668"/>
    <cellStyle name="40% - 輔色3 8 4" xfId="23362"/>
    <cellStyle name="40% - 輔色3 8 5" xfId="29291"/>
    <cellStyle name="40% - 輔色3 8 6" xfId="31073"/>
    <cellStyle name="40% - 輔色3 8 7" xfId="32842"/>
    <cellStyle name="40% - 輔色3 8 8" xfId="34573"/>
    <cellStyle name="40% - 輔色3 8 9" xfId="36245"/>
    <cellStyle name="40% - 輔色3 9" xfId="11653"/>
    <cellStyle name="40% - 輔色3 9 10" xfId="37937"/>
    <cellStyle name="40% - 輔色3 9 11" xfId="39407"/>
    <cellStyle name="40% - 輔色3 9 2" xfId="24261"/>
    <cellStyle name="40% - 輔色3 9 3" xfId="27669"/>
    <cellStyle name="40% - 輔色3 9 4" xfId="26580"/>
    <cellStyle name="40% - 輔色3 9 5" xfId="29421"/>
    <cellStyle name="40% - 輔色3 9 6" xfId="31198"/>
    <cellStyle name="40% - 輔色3 9 7" xfId="32964"/>
    <cellStyle name="40% - 輔色3 9 8" xfId="34687"/>
    <cellStyle name="40% - 輔色3 9 9" xfId="36351"/>
    <cellStyle name="40% - 輔色4 10" xfId="11692"/>
    <cellStyle name="40% - 輔色4 10 10" xfId="37456"/>
    <cellStyle name="40% - 輔色4 10 11" xfId="39003"/>
    <cellStyle name="40% - 輔色4 10 2" xfId="24262"/>
    <cellStyle name="40% - 輔色4 10 3" xfId="27670"/>
    <cellStyle name="40% - 輔色4 10 4" xfId="23637"/>
    <cellStyle name="40% - 輔色4 10 5" xfId="28800"/>
    <cellStyle name="40% - 輔色4 10 6" xfId="30588"/>
    <cellStyle name="40% - 輔色4 10 7" xfId="32362"/>
    <cellStyle name="40% - 輔色4 10 8" xfId="34114"/>
    <cellStyle name="40% - 輔色4 10 9" xfId="35821"/>
    <cellStyle name="40% - 輔色4 11" xfId="12557"/>
    <cellStyle name="40% - 輔色4 11 10" xfId="37357"/>
    <cellStyle name="40% - 輔色4 11 11" xfId="38908"/>
    <cellStyle name="40% - 輔色4 11 2" xfId="24263"/>
    <cellStyle name="40% - 輔色4 11 3" xfId="27671"/>
    <cellStyle name="40% - 輔色4 11 4" xfId="23683"/>
    <cellStyle name="40% - 輔色4 11 5" xfId="28689"/>
    <cellStyle name="40% - 輔色4 11 6" xfId="30478"/>
    <cellStyle name="40% - 輔色4 11 7" xfId="32253"/>
    <cellStyle name="40% - 輔色4 11 8" xfId="34006"/>
    <cellStyle name="40% - 輔色4 11 9" xfId="35717"/>
    <cellStyle name="40% - 輔色4 12" xfId="12641"/>
    <cellStyle name="40% - 輔色4 12 10" xfId="39646"/>
    <cellStyle name="40% - 輔色4 12 11" xfId="40918"/>
    <cellStyle name="40% - 輔色4 12 2" xfId="24264"/>
    <cellStyle name="40% - 輔色4 12 3" xfId="27672"/>
    <cellStyle name="40% - 輔色4 12 4" xfId="29712"/>
    <cellStyle name="40% - 輔色4 12 5" xfId="31487"/>
    <cellStyle name="40% - 輔色4 12 6" xfId="33248"/>
    <cellStyle name="40% - 輔色4 12 7" xfId="34966"/>
    <cellStyle name="40% - 輔色4 12 8" xfId="36619"/>
    <cellStyle name="40% - 輔色4 12 9" xfId="38193"/>
    <cellStyle name="40% - 輔色4 13" xfId="11158"/>
    <cellStyle name="40% - 輔色4 13 10" xfId="40019"/>
    <cellStyle name="40% - 輔色4 13 11" xfId="41268"/>
    <cellStyle name="40% - 輔色4 13 2" xfId="24265"/>
    <cellStyle name="40% - 輔色4 13 3" xfId="27673"/>
    <cellStyle name="40% - 輔色4 13 4" xfId="30140"/>
    <cellStyle name="40% - 輔色4 13 5" xfId="31915"/>
    <cellStyle name="40% - 輔色4 13 6" xfId="33670"/>
    <cellStyle name="40% - 輔色4 13 7" xfId="35383"/>
    <cellStyle name="40% - 輔色4 13 8" xfId="37028"/>
    <cellStyle name="40% - 輔色4 13 9" xfId="38585"/>
    <cellStyle name="40% - 輔色4 14" xfId="14328"/>
    <cellStyle name="40% - 輔色4 14 10" xfId="39790"/>
    <cellStyle name="40% - 輔色4 14 11" xfId="41054"/>
    <cellStyle name="40% - 輔色4 14 2" xfId="24266"/>
    <cellStyle name="40% - 輔色4 14 3" xfId="27674"/>
    <cellStyle name="40% - 輔色4 14 4" xfId="29879"/>
    <cellStyle name="40% - 輔色4 14 5" xfId="31654"/>
    <cellStyle name="40% - 輔色4 14 6" xfId="33413"/>
    <cellStyle name="40% - 輔色4 14 7" xfId="35127"/>
    <cellStyle name="40% - 輔色4 14 8" xfId="36777"/>
    <cellStyle name="40% - 輔色4 14 9" xfId="38344"/>
    <cellStyle name="40% - 輔色4 15" xfId="15098"/>
    <cellStyle name="40% - 輔色4 15 10" xfId="34068"/>
    <cellStyle name="40% - 輔色4 15 11" xfId="35778"/>
    <cellStyle name="40% - 輔色4 15 2" xfId="24267"/>
    <cellStyle name="40% - 輔色4 15 3" xfId="27675"/>
    <cellStyle name="40% - 輔色4 15 4" xfId="28203"/>
    <cellStyle name="40% - 輔色4 15 5" xfId="27594"/>
    <cellStyle name="40% - 輔色4 15 6" xfId="23401"/>
    <cellStyle name="40% - 輔色4 15 7" xfId="28753"/>
    <cellStyle name="40% - 輔色4 15 8" xfId="30541"/>
    <cellStyle name="40% - 輔色4 15 9" xfId="32316"/>
    <cellStyle name="40% - 輔色4 16" xfId="16265"/>
    <cellStyle name="40% - 輔色4 16 10" xfId="32792"/>
    <cellStyle name="40% - 輔色4 16 11" xfId="34526"/>
    <cellStyle name="40% - 輔色4 16 2" xfId="24268"/>
    <cellStyle name="40% - 輔色4 16 3" xfId="27676"/>
    <cellStyle name="40% - 輔色4 16 4" xfId="22796"/>
    <cellStyle name="40% - 輔色4 16 5" xfId="28422"/>
    <cellStyle name="40% - 輔色4 16 6" xfId="27335"/>
    <cellStyle name="40% - 輔色4 16 7" xfId="23100"/>
    <cellStyle name="40% - 輔色4 16 8" xfId="29241"/>
    <cellStyle name="40% - 輔色4 16 9" xfId="31023"/>
    <cellStyle name="40% - 輔色4 17" xfId="17195"/>
    <cellStyle name="40% - 輔色4 17 10" xfId="37585"/>
    <cellStyle name="40% - 輔色4 17 11" xfId="39116"/>
    <cellStyle name="40% - 輔色4 17 2" xfId="24269"/>
    <cellStyle name="40% - 輔色4 17 3" xfId="27677"/>
    <cellStyle name="40% - 輔色4 17 4" xfId="23404"/>
    <cellStyle name="40% - 輔色4 17 5" xfId="28959"/>
    <cellStyle name="40% - 輔色4 17 6" xfId="30745"/>
    <cellStyle name="40% - 輔色4 17 7" xfId="32518"/>
    <cellStyle name="40% - 輔色4 17 8" xfId="34261"/>
    <cellStyle name="40% - 輔色4 17 9" xfId="35959"/>
    <cellStyle name="40% - 輔色4 18" xfId="18103"/>
    <cellStyle name="40% - 輔色4 18 10" xfId="29743"/>
    <cellStyle name="40% - 輔色4 18 11" xfId="31518"/>
    <cellStyle name="40% - 輔色4 18 2" xfId="24270"/>
    <cellStyle name="40% - 輔色4 18 3" xfId="27678"/>
    <cellStyle name="40% - 輔色4 18 4" xfId="24819"/>
    <cellStyle name="40% - 輔色4 18 5" xfId="28374"/>
    <cellStyle name="40% - 輔色4 18 6" xfId="27406"/>
    <cellStyle name="40% - 輔色4 18 7" xfId="23461"/>
    <cellStyle name="40% - 輔色4 18 8" xfId="28359"/>
    <cellStyle name="40% - 輔色4 18 9" xfId="27422"/>
    <cellStyle name="40% - 輔色4 19" xfId="18993"/>
    <cellStyle name="40% - 輔色4 19 10" xfId="37724"/>
    <cellStyle name="40% - 輔色4 19 11" xfId="39232"/>
    <cellStyle name="40% - 輔色4 19 2" xfId="24271"/>
    <cellStyle name="40% - 輔色4 19 3" xfId="27679"/>
    <cellStyle name="40% - 輔色4 19 4" xfId="26388"/>
    <cellStyle name="40% - 輔色4 19 5" xfId="29135"/>
    <cellStyle name="40% - 輔色4 19 6" xfId="30919"/>
    <cellStyle name="40% - 輔色4 19 7" xfId="32690"/>
    <cellStyle name="40% - 輔色4 19 8" xfId="34428"/>
    <cellStyle name="40% - 輔色4 19 9" xfId="36111"/>
    <cellStyle name="40% - 輔色4 2" xfId="8578"/>
    <cellStyle name="40% - 輔色4 2 10" xfId="37845"/>
    <cellStyle name="40% - 輔色4 2 11" xfId="39334"/>
    <cellStyle name="40% - 輔色4 2 12" xfId="9189"/>
    <cellStyle name="40% - 輔色4 2 2" xfId="9371"/>
    <cellStyle name="40% - 輔色4 2 2 2" xfId="24272"/>
    <cellStyle name="40% - 輔色4 2 3" xfId="27680"/>
    <cellStyle name="40% - 輔色4 2 4" xfId="23286"/>
    <cellStyle name="40% - 輔色4 2 5" xfId="29290"/>
    <cellStyle name="40% - 輔色4 2 6" xfId="31072"/>
    <cellStyle name="40% - 輔色4 2 7" xfId="32841"/>
    <cellStyle name="40% - 輔色4 2 8" xfId="34572"/>
    <cellStyle name="40% - 輔色4 2 9" xfId="36244"/>
    <cellStyle name="40% - 輔色4 20" xfId="19791"/>
    <cellStyle name="40% - 輔色4 20 10" xfId="37931"/>
    <cellStyle name="40% - 輔色4 20 11" xfId="39401"/>
    <cellStyle name="40% - 輔色4 20 2" xfId="24273"/>
    <cellStyle name="40% - 輔色4 20 3" xfId="27681"/>
    <cellStyle name="40% - 輔色4 20 4" xfId="26786"/>
    <cellStyle name="40% - 輔色4 20 5" xfId="29411"/>
    <cellStyle name="40% - 輔色4 20 6" xfId="31188"/>
    <cellStyle name="40% - 輔色4 20 7" xfId="32955"/>
    <cellStyle name="40% - 輔色4 20 8" xfId="34679"/>
    <cellStyle name="40% - 輔色4 20 9" xfId="36345"/>
    <cellStyle name="40% - 輔色4 21" xfId="20572"/>
    <cellStyle name="40% - 輔色4 21 10" xfId="37924"/>
    <cellStyle name="40% - 輔色4 21 11" xfId="39399"/>
    <cellStyle name="40% - 輔色4 21 2" xfId="24274"/>
    <cellStyle name="40% - 輔色4 21 3" xfId="27682"/>
    <cellStyle name="40% - 輔色4 21 4" xfId="23305"/>
    <cellStyle name="40% - 輔色4 21 5" xfId="29402"/>
    <cellStyle name="40% - 輔色4 21 6" xfId="31179"/>
    <cellStyle name="40% - 輔色4 21 7" xfId="32946"/>
    <cellStyle name="40% - 輔色4 21 8" xfId="34672"/>
    <cellStyle name="40% - 輔色4 21 9" xfId="36338"/>
    <cellStyle name="40% - 輔色4 22" xfId="21568"/>
    <cellStyle name="40% - 輔色4 22 10" xfId="37355"/>
    <cellStyle name="40% - 輔色4 22 11" xfId="38906"/>
    <cellStyle name="40% - 輔色4 22 2" xfId="24275"/>
    <cellStyle name="40% - 輔色4 22 3" xfId="27683"/>
    <cellStyle name="40% - 輔色4 22 4" xfId="23626"/>
    <cellStyle name="40% - 輔色4 22 5" xfId="28687"/>
    <cellStyle name="40% - 輔色4 22 6" xfId="30476"/>
    <cellStyle name="40% - 輔色4 22 7" xfId="32251"/>
    <cellStyle name="40% - 輔色4 22 8" xfId="34004"/>
    <cellStyle name="40% - 輔色4 22 9" xfId="35715"/>
    <cellStyle name="40% - 輔色4 23" xfId="22801"/>
    <cellStyle name="40% - 輔色4 23 10" xfId="39645"/>
    <cellStyle name="40% - 輔色4 23 11" xfId="40917"/>
    <cellStyle name="40% - 輔色4 23 2" xfId="24276"/>
    <cellStyle name="40% - 輔色4 23 3" xfId="27684"/>
    <cellStyle name="40% - 輔色4 23 4" xfId="29711"/>
    <cellStyle name="40% - 輔色4 23 5" xfId="31486"/>
    <cellStyle name="40% - 輔色4 23 6" xfId="33247"/>
    <cellStyle name="40% - 輔色4 23 7" xfId="34965"/>
    <cellStyle name="40% - 輔色4 23 8" xfId="36618"/>
    <cellStyle name="40% - 輔色4 23 9" xfId="38192"/>
    <cellStyle name="40% - 輔色4 24" xfId="24277"/>
    <cellStyle name="40% - 輔色4 25" xfId="24278"/>
    <cellStyle name="40% - 輔色4 26" xfId="24279"/>
    <cellStyle name="40% - 輔色4 27" xfId="24280"/>
    <cellStyle name="40% - 輔色4 28" xfId="24281"/>
    <cellStyle name="40% - 輔色4 29" xfId="24282"/>
    <cellStyle name="40% - 輔色4 3" xfId="9231"/>
    <cellStyle name="40% - 輔色4 3 10" xfId="37723"/>
    <cellStyle name="40% - 輔色4 3 11" xfId="39231"/>
    <cellStyle name="40% - 輔色4 3 2" xfId="9480"/>
    <cellStyle name="40% - 輔色4 3 2 2" xfId="24283"/>
    <cellStyle name="40% - 輔色4 3 3" xfId="27691"/>
    <cellStyle name="40% - 輔色4 3 4" xfId="26805"/>
    <cellStyle name="40% - 輔色4 3 5" xfId="29134"/>
    <cellStyle name="40% - 輔色4 3 6" xfId="30918"/>
    <cellStyle name="40% - 輔色4 3 7" xfId="32689"/>
    <cellStyle name="40% - 輔色4 3 8" xfId="34427"/>
    <cellStyle name="40% - 輔色4 3 9" xfId="36110"/>
    <cellStyle name="40% - 輔色4 30" xfId="24284"/>
    <cellStyle name="40% - 輔色4 31" xfId="24285"/>
    <cellStyle name="40% - 輔色4 32" xfId="24286"/>
    <cellStyle name="40% - 輔色4 33" xfId="24287"/>
    <cellStyle name="40% - 輔色4 34" xfId="24288"/>
    <cellStyle name="40% - 輔色4 35" xfId="24289"/>
    <cellStyle name="40% - 輔色4 36" xfId="24290"/>
    <cellStyle name="40% - 輔色4 37" xfId="24291"/>
    <cellStyle name="40% - 輔色4 38" xfId="24292"/>
    <cellStyle name="40% - 輔色4 39" xfId="24293"/>
    <cellStyle name="40% - 輔色4 4" xfId="11268"/>
    <cellStyle name="40% - 輔色4 4 10" xfId="32799"/>
    <cellStyle name="40% - 輔色4 4 11" xfId="34533"/>
    <cellStyle name="40% - 輔色4 4 2" xfId="24294"/>
    <cellStyle name="40% - 輔色4 4 3" xfId="27702"/>
    <cellStyle name="40% - 輔色4 4 4" xfId="23450"/>
    <cellStyle name="40% - 輔色4 4 5" xfId="28372"/>
    <cellStyle name="40% - 輔色4 4 6" xfId="27408"/>
    <cellStyle name="40% - 輔色4 4 7" xfId="26563"/>
    <cellStyle name="40% - 輔色4 4 8" xfId="29248"/>
    <cellStyle name="40% - 輔色4 4 9" xfId="31030"/>
    <cellStyle name="40% - 輔色4 40" xfId="24295"/>
    <cellStyle name="40% - 輔色4 41" xfId="24296"/>
    <cellStyle name="40% - 輔色4 42" xfId="24297"/>
    <cellStyle name="40% - 輔色4 43" xfId="24298"/>
    <cellStyle name="40% - 輔色4 44" xfId="24299"/>
    <cellStyle name="40% - 輔色4 45" xfId="24300"/>
    <cellStyle name="40% - 輔色4 46" xfId="24301"/>
    <cellStyle name="40% - 輔色4 47" xfId="24302"/>
    <cellStyle name="40% - 輔色4 48" xfId="24303"/>
    <cellStyle name="40% - 輔色4 49" xfId="24304"/>
    <cellStyle name="40% - 輔色4 5" xfId="11459"/>
    <cellStyle name="40% - 輔色4 5 10" xfId="37552"/>
    <cellStyle name="40% - 輔色4 5 11" xfId="39087"/>
    <cellStyle name="40% - 輔色4 5 2" xfId="24305"/>
    <cellStyle name="40% - 輔色4 5 3" xfId="27713"/>
    <cellStyle name="40% - 輔色4 5 4" xfId="26518"/>
    <cellStyle name="40% - 輔色4 5 5" xfId="28916"/>
    <cellStyle name="40% - 輔色4 5 6" xfId="30702"/>
    <cellStyle name="40% - 輔色4 5 7" xfId="32475"/>
    <cellStyle name="40% - 輔色4 5 8" xfId="34225"/>
    <cellStyle name="40% - 輔色4 5 9" xfId="35925"/>
    <cellStyle name="40% - 輔色4 50" xfId="24306"/>
    <cellStyle name="40% - 輔色4 51" xfId="24307"/>
    <cellStyle name="40% - 輔色4 52" xfId="24308"/>
    <cellStyle name="40% - 輔色4 53" xfId="24309"/>
    <cellStyle name="40% - 輔色4 54" xfId="24310"/>
    <cellStyle name="40% - 輔色4 55" xfId="24311"/>
    <cellStyle name="40% - 輔色4 56" xfId="24312"/>
    <cellStyle name="40% - 輔色4 57" xfId="24313"/>
    <cellStyle name="40% - 輔色4 58" xfId="24314"/>
    <cellStyle name="40% - 輔色4 59" xfId="24315"/>
    <cellStyle name="40% - 輔色4 6" xfId="11645"/>
    <cellStyle name="40% - 輔色4 6 10" xfId="23546"/>
    <cellStyle name="40% - 輔色4 6 11" xfId="29374"/>
    <cellStyle name="40% - 輔色4 6 2" xfId="24316"/>
    <cellStyle name="40% - 輔色4 6 3" xfId="27724"/>
    <cellStyle name="40% - 輔色4 6 4" xfId="26813"/>
    <cellStyle name="40% - 輔色4 6 5" xfId="28363"/>
    <cellStyle name="40% - 輔色4 6 6" xfId="27418"/>
    <cellStyle name="40% - 輔色4 6 7" xfId="23462"/>
    <cellStyle name="40% - 輔色4 6 8" xfId="28360"/>
    <cellStyle name="40% - 輔色4 6 9" xfId="27421"/>
    <cellStyle name="40% - 輔色4 60" xfId="24317"/>
    <cellStyle name="40% - 輔色4 61" xfId="24318"/>
    <cellStyle name="40% - 輔色4 62" xfId="23356"/>
    <cellStyle name="40% - 輔色4 63" xfId="28497"/>
    <cellStyle name="40% - 輔色4 64" xfId="27216"/>
    <cellStyle name="40% - 輔色4 65" xfId="23337"/>
    <cellStyle name="40% - 輔色4 66" xfId="28538"/>
    <cellStyle name="40% - 輔色4 67" xfId="27152"/>
    <cellStyle name="40% - 輔色4 68" xfId="26596"/>
    <cellStyle name="40% - 輔色4 69" xfId="29476"/>
    <cellStyle name="40% - 輔色4 7" xfId="11828"/>
    <cellStyle name="40% - 輔色4 7 10" xfId="37901"/>
    <cellStyle name="40% - 輔色4 7 11" xfId="39379"/>
    <cellStyle name="40% - 輔色4 7 2" xfId="24319"/>
    <cellStyle name="40% - 輔色4 7 3" xfId="27727"/>
    <cellStyle name="40% - 輔色4 7 4" xfId="24840"/>
    <cellStyle name="40% - 輔色4 7 5" xfId="29378"/>
    <cellStyle name="40% - 輔色4 7 6" xfId="31155"/>
    <cellStyle name="40% - 輔色4 7 7" xfId="32922"/>
    <cellStyle name="40% - 輔色4 7 8" xfId="34649"/>
    <cellStyle name="40% - 輔色4 7 9" xfId="36315"/>
    <cellStyle name="40% - 輔色4 70" xfId="31253"/>
    <cellStyle name="40% - 輔色4 71" xfId="8631"/>
    <cellStyle name="40% - 輔色4 72" xfId="8013"/>
    <cellStyle name="40% - 輔色4 73" xfId="43312"/>
    <cellStyle name="40% - 輔色4 74" xfId="7948"/>
    <cellStyle name="40% - 輔色4 8" xfId="12011"/>
    <cellStyle name="40% - 輔色4 8 10" xfId="37343"/>
    <cellStyle name="40% - 輔色4 8 11" xfId="38896"/>
    <cellStyle name="40% - 輔色4 8 2" xfId="24320"/>
    <cellStyle name="40% - 輔色4 8 3" xfId="27728"/>
    <cellStyle name="40% - 輔色4 8 4" xfId="23477"/>
    <cellStyle name="40% - 輔色4 8 5" xfId="28674"/>
    <cellStyle name="40% - 輔色4 8 6" xfId="30463"/>
    <cellStyle name="40% - 輔色4 8 7" xfId="32238"/>
    <cellStyle name="40% - 輔色4 8 8" xfId="33992"/>
    <cellStyle name="40% - 輔色4 8 9" xfId="35703"/>
    <cellStyle name="40% - 輔色4 9" xfId="12185"/>
    <cellStyle name="40% - 輔色4 9 10" xfId="40158"/>
    <cellStyle name="40% - 輔色4 9 11" xfId="41401"/>
    <cellStyle name="40% - 輔色4 9 2" xfId="24321"/>
    <cellStyle name="40% - 輔色4 9 3" xfId="27729"/>
    <cellStyle name="40% - 輔色4 9 4" xfId="30281"/>
    <cellStyle name="40% - 輔色4 9 5" xfId="32056"/>
    <cellStyle name="40% - 輔色4 9 6" xfId="33811"/>
    <cellStyle name="40% - 輔色4 9 7" xfId="35524"/>
    <cellStyle name="40% - 輔色4 9 8" xfId="37168"/>
    <cellStyle name="40% - 輔色4 9 9" xfId="38724"/>
    <cellStyle name="40% - 輔色5 10" xfId="11557"/>
    <cellStyle name="40% - 輔色5 10 10" xfId="40136"/>
    <cellStyle name="40% - 輔色5 10 11" xfId="41381"/>
    <cellStyle name="40% - 輔色5 10 2" xfId="24322"/>
    <cellStyle name="40% - 輔色5 10 3" xfId="27730"/>
    <cellStyle name="40% - 輔色5 10 4" xfId="30259"/>
    <cellStyle name="40% - 輔色5 10 5" xfId="32034"/>
    <cellStyle name="40% - 輔色5 10 6" xfId="33789"/>
    <cellStyle name="40% - 輔色5 10 7" xfId="35502"/>
    <cellStyle name="40% - 輔色5 10 8" xfId="37146"/>
    <cellStyle name="40% - 輔色5 10 9" xfId="38702"/>
    <cellStyle name="40% - 輔色5 11" xfId="12519"/>
    <cellStyle name="40% - 輔色5 11 10" xfId="39786"/>
    <cellStyle name="40% - 輔色5 11 11" xfId="41052"/>
    <cellStyle name="40% - 輔色5 11 2" xfId="24323"/>
    <cellStyle name="40% - 輔色5 11 3" xfId="27731"/>
    <cellStyle name="40% - 輔色5 11 4" xfId="29874"/>
    <cellStyle name="40% - 輔色5 11 5" xfId="31649"/>
    <cellStyle name="40% - 輔色5 11 6" xfId="33408"/>
    <cellStyle name="40% - 輔色5 11 7" xfId="35122"/>
    <cellStyle name="40% - 輔色5 11 8" xfId="36772"/>
    <cellStyle name="40% - 輔色5 11 9" xfId="38340"/>
    <cellStyle name="40% - 輔色5 12" xfId="12579"/>
    <cellStyle name="40% - 輔色5 12 10" xfId="30686"/>
    <cellStyle name="40% - 輔色5 12 11" xfId="32459"/>
    <cellStyle name="40% - 輔色5 12 2" xfId="24324"/>
    <cellStyle name="40% - 輔色5 12 3" xfId="27732"/>
    <cellStyle name="40% - 輔色5 12 4" xfId="28198"/>
    <cellStyle name="40% - 輔色5 12 5" xfId="27599"/>
    <cellStyle name="40% - 輔色5 12 6" xfId="28210"/>
    <cellStyle name="40% - 輔色5 12 7" xfId="27586"/>
    <cellStyle name="40% - 輔色5 12 8" xfId="26605"/>
    <cellStyle name="40% - 輔色5 12 9" xfId="28900"/>
    <cellStyle name="40% - 輔色5 13" xfId="12075"/>
    <cellStyle name="40% - 輔色5 13 10" xfId="27448"/>
    <cellStyle name="40% - 輔色5 13 11" xfId="28226"/>
    <cellStyle name="40% - 輔色5 13 2" xfId="24325"/>
    <cellStyle name="40% - 輔色5 13 3" xfId="27733"/>
    <cellStyle name="40% - 輔色5 13 4" xfId="23292"/>
    <cellStyle name="40% - 輔色5 13 5" xfId="23441"/>
    <cellStyle name="40% - 輔色5 13 6" xfId="28415"/>
    <cellStyle name="40% - 輔色5 13 7" xfId="27342"/>
    <cellStyle name="40% - 輔色5 13 8" xfId="26950"/>
    <cellStyle name="40% - 輔色5 13 9" xfId="28351"/>
    <cellStyle name="40% - 輔色5 14" xfId="14248"/>
    <cellStyle name="40% - 輔色5 14 10" xfId="37574"/>
    <cellStyle name="40% - 輔色5 14 11" xfId="39109"/>
    <cellStyle name="40% - 輔色5 14 2" xfId="24326"/>
    <cellStyle name="40% - 輔色5 14 3" xfId="27734"/>
    <cellStyle name="40% - 輔色5 14 4" xfId="23322"/>
    <cellStyle name="40% - 輔色5 14 5" xfId="28940"/>
    <cellStyle name="40% - 輔色5 14 6" xfId="30726"/>
    <cellStyle name="40% - 輔色5 14 7" xfId="32499"/>
    <cellStyle name="40% - 輔色5 14 8" xfId="34247"/>
    <cellStyle name="40% - 輔色5 14 9" xfId="35947"/>
    <cellStyle name="40% - 輔色5 15" xfId="15018"/>
    <cellStyle name="40% - 輔色5 15 10" xfId="31233"/>
    <cellStyle name="40% - 輔色5 15 11" xfId="32998"/>
    <cellStyle name="40% - 輔色5 15 2" xfId="24327"/>
    <cellStyle name="40% - 輔色5 15 3" xfId="27735"/>
    <cellStyle name="40% - 輔色5 15 4" xfId="23243"/>
    <cellStyle name="40% - 輔色5 15 5" xfId="28560"/>
    <cellStyle name="40% - 輔色5 15 6" xfId="27086"/>
    <cellStyle name="40% - 輔色5 15 7" xfId="27078"/>
    <cellStyle name="40% - 輔色5 15 8" xfId="26506"/>
    <cellStyle name="40% - 輔色5 15 9" xfId="29456"/>
    <cellStyle name="40% - 輔色5 16" xfId="16185"/>
    <cellStyle name="40% - 輔色5 16 10" xfId="35360"/>
    <cellStyle name="40% - 輔色5 16 11" xfId="37005"/>
    <cellStyle name="40% - 輔色5 16 2" xfId="24328"/>
    <cellStyle name="40% - 輔色5 16 3" xfId="27736"/>
    <cellStyle name="40% - 輔色5 16 4" xfId="23138"/>
    <cellStyle name="40% - 輔色5 16 5" xfId="28353"/>
    <cellStyle name="40% - 輔色5 16 6" xfId="27446"/>
    <cellStyle name="40% - 輔色5 16 7" xfId="30117"/>
    <cellStyle name="40% - 輔色5 16 8" xfId="31892"/>
    <cellStyle name="40% - 輔色5 16 9" xfId="33647"/>
    <cellStyle name="40% - 輔色5 17" xfId="17115"/>
    <cellStyle name="40% - 輔色5 17 10" xfId="37815"/>
    <cellStyle name="40% - 輔色5 17 11" xfId="39308"/>
    <cellStyle name="40% - 輔色5 17 2" xfId="24329"/>
    <cellStyle name="40% - 輔色5 17 3" xfId="27737"/>
    <cellStyle name="40% - 輔色5 17 4" xfId="23283"/>
    <cellStyle name="40% - 輔色5 17 5" xfId="29255"/>
    <cellStyle name="40% - 輔色5 17 6" xfId="31037"/>
    <cellStyle name="40% - 輔色5 17 7" xfId="32806"/>
    <cellStyle name="40% - 輔色5 17 8" xfId="34540"/>
    <cellStyle name="40% - 輔色5 17 9" xfId="36213"/>
    <cellStyle name="40% - 輔色5 18" xfId="18023"/>
    <cellStyle name="40% - 輔色5 18 10" xfId="37806"/>
    <cellStyle name="40% - 輔色5 18 11" xfId="39301"/>
    <cellStyle name="40% - 輔色5 18 2" xfId="24330"/>
    <cellStyle name="40% - 輔色5 18 3" xfId="27738"/>
    <cellStyle name="40% - 輔色5 18 4" xfId="23346"/>
    <cellStyle name="40% - 輔色5 18 5" xfId="29244"/>
    <cellStyle name="40% - 輔色5 18 6" xfId="31026"/>
    <cellStyle name="40% - 輔色5 18 7" xfId="32795"/>
    <cellStyle name="40% - 輔色5 18 8" xfId="34529"/>
    <cellStyle name="40% - 輔色5 18 9" xfId="36204"/>
    <cellStyle name="40% - 輔色5 19" xfId="18913"/>
    <cellStyle name="40% - 輔色5 19 10" xfId="37895"/>
    <cellStyle name="40% - 輔色5 19 11" xfId="39375"/>
    <cellStyle name="40% - 輔色5 19 2" xfId="24331"/>
    <cellStyle name="40% - 輔色5 19 3" xfId="27739"/>
    <cellStyle name="40% - 輔色5 19 4" xfId="26409"/>
    <cellStyle name="40% - 輔色5 19 5" xfId="29368"/>
    <cellStyle name="40% - 輔色5 19 6" xfId="31146"/>
    <cellStyle name="40% - 輔色5 19 7" xfId="32914"/>
    <cellStyle name="40% - 輔色5 19 8" xfId="34642"/>
    <cellStyle name="40% - 輔色5 19 9" xfId="36309"/>
    <cellStyle name="40% - 輔色5 2" xfId="8579"/>
    <cellStyle name="40% - 輔色5 2 10" xfId="37342"/>
    <cellStyle name="40% - 輔色5 2 11" xfId="38895"/>
    <cellStyle name="40% - 輔色5 2 12" xfId="9193"/>
    <cellStyle name="40% - 輔色5 2 2" xfId="9372"/>
    <cellStyle name="40% - 輔色5 2 2 2" xfId="24332"/>
    <cellStyle name="40% - 輔色5 2 3" xfId="27740"/>
    <cellStyle name="40% - 輔色5 2 4" xfId="23396"/>
    <cellStyle name="40% - 輔色5 2 5" xfId="28673"/>
    <cellStyle name="40% - 輔色5 2 6" xfId="30462"/>
    <cellStyle name="40% - 輔色5 2 7" xfId="32237"/>
    <cellStyle name="40% - 輔色5 2 8" xfId="33991"/>
    <cellStyle name="40% - 輔色5 2 9" xfId="35702"/>
    <cellStyle name="40% - 輔色5 20" xfId="19711"/>
    <cellStyle name="40% - 輔色5 20 10" xfId="38212"/>
    <cellStyle name="40% - 輔色5 20 11" xfId="39662"/>
    <cellStyle name="40% - 輔色5 20 2" xfId="24333"/>
    <cellStyle name="40% - 輔色5 20 3" xfId="27741"/>
    <cellStyle name="40% - 輔色5 20 4" xfId="23212"/>
    <cellStyle name="40% - 輔色5 20 5" xfId="29735"/>
    <cellStyle name="40% - 輔色5 20 6" xfId="31510"/>
    <cellStyle name="40% - 輔色5 20 7" xfId="33271"/>
    <cellStyle name="40% - 輔色5 20 8" xfId="34989"/>
    <cellStyle name="40% - 輔色5 20 9" xfId="36642"/>
    <cellStyle name="40% - 輔色5 21" xfId="20492"/>
    <cellStyle name="40% - 輔色5 21 10" xfId="23668"/>
    <cellStyle name="40% - 輔色5 21 11" xfId="23245"/>
    <cellStyle name="40% - 輔色5 21 2" xfId="24334"/>
    <cellStyle name="40% - 輔色5 21 3" xfId="27742"/>
    <cellStyle name="40% - 輔色5 21 4" xfId="23357"/>
    <cellStyle name="40% - 輔色5 21 5" xfId="28320"/>
    <cellStyle name="40% - 輔色5 21 6" xfId="27481"/>
    <cellStyle name="40% - 輔色5 21 7" xfId="23137"/>
    <cellStyle name="40% - 輔色5 21 8" xfId="28366"/>
    <cellStyle name="40% - 輔色5 21 9" xfId="27415"/>
    <cellStyle name="40% - 輔色5 22" xfId="21488"/>
    <cellStyle name="40% - 輔色5 22 10" xfId="34570"/>
    <cellStyle name="40% - 輔色5 22 11" xfId="36242"/>
    <cellStyle name="40% - 輔色5 22 2" xfId="24335"/>
    <cellStyle name="40% - 輔色5 22 3" xfId="27743"/>
    <cellStyle name="40% - 輔色5 22 4" xfId="22810"/>
    <cellStyle name="40% - 輔色5 22 5" xfId="28551"/>
    <cellStyle name="40% - 輔色5 22 6" xfId="22976"/>
    <cellStyle name="40% - 輔色5 22 7" xfId="29287"/>
    <cellStyle name="40% - 輔色5 22 8" xfId="31069"/>
    <cellStyle name="40% - 輔色5 22 9" xfId="32838"/>
    <cellStyle name="40% - 輔色5 23" xfId="22802"/>
    <cellStyle name="40% - 輔色5 23 10" xfId="38078"/>
    <cellStyle name="40% - 輔色5 23 11" xfId="39532"/>
    <cellStyle name="40% - 輔色5 23 2" xfId="24336"/>
    <cellStyle name="40% - 輔色5 23 3" xfId="27744"/>
    <cellStyle name="40% - 輔色5 23 4" xfId="23301"/>
    <cellStyle name="40% - 輔色5 23 5" xfId="29595"/>
    <cellStyle name="40% - 輔色5 23 6" xfId="31370"/>
    <cellStyle name="40% - 輔色5 23 7" xfId="33133"/>
    <cellStyle name="40% - 輔色5 23 8" xfId="34851"/>
    <cellStyle name="40% - 輔色5 23 9" xfId="36504"/>
    <cellStyle name="40% - 輔色5 24" xfId="24337"/>
    <cellStyle name="40% - 輔色5 25" xfId="24338"/>
    <cellStyle name="40% - 輔色5 26" xfId="24339"/>
    <cellStyle name="40% - 輔色5 27" xfId="24340"/>
    <cellStyle name="40% - 輔色5 28" xfId="24341"/>
    <cellStyle name="40% - 輔色5 29" xfId="24342"/>
    <cellStyle name="40% - 輔色5 3" xfId="9235"/>
    <cellStyle name="40% - 輔色5 3 10" xfId="34436"/>
    <cellStyle name="40% - 輔色5 3 11" xfId="36118"/>
    <cellStyle name="40% - 輔色5 3 2" xfId="9479"/>
    <cellStyle name="40% - 輔色5 3 2 2" xfId="24343"/>
    <cellStyle name="40% - 輔色5 3 3" xfId="27751"/>
    <cellStyle name="40% - 輔色5 3 4" xfId="23577"/>
    <cellStyle name="40% - 輔色5 3 5" xfId="28550"/>
    <cellStyle name="40% - 輔色5 3 6" xfId="23567"/>
    <cellStyle name="40% - 輔色5 3 7" xfId="29144"/>
    <cellStyle name="40% - 輔色5 3 8" xfId="30928"/>
    <cellStyle name="40% - 輔色5 3 9" xfId="32699"/>
    <cellStyle name="40% - 輔色5 30" xfId="24344"/>
    <cellStyle name="40% - 輔色5 31" xfId="24345"/>
    <cellStyle name="40% - 輔色5 32" xfId="24346"/>
    <cellStyle name="40% - 輔色5 33" xfId="24347"/>
    <cellStyle name="40% - 輔色5 34" xfId="24348"/>
    <cellStyle name="40% - 輔色5 35" xfId="24349"/>
    <cellStyle name="40% - 輔色5 36" xfId="24350"/>
    <cellStyle name="40% - 輔色5 37" xfId="24351"/>
    <cellStyle name="40% - 輔色5 38" xfId="24352"/>
    <cellStyle name="40% - 輔色5 39" xfId="24353"/>
    <cellStyle name="40% - 輔色5 4" xfId="11227"/>
    <cellStyle name="40% - 輔色5 4 10" xfId="37799"/>
    <cellStyle name="40% - 輔色5 4 11" xfId="39296"/>
    <cellStyle name="40% - 輔色5 4 2" xfId="24354"/>
    <cellStyle name="40% - 輔色5 4 3" xfId="27762"/>
    <cellStyle name="40% - 輔色5 4 4" xfId="23432"/>
    <cellStyle name="40% - 輔色5 4 5" xfId="29232"/>
    <cellStyle name="40% - 輔色5 4 6" xfId="31015"/>
    <cellStyle name="40% - 輔色5 4 7" xfId="32785"/>
    <cellStyle name="40% - 輔色5 4 8" xfId="34519"/>
    <cellStyle name="40% - 輔色5 4 9" xfId="36197"/>
    <cellStyle name="40% - 輔色5 40" xfId="24355"/>
    <cellStyle name="40% - 輔色5 41" xfId="24356"/>
    <cellStyle name="40% - 輔色5 42" xfId="24357"/>
    <cellStyle name="40% - 輔色5 43" xfId="24358"/>
    <cellStyle name="40% - 輔色5 44" xfId="24359"/>
    <cellStyle name="40% - 輔色5 45" xfId="24360"/>
    <cellStyle name="40% - 輔色5 46" xfId="24361"/>
    <cellStyle name="40% - 輔色5 47" xfId="24362"/>
    <cellStyle name="40% - 輔色5 48" xfId="24363"/>
    <cellStyle name="40% - 輔色5 49" xfId="24364"/>
    <cellStyle name="40% - 輔色5 5" xfId="11418"/>
    <cellStyle name="40% - 輔色5 5 10" xfId="35861"/>
    <cellStyle name="40% - 輔色5 5 11" xfId="37490"/>
    <cellStyle name="40% - 輔色5 5 2" xfId="24365"/>
    <cellStyle name="40% - 輔色5 5 3" xfId="27773"/>
    <cellStyle name="40% - 輔色5 5 4" xfId="22767"/>
    <cellStyle name="40% - 輔色5 5 5" xfId="23571"/>
    <cellStyle name="40% - 輔色5 5 6" xfId="28845"/>
    <cellStyle name="40% - 輔色5 5 7" xfId="30631"/>
    <cellStyle name="40% - 輔色5 5 8" xfId="32405"/>
    <cellStyle name="40% - 輔色5 5 9" xfId="34156"/>
    <cellStyle name="40% - 輔色5 50" xfId="24366"/>
    <cellStyle name="40% - 輔色5 51" xfId="24367"/>
    <cellStyle name="40% - 輔色5 52" xfId="24368"/>
    <cellStyle name="40% - 輔色5 53" xfId="24369"/>
    <cellStyle name="40% - 輔色5 54" xfId="24370"/>
    <cellStyle name="40% - 輔色5 55" xfId="24371"/>
    <cellStyle name="40% - 輔色5 56" xfId="24372"/>
    <cellStyle name="40% - 輔色5 57" xfId="24373"/>
    <cellStyle name="40% - 輔色5 58" xfId="24374"/>
    <cellStyle name="40% - 輔色5 59" xfId="24375"/>
    <cellStyle name="40% - 輔色5 6" xfId="11609"/>
    <cellStyle name="40% - 輔色5 6 10" xfId="34618"/>
    <cellStyle name="40% - 輔色5 6 11" xfId="36287"/>
    <cellStyle name="40% - 輔色5 6 2" xfId="24376"/>
    <cellStyle name="40% - 輔色5 6 3" xfId="27784"/>
    <cellStyle name="40% - 輔色5 6 4" xfId="28185"/>
    <cellStyle name="40% - 輔色5 6 5" xfId="27632"/>
    <cellStyle name="40% - 輔色5 6 6" xfId="23540"/>
    <cellStyle name="40% - 輔色5 6 7" xfId="29339"/>
    <cellStyle name="40% - 輔色5 6 8" xfId="31120"/>
    <cellStyle name="40% - 輔色5 6 9" xfId="32889"/>
    <cellStyle name="40% - 輔色5 60" xfId="24377"/>
    <cellStyle name="40% - 輔色5 61" xfId="24378"/>
    <cellStyle name="40% - 輔色5 62" xfId="23276"/>
    <cellStyle name="40% - 輔色5 63" xfId="28496"/>
    <cellStyle name="40% - 輔色5 64" xfId="27217"/>
    <cellStyle name="40% - 輔色5 65" xfId="23378"/>
    <cellStyle name="40% - 輔色5 66" xfId="29582"/>
    <cellStyle name="40% - 輔色5 67" xfId="31358"/>
    <cellStyle name="40% - 輔色5 68" xfId="33122"/>
    <cellStyle name="40% - 輔色5 69" xfId="34840"/>
    <cellStyle name="40% - 輔色5 7" xfId="11790"/>
    <cellStyle name="40% - 輔色5 7 10" xfId="34047"/>
    <cellStyle name="40% - 輔色5 7 11" xfId="35757"/>
    <cellStyle name="40% - 輔色5 7 2" xfId="24379"/>
    <cellStyle name="40% - 輔色5 7 3" xfId="27787"/>
    <cellStyle name="40% - 輔色5 7 4" xfId="28182"/>
    <cellStyle name="40% - 輔色5 7 5" xfId="27635"/>
    <cellStyle name="40% - 輔色5 7 6" xfId="23317"/>
    <cellStyle name="40% - 輔色5 7 7" xfId="28730"/>
    <cellStyle name="40% - 輔色5 7 8" xfId="30519"/>
    <cellStyle name="40% - 輔色5 7 9" xfId="32294"/>
    <cellStyle name="40% - 輔色5 70" xfId="36493"/>
    <cellStyle name="40% - 輔色5 71" xfId="8017"/>
    <cellStyle name="40% - 輔色5 72" xfId="43314"/>
    <cellStyle name="40% - 輔色5 73" xfId="7949"/>
    <cellStyle name="40% - 輔色5 8" xfId="11973"/>
    <cellStyle name="40% - 輔色5 8 10" xfId="36622"/>
    <cellStyle name="40% - 輔色5 8 11" xfId="38195"/>
    <cellStyle name="40% - 輔色5 8 2" xfId="24380"/>
    <cellStyle name="40% - 輔色5 8 3" xfId="27788"/>
    <cellStyle name="40% - 輔色5 8 4" xfId="28181"/>
    <cellStyle name="40% - 輔色5 8 5" xfId="27636"/>
    <cellStyle name="40% - 輔色5 8 6" xfId="29715"/>
    <cellStyle name="40% - 輔色5 8 7" xfId="31490"/>
    <cellStyle name="40% - 輔色5 8 8" xfId="33251"/>
    <cellStyle name="40% - 輔色5 8 9" xfId="34969"/>
    <cellStyle name="40% - 輔色5 9" xfId="12149"/>
    <cellStyle name="40% - 輔色5 9 10" xfId="37025"/>
    <cellStyle name="40% - 輔色5 9 11" xfId="38583"/>
    <cellStyle name="40% - 輔色5 9 2" xfId="24381"/>
    <cellStyle name="40% - 輔色5 9 3" xfId="27789"/>
    <cellStyle name="40% - 輔色5 9 4" xfId="28180"/>
    <cellStyle name="40% - 輔色5 9 5" xfId="27637"/>
    <cellStyle name="40% - 輔色5 9 6" xfId="30137"/>
    <cellStyle name="40% - 輔色5 9 7" xfId="31912"/>
    <cellStyle name="40% - 輔色5 9 8" xfId="33667"/>
    <cellStyle name="40% - 輔色5 9 9" xfId="35380"/>
    <cellStyle name="40% - 輔色6 10" xfId="12372"/>
    <cellStyle name="40% - 輔色6 10 10" xfId="36780"/>
    <cellStyle name="40% - 輔色6 10 11" xfId="38346"/>
    <cellStyle name="40% - 輔色6 10 2" xfId="24382"/>
    <cellStyle name="40% - 輔色6 10 3" xfId="27790"/>
    <cellStyle name="40% - 輔色6 10 4" xfId="28179"/>
    <cellStyle name="40% - 輔色6 10 5" xfId="27638"/>
    <cellStyle name="40% - 輔色6 10 6" xfId="29882"/>
    <cellStyle name="40% - 輔色6 10 7" xfId="31657"/>
    <cellStyle name="40% - 輔色6 10 8" xfId="33416"/>
    <cellStyle name="40% - 輔色6 10 9" xfId="35130"/>
    <cellStyle name="40% - 輔色6 11" xfId="12468"/>
    <cellStyle name="40% - 輔色6 11 10" xfId="31183"/>
    <cellStyle name="40% - 輔色6 11 11" xfId="32950"/>
    <cellStyle name="40% - 輔色6 11 2" xfId="24383"/>
    <cellStyle name="40% - 輔色6 11 3" xfId="27791"/>
    <cellStyle name="40% - 輔色6 11 4" xfId="28178"/>
    <cellStyle name="40% - 輔色6 11 5" xfId="27639"/>
    <cellStyle name="40% - 輔色6 11 6" xfId="28206"/>
    <cellStyle name="40% - 輔色6 11 7" xfId="27590"/>
    <cellStyle name="40% - 輔色6 11 8" xfId="23547"/>
    <cellStyle name="40% - 輔色6 11 9" xfId="29406"/>
    <cellStyle name="40% - 輔色6 12" xfId="11987"/>
    <cellStyle name="40% - 輔色6 12 10" xfId="29935"/>
    <cellStyle name="40% - 輔色6 12 11" xfId="31710"/>
    <cellStyle name="40% - 輔色6 12 2" xfId="24384"/>
    <cellStyle name="40% - 輔色6 12 3" xfId="27792"/>
    <cellStyle name="40% - 輔色6 12 4" xfId="28177"/>
    <cellStyle name="40% - 輔色6 12 5" xfId="27640"/>
    <cellStyle name="40% - 輔色6 12 6" xfId="23264"/>
    <cellStyle name="40% - 輔色6 12 7" xfId="28428"/>
    <cellStyle name="40% - 輔色6 12 8" xfId="27328"/>
    <cellStyle name="40% - 輔色6 12 9" xfId="27103"/>
    <cellStyle name="40% - 輔色6 13" xfId="12652"/>
    <cellStyle name="40% - 輔色6 13 10" xfId="34273"/>
    <cellStyle name="40% - 輔色6 13 11" xfId="35969"/>
    <cellStyle name="40% - 輔色6 13 2" xfId="24385"/>
    <cellStyle name="40% - 輔色6 13 3" xfId="27793"/>
    <cellStyle name="40% - 輔色6 13 4" xfId="28176"/>
    <cellStyle name="40% - 輔色6 13 5" xfId="27641"/>
    <cellStyle name="40% - 輔色6 13 6" xfId="23049"/>
    <cellStyle name="40% - 輔色6 13 7" xfId="28971"/>
    <cellStyle name="40% - 輔色6 13 8" xfId="30757"/>
    <cellStyle name="40% - 輔色6 13 9" xfId="32530"/>
    <cellStyle name="40% - 輔色6 14" xfId="14168"/>
    <cellStyle name="40% - 輔色6 14 10" xfId="34617"/>
    <cellStyle name="40% - 輔色6 14 11" xfId="36286"/>
    <cellStyle name="40% - 輔色6 14 2" xfId="24386"/>
    <cellStyle name="40% - 輔色6 14 3" xfId="27794"/>
    <cellStyle name="40% - 輔色6 14 4" xfId="28174"/>
    <cellStyle name="40% - 輔色6 14 5" xfId="27644"/>
    <cellStyle name="40% - 輔色6 14 6" xfId="23459"/>
    <cellStyle name="40% - 輔色6 14 7" xfId="29338"/>
    <cellStyle name="40% - 輔色6 14 8" xfId="31119"/>
    <cellStyle name="40% - 輔色6 14 9" xfId="32888"/>
    <cellStyle name="40% - 輔色6 15" xfId="14947"/>
    <cellStyle name="40% - 輔色6 15 10" xfId="34690"/>
    <cellStyle name="40% - 輔色6 15 11" xfId="36353"/>
    <cellStyle name="40% - 輔色6 15 2" xfId="24387"/>
    <cellStyle name="40% - 輔色6 15 3" xfId="27795"/>
    <cellStyle name="40% - 輔色6 15 4" xfId="28173"/>
    <cellStyle name="40% - 輔色6 15 5" xfId="27645"/>
    <cellStyle name="40% - 輔色6 15 6" xfId="26413"/>
    <cellStyle name="40% - 輔色6 15 7" xfId="29424"/>
    <cellStyle name="40% - 輔色6 15 8" xfId="31201"/>
    <cellStyle name="40% - 輔色6 15 9" xfId="32967"/>
    <cellStyle name="40% - 輔色6 16" xfId="16105"/>
    <cellStyle name="40% - 輔色6 16 10" xfId="34111"/>
    <cellStyle name="40% - 輔色6 16 11" xfId="35819"/>
    <cellStyle name="40% - 輔色6 16 2" xfId="24388"/>
    <cellStyle name="40% - 輔色6 16 3" xfId="27796"/>
    <cellStyle name="40% - 輔色6 16 4" xfId="28172"/>
    <cellStyle name="40% - 輔色6 16 5" xfId="27646"/>
    <cellStyle name="40% - 輔色6 16 6" xfId="23491"/>
    <cellStyle name="40% - 輔色6 16 7" xfId="28797"/>
    <cellStyle name="40% - 輔色6 16 8" xfId="30585"/>
    <cellStyle name="40% - 輔色6 16 9" xfId="32359"/>
    <cellStyle name="40% - 輔色6 17" xfId="17035"/>
    <cellStyle name="40% - 輔色6 17 10" xfId="34008"/>
    <cellStyle name="40% - 輔色6 17 11" xfId="35718"/>
    <cellStyle name="40% - 輔色6 17 2" xfId="24389"/>
    <cellStyle name="40% - 輔色6 17 3" xfId="27797"/>
    <cellStyle name="40% - 輔色6 17 4" xfId="28171"/>
    <cellStyle name="40% - 輔色6 17 5" xfId="27647"/>
    <cellStyle name="40% - 輔色6 17 6" xfId="23156"/>
    <cellStyle name="40% - 輔色6 17 7" xfId="28691"/>
    <cellStyle name="40% - 輔色6 17 8" xfId="30480"/>
    <cellStyle name="40% - 輔色6 17 9" xfId="32255"/>
    <cellStyle name="40% - 輔色6 18" xfId="17943"/>
    <cellStyle name="40% - 輔色6 18 10" xfId="36621"/>
    <cellStyle name="40% - 輔色6 18 11" xfId="38194"/>
    <cellStyle name="40% - 輔色6 18 2" xfId="24390"/>
    <cellStyle name="40% - 輔色6 18 3" xfId="27798"/>
    <cellStyle name="40% - 輔色6 18 4" xfId="28170"/>
    <cellStyle name="40% - 輔色6 18 5" xfId="27648"/>
    <cellStyle name="40% - 輔色6 18 6" xfId="29714"/>
    <cellStyle name="40% - 輔色6 18 7" xfId="31489"/>
    <cellStyle name="40% - 輔色6 18 8" xfId="33250"/>
    <cellStyle name="40% - 輔色6 18 9" xfId="34968"/>
    <cellStyle name="40% - 輔色6 19" xfId="18833"/>
    <cellStyle name="40% - 輔色6 19 10" xfId="37026"/>
    <cellStyle name="40% - 輔色6 19 11" xfId="38584"/>
    <cellStyle name="40% - 輔色6 19 2" xfId="24391"/>
    <cellStyle name="40% - 輔色6 19 3" xfId="27799"/>
    <cellStyle name="40% - 輔色6 19 4" xfId="28169"/>
    <cellStyle name="40% - 輔色6 19 5" xfId="27649"/>
    <cellStyle name="40% - 輔色6 19 6" xfId="30138"/>
    <cellStyle name="40% - 輔色6 19 7" xfId="31913"/>
    <cellStyle name="40% - 輔色6 19 8" xfId="33668"/>
    <cellStyle name="40% - 輔色6 19 9" xfId="35381"/>
    <cellStyle name="40% - 輔色6 2" xfId="8580"/>
    <cellStyle name="40% - 輔色6 2 10" xfId="36779"/>
    <cellStyle name="40% - 輔色6 2 11" xfId="38345"/>
    <cellStyle name="40% - 輔色6 2 12" xfId="9197"/>
    <cellStyle name="40% - 輔色6 2 2" xfId="9373"/>
    <cellStyle name="40% - 輔色6 2 2 2" xfId="24392"/>
    <cellStyle name="40% - 輔色6 2 3" xfId="27800"/>
    <cellStyle name="40% - 輔色6 2 4" xfId="28168"/>
    <cellStyle name="40% - 輔色6 2 5" xfId="27650"/>
    <cellStyle name="40% - 輔色6 2 6" xfId="29881"/>
    <cellStyle name="40% - 輔色6 2 7" xfId="31656"/>
    <cellStyle name="40% - 輔色6 2 8" xfId="33415"/>
    <cellStyle name="40% - 輔色6 2 9" xfId="35129"/>
    <cellStyle name="40% - 輔色6 20" xfId="19631"/>
    <cellStyle name="40% - 輔色6 20 10" xfId="31010"/>
    <cellStyle name="40% - 輔色6 20 11" xfId="32780"/>
    <cellStyle name="40% - 輔色6 20 2" xfId="24393"/>
    <cellStyle name="40% - 輔色6 20 3" xfId="27801"/>
    <cellStyle name="40% - 輔色6 20 4" xfId="28167"/>
    <cellStyle name="40% - 輔色6 20 5" xfId="27651"/>
    <cellStyle name="40% - 輔色6 20 6" xfId="28205"/>
    <cellStyle name="40% - 輔色6 20 7" xfId="27591"/>
    <cellStyle name="40% - 輔色6 20 8" xfId="23099"/>
    <cellStyle name="40% - 輔色6 20 9" xfId="29227"/>
    <cellStyle name="40% - 輔色6 21" xfId="20412"/>
    <cellStyle name="40% - 輔色6 21 10" xfId="28557"/>
    <cellStyle name="40% - 輔色6 21 11" xfId="22843"/>
    <cellStyle name="40% - 輔色6 21 2" xfId="24394"/>
    <cellStyle name="40% - 輔色6 21 3" xfId="27802"/>
    <cellStyle name="40% - 輔色6 21 4" xfId="28166"/>
    <cellStyle name="40% - 輔色6 21 5" xfId="27652"/>
    <cellStyle name="40% - 輔色6 21 6" xfId="23652"/>
    <cellStyle name="40% - 輔色6 21 7" xfId="28424"/>
    <cellStyle name="40% - 輔色6 21 8" xfId="27332"/>
    <cellStyle name="40% - 輔色6 21 9" xfId="23636"/>
    <cellStyle name="40% - 輔色6 22" xfId="21408"/>
    <cellStyle name="40% - 輔色6 22 10" xfId="28565"/>
    <cellStyle name="40% - 輔色6 22 11" xfId="22842"/>
    <cellStyle name="40% - 輔色6 22 2" xfId="24395"/>
    <cellStyle name="40% - 輔色6 22 3" xfId="27803"/>
    <cellStyle name="40% - 輔色6 22 4" xfId="28165"/>
    <cellStyle name="40% - 輔色6 22 5" xfId="27654"/>
    <cellStyle name="40% - 輔色6 22 6" xfId="23529"/>
    <cellStyle name="40% - 輔色6 22 7" xfId="28385"/>
    <cellStyle name="40% - 輔色6 22 8" xfId="27394"/>
    <cellStyle name="40% - 輔色6 22 9" xfId="23566"/>
    <cellStyle name="40% - 輔色6 23" xfId="22803"/>
    <cellStyle name="40% - 輔色6 23 10" xfId="34580"/>
    <cellStyle name="40% - 輔色6 23 11" xfId="36252"/>
    <cellStyle name="40% - 輔色6 23 2" xfId="24396"/>
    <cellStyle name="40% - 輔色6 23 3" xfId="27804"/>
    <cellStyle name="40% - 輔色6 23 4" xfId="28163"/>
    <cellStyle name="40% - 輔色6 23 5" xfId="27656"/>
    <cellStyle name="40% - 輔色6 23 6" xfId="23296"/>
    <cellStyle name="40% - 輔色6 23 7" xfId="29301"/>
    <cellStyle name="40% - 輔色6 23 8" xfId="31082"/>
    <cellStyle name="40% - 輔色6 23 9" xfId="32851"/>
    <cellStyle name="40% - 輔色6 24" xfId="24397"/>
    <cellStyle name="40% - 輔色6 25" xfId="24398"/>
    <cellStyle name="40% - 輔色6 26" xfId="24399"/>
    <cellStyle name="40% - 輔色6 27" xfId="24400"/>
    <cellStyle name="40% - 輔色6 28" xfId="24401"/>
    <cellStyle name="40% - 輔色6 29" xfId="24402"/>
    <cellStyle name="40% - 輔色6 3" xfId="9239"/>
    <cellStyle name="40% - 輔色6 3 10" xfId="30532"/>
    <cellStyle name="40% - 輔色6 3 11" xfId="32307"/>
    <cellStyle name="40% - 輔色6 3 2" xfId="9478"/>
    <cellStyle name="40% - 輔色6 3 2 2" xfId="24403"/>
    <cellStyle name="40% - 輔色6 3 3" xfId="27811"/>
    <cellStyle name="40% - 輔色6 3 4" xfId="28156"/>
    <cellStyle name="40% - 輔色6 3 5" xfId="27663"/>
    <cellStyle name="40% - 輔色6 3 6" xfId="28204"/>
    <cellStyle name="40% - 輔色6 3 7" xfId="27592"/>
    <cellStyle name="40% - 輔色6 3 8" xfId="23560"/>
    <cellStyle name="40% - 輔色6 3 9" xfId="28744"/>
    <cellStyle name="40% - 輔色6 30" xfId="24404"/>
    <cellStyle name="40% - 輔色6 31" xfId="24405"/>
    <cellStyle name="40% - 輔色6 32" xfId="24406"/>
    <cellStyle name="40% - 輔色6 33" xfId="24407"/>
    <cellStyle name="40% - 輔色6 34" xfId="24408"/>
    <cellStyle name="40% - 輔色6 35" xfId="24409"/>
    <cellStyle name="40% - 輔色6 36" xfId="24410"/>
    <cellStyle name="40% - 輔色6 37" xfId="24411"/>
    <cellStyle name="40% - 輔色6 38" xfId="24412"/>
    <cellStyle name="40% - 輔色6 39" xfId="24413"/>
    <cellStyle name="40% - 輔色6 4" xfId="11167"/>
    <cellStyle name="40% - 輔色6 4 10" xfId="34424"/>
    <cellStyle name="40% - 輔色6 4 11" xfId="36107"/>
    <cellStyle name="40% - 輔色6 4 2" xfId="24414"/>
    <cellStyle name="40% - 輔色6 4 3" xfId="27822"/>
    <cellStyle name="40% - 輔色6 4 4" xfId="28125"/>
    <cellStyle name="40% - 輔色6 4 5" xfId="27716"/>
    <cellStyle name="40% - 輔色6 4 6" xfId="23489"/>
    <cellStyle name="40% - 輔色6 4 7" xfId="29131"/>
    <cellStyle name="40% - 輔色6 4 8" xfId="30915"/>
    <cellStyle name="40% - 輔色6 4 9" xfId="32686"/>
    <cellStyle name="40% - 輔色6 40" xfId="24415"/>
    <cellStyle name="40% - 輔色6 41" xfId="24416"/>
    <cellStyle name="40% - 輔色6 42" xfId="24417"/>
    <cellStyle name="40% - 輔色6 43" xfId="24418"/>
    <cellStyle name="40% - 輔色6 44" xfId="24419"/>
    <cellStyle name="40% - 輔色6 45" xfId="24420"/>
    <cellStyle name="40% - 輔色6 46" xfId="24421"/>
    <cellStyle name="40% - 輔色6 47" xfId="24422"/>
    <cellStyle name="40% - 輔色6 48" xfId="24423"/>
    <cellStyle name="40% - 輔色6 49" xfId="24424"/>
    <cellStyle name="40% - 輔色6 5" xfId="11360"/>
    <cellStyle name="40% - 輔色6 5 10" xfId="34635"/>
    <cellStyle name="40% - 輔色6 5 11" xfId="36303"/>
    <cellStyle name="40% - 輔色6 5 2" xfId="24425"/>
    <cellStyle name="40% - 輔色6 5 3" xfId="27833"/>
    <cellStyle name="40% - 輔色6 5 4" xfId="28113"/>
    <cellStyle name="40% - 輔色6 5 5" xfId="27747"/>
    <cellStyle name="40% - 輔色6 5 6" xfId="23222"/>
    <cellStyle name="40% - 輔色6 5 7" xfId="29359"/>
    <cellStyle name="40% - 輔色6 5 8" xfId="31138"/>
    <cellStyle name="40% - 輔色6 5 9" xfId="32906"/>
    <cellStyle name="40% - 輔色6 50" xfId="24426"/>
    <cellStyle name="40% - 輔色6 51" xfId="24427"/>
    <cellStyle name="40% - 輔色6 52" xfId="24428"/>
    <cellStyle name="40% - 輔色6 53" xfId="24429"/>
    <cellStyle name="40% - 輔色6 54" xfId="24430"/>
    <cellStyle name="40% - 輔色6 55" xfId="24431"/>
    <cellStyle name="40% - 輔色6 56" xfId="24432"/>
    <cellStyle name="40% - 輔色6 57" xfId="24433"/>
    <cellStyle name="40% - 輔色6 58" xfId="24434"/>
    <cellStyle name="40% - 輔色6 59" xfId="24435"/>
    <cellStyle name="40% - 輔色6 6" xfId="11551"/>
    <cellStyle name="40% - 輔色6 6 10" xfId="34850"/>
    <cellStyle name="40% - 輔色6 6 11" xfId="36503"/>
    <cellStyle name="40% - 輔色6 6 2" xfId="24436"/>
    <cellStyle name="40% - 輔色6 6 3" xfId="27844"/>
    <cellStyle name="40% - 輔色6 6 4" xfId="28101"/>
    <cellStyle name="40% - 輔色6 6 5" xfId="27760"/>
    <cellStyle name="40% - 輔色6 6 6" xfId="23132"/>
    <cellStyle name="40% - 輔色6 6 7" xfId="29593"/>
    <cellStyle name="40% - 輔色6 6 8" xfId="31369"/>
    <cellStyle name="40% - 輔色6 6 9" xfId="33132"/>
    <cellStyle name="40% - 輔色6 60" xfId="24437"/>
    <cellStyle name="40% - 輔色6 61" xfId="24438"/>
    <cellStyle name="40% - 輔色6 62" xfId="23197"/>
    <cellStyle name="40% - 輔色6 63" xfId="28494"/>
    <cellStyle name="40% - 輔色6 64" xfId="27219"/>
    <cellStyle name="40% - 輔色6 65" xfId="23585"/>
    <cellStyle name="40% - 輔色6 66" xfId="29203"/>
    <cellStyle name="40% - 輔色6 67" xfId="30986"/>
    <cellStyle name="40% - 輔色6 68" xfId="32756"/>
    <cellStyle name="40% - 輔色6 69" xfId="34492"/>
    <cellStyle name="40% - 輔色6 7" xfId="11730"/>
    <cellStyle name="40% - 輔色6 7 10" xfId="33984"/>
    <cellStyle name="40% - 輔色6 7 11" xfId="35696"/>
    <cellStyle name="40% - 輔色6 7 2" xfId="24439"/>
    <cellStyle name="40% - 輔色6 7 3" xfId="27847"/>
    <cellStyle name="40% - 輔色6 7 4" xfId="28098"/>
    <cellStyle name="40% - 輔色6 7 5" xfId="27764"/>
    <cellStyle name="40% - 輔色6 7 6" xfId="24848"/>
    <cellStyle name="40% - 輔色6 7 7" xfId="28665"/>
    <cellStyle name="40% - 輔色6 7 8" xfId="30455"/>
    <cellStyle name="40% - 輔色6 7 9" xfId="32230"/>
    <cellStyle name="40% - 輔色6 70" xfId="36171"/>
    <cellStyle name="40% - 輔色6 71" xfId="8632"/>
    <cellStyle name="40% - 輔色6 72" xfId="8021"/>
    <cellStyle name="40% - 輔色6 73" xfId="43316"/>
    <cellStyle name="40% - 輔色6 74" xfId="7950"/>
    <cellStyle name="40% - 輔色6 8" xfId="11917"/>
    <cellStyle name="40% - 輔色6 8 10" xfId="32404"/>
    <cellStyle name="40% - 輔色6 8 11" xfId="34155"/>
    <cellStyle name="40% - 輔色6 8 2" xfId="24440"/>
    <cellStyle name="40% - 輔色6 8 3" xfId="27848"/>
    <cellStyle name="40% - 輔色6 8 4" xfId="28097"/>
    <cellStyle name="40% - 輔色6 8 5" xfId="27765"/>
    <cellStyle name="40% - 輔色6 8 6" xfId="22768"/>
    <cellStyle name="40% - 輔色6 8 7" xfId="23495"/>
    <cellStyle name="40% - 輔色6 8 8" xfId="28844"/>
    <cellStyle name="40% - 輔色6 8 9" xfId="30630"/>
    <cellStyle name="40% - 輔色6 9" xfId="12099"/>
    <cellStyle name="40% - 輔色6 9 10" xfId="31076"/>
    <cellStyle name="40% - 輔色6 9 11" xfId="32845"/>
    <cellStyle name="40% - 輔色6 9 2" xfId="24441"/>
    <cellStyle name="40% - 輔色6 9 3" xfId="27849"/>
    <cellStyle name="40% - 輔色6 9 4" xfId="28096"/>
    <cellStyle name="40% - 輔色6 9 5" xfId="27766"/>
    <cellStyle name="40% - 輔色6 9 6" xfId="23108"/>
    <cellStyle name="40% - 輔色6 9 7" xfId="28309"/>
    <cellStyle name="40% - 輔色6 9 8" xfId="22856"/>
    <cellStyle name="40% - 輔色6 9 9" xfId="29294"/>
    <cellStyle name="60% - Accent1" xfId="22" builtinId="32" customBuiltin="1"/>
    <cellStyle name="60% - Accent1 10" xfId="9811"/>
    <cellStyle name="60% - Accent1 11" xfId="9891"/>
    <cellStyle name="60% - Accent1 11 10" xfId="30743"/>
    <cellStyle name="60% - Accent1 11 11" xfId="32516"/>
    <cellStyle name="60% - Accent1 11 2" xfId="24442"/>
    <cellStyle name="60% - Accent1 11 3" xfId="27850"/>
    <cellStyle name="60% - Accent1 11 4" xfId="28095"/>
    <cellStyle name="60% - Accent1 11 5" xfId="27767"/>
    <cellStyle name="60% - Accent1 11 6" xfId="23422"/>
    <cellStyle name="60% - Accent1 11 7" xfId="28548"/>
    <cellStyle name="60% - Accent1 11 8" xfId="23240"/>
    <cellStyle name="60% - Accent1 11 9" xfId="28957"/>
    <cellStyle name="60% - Accent1 12" xfId="9971"/>
    <cellStyle name="60% - Accent1 12 10" xfId="40971"/>
    <cellStyle name="60% - Accent1 12 11" xfId="42045"/>
    <cellStyle name="60% - Accent1 12 2" xfId="26451"/>
    <cellStyle name="60% - Accent1 12 3" xfId="29782"/>
    <cellStyle name="60% - Accent1 12 4" xfId="31557"/>
    <cellStyle name="60% - Accent1 12 5" xfId="33316"/>
    <cellStyle name="60% - Accent1 12 6" xfId="35033"/>
    <cellStyle name="60% - Accent1 12 7" xfId="36684"/>
    <cellStyle name="60% - Accent1 12 8" xfId="38253"/>
    <cellStyle name="60% - Accent1 12 9" xfId="39703"/>
    <cellStyle name="60% - Accent1 13" xfId="10055"/>
    <cellStyle name="60% - Accent1 13 10" xfId="41333"/>
    <cellStyle name="60% - Accent1 13 11" xfId="42384"/>
    <cellStyle name="60% - Accent1 13 2" xfId="26881"/>
    <cellStyle name="60% - Accent1 13 3" xfId="30209"/>
    <cellStyle name="60% - Accent1 13 4" xfId="31984"/>
    <cellStyle name="60% - Accent1 13 5" xfId="33739"/>
    <cellStyle name="60% - Accent1 13 6" xfId="35452"/>
    <cellStyle name="60% - Accent1 13 7" xfId="37096"/>
    <cellStyle name="60% - Accent1 13 8" xfId="38652"/>
    <cellStyle name="60% - Accent1 13 9" xfId="40086"/>
    <cellStyle name="60% - Accent1 14" xfId="10123"/>
    <cellStyle name="60% - Accent1 14 10" xfId="40860"/>
    <cellStyle name="60% - Accent1 14 11" xfId="41939"/>
    <cellStyle name="60% - Accent1 14 2" xfId="26320"/>
    <cellStyle name="60% - Accent1 14 3" xfId="29651"/>
    <cellStyle name="60% - Accent1 14 4" xfId="31426"/>
    <cellStyle name="60% - Accent1 14 5" xfId="33189"/>
    <cellStyle name="60% - Accent1 14 6" xfId="34907"/>
    <cellStyle name="60% - Accent1 14 7" xfId="36560"/>
    <cellStyle name="60% - Accent1 14 8" xfId="38134"/>
    <cellStyle name="60% - Accent1 14 9" xfId="39587"/>
    <cellStyle name="60% - Accent1 15" xfId="9477"/>
    <cellStyle name="60% - Accent1 15 10" xfId="20378"/>
    <cellStyle name="60% - Accent1 15 11" xfId="21217"/>
    <cellStyle name="60% - Accent1 15 12" xfId="22020"/>
    <cellStyle name="60% - Accent1 15 13" xfId="26923"/>
    <cellStyle name="60% - Accent1 15 14" xfId="30251"/>
    <cellStyle name="60% - Accent1 15 15" xfId="32026"/>
    <cellStyle name="60% - Accent1 15 16" xfId="33781"/>
    <cellStyle name="60% - Accent1 15 17" xfId="35494"/>
    <cellStyle name="60% - Accent1 15 18" xfId="37138"/>
    <cellStyle name="60% - Accent1 15 19" xfId="38694"/>
    <cellStyle name="60% - Accent1 15 2" xfId="12929"/>
    <cellStyle name="60% - Accent1 15 20" xfId="40128"/>
    <cellStyle name="60% - Accent1 15 21" xfId="41375"/>
    <cellStyle name="60% - Accent1 15 22" xfId="42426"/>
    <cellStyle name="60% - Accent1 15 3" xfId="14055"/>
    <cellStyle name="60% - Accent1 15 4" xfId="14985"/>
    <cellStyle name="60% - Accent1 15 5" xfId="15913"/>
    <cellStyle name="60% - Accent1 15 6" xfId="16842"/>
    <cellStyle name="60% - Accent1 15 7" xfId="17751"/>
    <cellStyle name="60% - Accent1 15 8" xfId="18641"/>
    <cellStyle name="60% - Accent1 15 9" xfId="19520"/>
    <cellStyle name="60% - Accent1 16" xfId="11095"/>
    <cellStyle name="60% - Accent1 16 10" xfId="20455"/>
    <cellStyle name="60% - Accent1 16 11" xfId="21291"/>
    <cellStyle name="60% - Accent1 16 12" xfId="22088"/>
    <cellStyle name="60% - Accent1 16 13" xfId="24835"/>
    <cellStyle name="60% - Accent1 16 14" xfId="28222"/>
    <cellStyle name="60% - Accent1 16 15" xfId="27573"/>
    <cellStyle name="60% - Accent1 16 16" xfId="23701"/>
    <cellStyle name="60% - Accent1 16 17" xfId="28898"/>
    <cellStyle name="60% - Accent1 16 18" xfId="30684"/>
    <cellStyle name="60% - Accent1 16 19" xfId="32457"/>
    <cellStyle name="60% - Accent1 16 2" xfId="13005"/>
    <cellStyle name="60% - Accent1 16 20" xfId="34208"/>
    <cellStyle name="60% - Accent1 16 21" xfId="35908"/>
    <cellStyle name="60% - Accent1 16 22" xfId="37535"/>
    <cellStyle name="60% - Accent1 16 3" xfId="14131"/>
    <cellStyle name="60% - Accent1 16 4" xfId="15061"/>
    <cellStyle name="60% - Accent1 16 5" xfId="15988"/>
    <cellStyle name="60% - Accent1 16 6" xfId="16918"/>
    <cellStyle name="60% - Accent1 16 7" xfId="17826"/>
    <cellStyle name="60% - Accent1 16 8" xfId="18716"/>
    <cellStyle name="60% - Accent1 16 9" xfId="19594"/>
    <cellStyle name="60% - Accent1 17" xfId="11289"/>
    <cellStyle name="60% - Accent1 17 10" xfId="20536"/>
    <cellStyle name="60% - Accent1 17 11" xfId="21372"/>
    <cellStyle name="60% - Accent1 17 12" xfId="22166"/>
    <cellStyle name="60% - Accent1 17 13" xfId="26845"/>
    <cellStyle name="60% - Accent1 17 14" xfId="30173"/>
    <cellStyle name="60% - Accent1 17 15" xfId="31948"/>
    <cellStyle name="60% - Accent1 17 16" xfId="33703"/>
    <cellStyle name="60% - Accent1 17 17" xfId="35416"/>
    <cellStyle name="60% - Accent1 17 18" xfId="37061"/>
    <cellStyle name="60% - Accent1 17 19" xfId="38618"/>
    <cellStyle name="60% - Accent1 17 2" xfId="13086"/>
    <cellStyle name="60% - Accent1 17 20" xfId="40052"/>
    <cellStyle name="60% - Accent1 17 21" xfId="41300"/>
    <cellStyle name="60% - Accent1 17 22" xfId="42351"/>
    <cellStyle name="60% - Accent1 17 3" xfId="14212"/>
    <cellStyle name="60% - Accent1 17 4" xfId="15141"/>
    <cellStyle name="60% - Accent1 17 5" xfId="16069"/>
    <cellStyle name="60% - Accent1 17 6" xfId="16999"/>
    <cellStyle name="60% - Accent1 17 7" xfId="17907"/>
    <cellStyle name="60% - Accent1 17 8" xfId="18797"/>
    <cellStyle name="60% - Accent1 17 9" xfId="19675"/>
    <cellStyle name="60% - Accent1 18" xfId="11481"/>
    <cellStyle name="60% - Accent1 18 10" xfId="20616"/>
    <cellStyle name="60% - Accent1 18 11" xfId="21453"/>
    <cellStyle name="60% - Accent1 18 12" xfId="22244"/>
    <cellStyle name="60% - Accent1 18 13" xfId="26522"/>
    <cellStyle name="60% - Accent1 18 14" xfId="29853"/>
    <cellStyle name="60% - Accent1 18 15" xfId="31628"/>
    <cellStyle name="60% - Accent1 18 16" xfId="33387"/>
    <cellStyle name="60% - Accent1 18 17" xfId="35101"/>
    <cellStyle name="60% - Accent1 18 18" xfId="36751"/>
    <cellStyle name="60% - Accent1 18 19" xfId="38319"/>
    <cellStyle name="60% - Accent1 18 2" xfId="13167"/>
    <cellStyle name="60% - Accent1 18 20" xfId="39765"/>
    <cellStyle name="60% - Accent1 18 21" xfId="41031"/>
    <cellStyle name="60% - Accent1 18 22" xfId="42102"/>
    <cellStyle name="60% - Accent1 18 3" xfId="14293"/>
    <cellStyle name="60% - Accent1 18 4" xfId="15221"/>
    <cellStyle name="60% - Accent1 18 5" xfId="16150"/>
    <cellStyle name="60% - Accent1 18 6" xfId="17080"/>
    <cellStyle name="60% - Accent1 18 7" xfId="17988"/>
    <cellStyle name="60% - Accent1 18 8" xfId="18878"/>
    <cellStyle name="60% - Accent1 18 9" xfId="19756"/>
    <cellStyle name="60% - Accent1 19" xfId="11664"/>
    <cellStyle name="60% - Accent1 19 10" xfId="20693"/>
    <cellStyle name="60% - Accent1 19 11" xfId="21531"/>
    <cellStyle name="60% - Accent1 19 12" xfId="22319"/>
    <cellStyle name="60% - Accent1 19 13" xfId="26739"/>
    <cellStyle name="60% - Accent1 19 14" xfId="30068"/>
    <cellStyle name="60% - Accent1 19 15" xfId="31843"/>
    <cellStyle name="60% - Accent1 19 16" xfId="33599"/>
    <cellStyle name="60% - Accent1 19 17" xfId="35312"/>
    <cellStyle name="60% - Accent1 19 18" xfId="36958"/>
    <cellStyle name="60% - Accent1 19 19" xfId="38519"/>
    <cellStyle name="60% - Accent1 19 2" xfId="13245"/>
    <cellStyle name="60% - Accent1 19 20" xfId="39959"/>
    <cellStyle name="60% - Accent1 19 21" xfId="41212"/>
    <cellStyle name="60% - Accent1 19 22" xfId="42268"/>
    <cellStyle name="60% - Accent1 19 3" xfId="14370"/>
    <cellStyle name="60% - Accent1 19 4" xfId="15298"/>
    <cellStyle name="60% - Accent1 19 5" xfId="16228"/>
    <cellStyle name="60% - Accent1 19 6" xfId="17158"/>
    <cellStyle name="60% - Accent1 19 7" xfId="18066"/>
    <cellStyle name="60% - Accent1 19 8" xfId="18956"/>
    <cellStyle name="60% - Accent1 19 9" xfId="19833"/>
    <cellStyle name="60% - Accent1 2" xfId="3962"/>
    <cellStyle name="60% - Accent1 2 10" xfId="10846"/>
    <cellStyle name="60% - Accent1 2 11" xfId="11843"/>
    <cellStyle name="60% - Accent1 2 12" xfId="12508"/>
    <cellStyle name="60% - Accent1 2 13" xfId="12684"/>
    <cellStyle name="60% - Accent1 2 14" xfId="12598"/>
    <cellStyle name="60% - Accent1 2 15" xfId="12805"/>
    <cellStyle name="60% - Accent1 2 16" xfId="15754"/>
    <cellStyle name="60% - Accent1 2 17" xfId="11254"/>
    <cellStyle name="60% - Accent1 2 18" xfId="11555"/>
    <cellStyle name="60% - Accent1 2 19" xfId="12154"/>
    <cellStyle name="60% - Accent1 2 2" xfId="9374"/>
    <cellStyle name="60% - Accent1 2 2 2" xfId="9555"/>
    <cellStyle name="60% - Accent1 2 20" xfId="16726"/>
    <cellStyle name="60% - Accent1 2 21" xfId="14686"/>
    <cellStyle name="60% - Accent1 2 22" xfId="12403"/>
    <cellStyle name="60% - Accent1 2 23" xfId="23000"/>
    <cellStyle name="60% - Accent1 2 24" xfId="23319"/>
    <cellStyle name="60% - Accent1 2 25" xfId="28752"/>
    <cellStyle name="60% - Accent1 2 26" xfId="30540"/>
    <cellStyle name="60% - Accent1 2 27" xfId="32315"/>
    <cellStyle name="60% - Accent1 2 28" xfId="34067"/>
    <cellStyle name="60% - Accent1 2 29" xfId="35777"/>
    <cellStyle name="60% - Accent1 2 3" xfId="10314"/>
    <cellStyle name="60% - Accent1 2 30" xfId="37415"/>
    <cellStyle name="60% - Accent1 2 31" xfId="38966"/>
    <cellStyle name="60% - Accent1 2 32" xfId="40386"/>
    <cellStyle name="60% - Accent1 2 33" xfId="8708"/>
    <cellStyle name="60% - Accent1 2 4" xfId="10997"/>
    <cellStyle name="60% - Accent1 2 5" xfId="11096"/>
    <cellStyle name="60% - Accent1 2 6" xfId="11290"/>
    <cellStyle name="60% - Accent1 2 7" xfId="11482"/>
    <cellStyle name="60% - Accent1 2 8" xfId="11665"/>
    <cellStyle name="60% - Accent1 2 9" xfId="11849"/>
    <cellStyle name="60% - Accent1 20" xfId="11848"/>
    <cellStyle name="60% - Accent1 20 10" xfId="20773"/>
    <cellStyle name="60% - Accent1 20 11" xfId="21611"/>
    <cellStyle name="60% - Accent1 20 12" xfId="22397"/>
    <cellStyle name="60% - Accent1 20 13" xfId="26632"/>
    <cellStyle name="60% - Accent1 20 14" xfId="29961"/>
    <cellStyle name="60% - Accent1 20 15" xfId="31736"/>
    <cellStyle name="60% - Accent1 20 16" xfId="33494"/>
    <cellStyle name="60% - Accent1 20 17" xfId="35208"/>
    <cellStyle name="60% - Accent1 20 18" xfId="36855"/>
    <cellStyle name="60% - Accent1 20 19" xfId="38418"/>
    <cellStyle name="60% - Accent1 20 2" xfId="13326"/>
    <cellStyle name="60% - Accent1 20 20" xfId="39860"/>
    <cellStyle name="60% - Accent1 20 21" xfId="41114"/>
    <cellStyle name="60% - Accent1 20 22" xfId="42174"/>
    <cellStyle name="60% - Accent1 20 3" xfId="14450"/>
    <cellStyle name="60% - Accent1 20 4" xfId="15379"/>
    <cellStyle name="60% - Accent1 20 5" xfId="16308"/>
    <cellStyle name="60% - Accent1 20 6" xfId="17238"/>
    <cellStyle name="60% - Accent1 20 7" xfId="18146"/>
    <cellStyle name="60% - Accent1 20 8" xfId="19036"/>
    <cellStyle name="60% - Accent1 20 9" xfId="19913"/>
    <cellStyle name="60% - Accent1 21" xfId="12032"/>
    <cellStyle name="60% - Accent1 21 10" xfId="20852"/>
    <cellStyle name="60% - Accent1 21 11" xfId="21691"/>
    <cellStyle name="60% - Accent1 21 12" xfId="22475"/>
    <cellStyle name="60% - Accent1 21 13" xfId="26855"/>
    <cellStyle name="60% - Accent1 21 14" xfId="30183"/>
    <cellStyle name="60% - Accent1 21 15" xfId="31958"/>
    <cellStyle name="60% - Accent1 21 16" xfId="33713"/>
    <cellStyle name="60% - Accent1 21 17" xfId="35426"/>
    <cellStyle name="60% - Accent1 21 18" xfId="37071"/>
    <cellStyle name="60% - Accent1 21 19" xfId="38627"/>
    <cellStyle name="60% - Accent1 21 2" xfId="13406"/>
    <cellStyle name="60% - Accent1 21 20" xfId="40061"/>
    <cellStyle name="60% - Accent1 21 21" xfId="41309"/>
    <cellStyle name="60% - Accent1 21 22" xfId="42360"/>
    <cellStyle name="60% - Accent1 21 3" xfId="14530"/>
    <cellStyle name="60% - Accent1 21 4" xfId="15457"/>
    <cellStyle name="60% - Accent1 21 5" xfId="16388"/>
    <cellStyle name="60% - Accent1 21 6" xfId="17318"/>
    <cellStyle name="60% - Accent1 21 7" xfId="18226"/>
    <cellStyle name="60% - Accent1 21 8" xfId="19116"/>
    <cellStyle name="60% - Accent1 21 9" xfId="19993"/>
    <cellStyle name="60% - Accent1 22" xfId="12331"/>
    <cellStyle name="60% - Accent1 22 10" xfId="20930"/>
    <cellStyle name="60% - Accent1 22 11" xfId="21771"/>
    <cellStyle name="60% - Accent1 22 12" xfId="22553"/>
    <cellStyle name="60% - Accent1 22 13" xfId="26352"/>
    <cellStyle name="60% - Accent1 22 14" xfId="29683"/>
    <cellStyle name="60% - Accent1 22 15" xfId="31458"/>
    <cellStyle name="60% - Accent1 22 16" xfId="33220"/>
    <cellStyle name="60% - Accent1 22 17" xfId="34938"/>
    <cellStyle name="60% - Accent1 22 18" xfId="36591"/>
    <cellStyle name="60% - Accent1 22 19" xfId="38165"/>
    <cellStyle name="60% - Accent1 22 2" xfId="13486"/>
    <cellStyle name="60% - Accent1 22 20" xfId="39618"/>
    <cellStyle name="60% - Accent1 22 21" xfId="40890"/>
    <cellStyle name="60% - Accent1 22 22" xfId="41969"/>
    <cellStyle name="60% - Accent1 22 3" xfId="14609"/>
    <cellStyle name="60% - Accent1 22 4" xfId="15537"/>
    <cellStyle name="60% - Accent1 22 5" xfId="16468"/>
    <cellStyle name="60% - Accent1 22 6" xfId="17398"/>
    <cellStyle name="60% - Accent1 22 7" xfId="18306"/>
    <cellStyle name="60% - Accent1 22 8" xfId="19196"/>
    <cellStyle name="60% - Accent1 22 9" xfId="20072"/>
    <cellStyle name="60% - Accent1 23" xfId="12401"/>
    <cellStyle name="60% - Accent1 23 10" xfId="21005"/>
    <cellStyle name="60% - Accent1 23 11" xfId="21844"/>
    <cellStyle name="60% - Accent1 23 12" xfId="22625"/>
    <cellStyle name="60% - Accent1 23 2" xfId="13566"/>
    <cellStyle name="60% - Accent1 23 3" xfId="14685"/>
    <cellStyle name="60% - Accent1 23 4" xfId="15616"/>
    <cellStyle name="60% - Accent1 23 5" xfId="16545"/>
    <cellStyle name="60% - Accent1 23 6" xfId="17474"/>
    <cellStyle name="60% - Accent1 23 7" xfId="18381"/>
    <cellStyle name="60% - Accent1 23 8" xfId="19270"/>
    <cellStyle name="60% - Accent1 23 9" xfId="20144"/>
    <cellStyle name="60% - Accent1 24" xfId="12382"/>
    <cellStyle name="60% - Accent1 24 10" xfId="21072"/>
    <cellStyle name="60% - Accent1 24 11" xfId="21907"/>
    <cellStyle name="60% - Accent1 24 12" xfId="22688"/>
    <cellStyle name="60% - Accent1 24 2" xfId="13646"/>
    <cellStyle name="60% - Accent1 24 3" xfId="14763"/>
    <cellStyle name="60% - Accent1 24 4" xfId="15689"/>
    <cellStyle name="60% - Accent1 24 5" xfId="16618"/>
    <cellStyle name="60% - Accent1 24 6" xfId="17549"/>
    <cellStyle name="60% - Accent1 24 7" xfId="18452"/>
    <cellStyle name="60% - Accent1 24 8" xfId="19337"/>
    <cellStyle name="60% - Accent1 24 9" xfId="20215"/>
    <cellStyle name="60% - Accent1 25" xfId="13720"/>
    <cellStyle name="60% - Accent1 26" xfId="13785"/>
    <cellStyle name="60% - Accent1 27" xfId="10424"/>
    <cellStyle name="60% - Accent1 28" xfId="14088"/>
    <cellStyle name="60% - Accent1 29" xfId="13936"/>
    <cellStyle name="60% - Accent1 3" xfId="8799"/>
    <cellStyle name="60% - Accent1 30" xfId="16025"/>
    <cellStyle name="60% - Accent1 31" xfId="16955"/>
    <cellStyle name="60% - Accent1 32" xfId="17863"/>
    <cellStyle name="60% - Accent1 33" xfId="18753"/>
    <cellStyle name="60% - Accent1 34" xfId="19551"/>
    <cellStyle name="60% - Accent1 35" xfId="20346"/>
    <cellStyle name="60% - Accent1 36" xfId="21328"/>
    <cellStyle name="60% - Accent1 37" xfId="22804"/>
    <cellStyle name="60% - Accent1 38" xfId="23705"/>
    <cellStyle name="60% - Accent1 39" xfId="28493"/>
    <cellStyle name="60% - Accent1 4" xfId="8890"/>
    <cellStyle name="60% - Accent1 40" xfId="27220"/>
    <cellStyle name="60% - Accent1 41" xfId="23374"/>
    <cellStyle name="60% - Accent1 42" xfId="29346"/>
    <cellStyle name="60% - Accent1 43" xfId="31127"/>
    <cellStyle name="60% - Accent1 44" xfId="32895"/>
    <cellStyle name="60% - Accent1 45" xfId="34624"/>
    <cellStyle name="60% - Accent1 46" xfId="36293"/>
    <cellStyle name="60% - Accent1 47" xfId="42593"/>
    <cellStyle name="60% - Accent1 48" xfId="42677"/>
    <cellStyle name="60% - Accent1 49" xfId="42722"/>
    <cellStyle name="60% - Accent1 5" xfId="8968"/>
    <cellStyle name="60% - Accent1 50" xfId="42764"/>
    <cellStyle name="60% - Accent1 51" xfId="42806"/>
    <cellStyle name="60% - Accent1 52" xfId="42847"/>
    <cellStyle name="60% - Accent1 53" xfId="42888"/>
    <cellStyle name="60% - Accent1 54" xfId="42928"/>
    <cellStyle name="60% - Accent1 55" xfId="42968"/>
    <cellStyle name="60% - Accent1 56" xfId="43005"/>
    <cellStyle name="60% - Accent1 57" xfId="43040"/>
    <cellStyle name="60% - Accent1 58" xfId="43073"/>
    <cellStyle name="60% - Accent1 59" xfId="43099"/>
    <cellStyle name="60% - Accent1 6" xfId="9046"/>
    <cellStyle name="60% - Accent1 60" xfId="43137"/>
    <cellStyle name="60% - Accent1 61" xfId="43185"/>
    <cellStyle name="60% - Accent1 62" xfId="8633"/>
    <cellStyle name="60% - Accent1 63" xfId="7688"/>
    <cellStyle name="60% - Accent1 64" xfId="3648"/>
    <cellStyle name="60% - Accent1 7" xfId="9110"/>
    <cellStyle name="60% - Accent1 8" xfId="9253"/>
    <cellStyle name="60% - Accent1 9" xfId="9729"/>
    <cellStyle name="60% - Accent2" xfId="26" builtinId="36" customBuiltin="1"/>
    <cellStyle name="60% - Accent2 10" xfId="9809"/>
    <cellStyle name="60% - Accent2 11" xfId="9890"/>
    <cellStyle name="60% - Accent2 11 10" xfId="34849"/>
    <cellStyle name="60% - Accent2 11 11" xfId="36502"/>
    <cellStyle name="60% - Accent2 11 2" xfId="24443"/>
    <cellStyle name="60% - Accent2 11 3" xfId="27851"/>
    <cellStyle name="60% - Accent2 11 4" xfId="28094"/>
    <cellStyle name="60% - Accent2 11 5" xfId="27768"/>
    <cellStyle name="60% - Accent2 11 6" xfId="23139"/>
    <cellStyle name="60% - Accent2 11 7" xfId="29592"/>
    <cellStyle name="60% - Accent2 11 8" xfId="31368"/>
    <cellStyle name="60% - Accent2 11 9" xfId="33131"/>
    <cellStyle name="60% - Accent2 12" xfId="9970"/>
    <cellStyle name="60% - Accent2 12 10" xfId="40972"/>
    <cellStyle name="60% - Accent2 12 11" xfId="42046"/>
    <cellStyle name="60% - Accent2 12 2" xfId="26452"/>
    <cellStyle name="60% - Accent2 12 3" xfId="29783"/>
    <cellStyle name="60% - Accent2 12 4" xfId="31558"/>
    <cellStyle name="60% - Accent2 12 5" xfId="33317"/>
    <cellStyle name="60% - Accent2 12 6" xfId="35034"/>
    <cellStyle name="60% - Accent2 12 7" xfId="36685"/>
    <cellStyle name="60% - Accent2 12 8" xfId="38254"/>
    <cellStyle name="60% - Accent2 12 9" xfId="39704"/>
    <cellStyle name="60% - Accent2 13" xfId="10054"/>
    <cellStyle name="60% - Accent2 13 10" xfId="41332"/>
    <cellStyle name="60% - Accent2 13 11" xfId="42383"/>
    <cellStyle name="60% - Accent2 13 2" xfId="26880"/>
    <cellStyle name="60% - Accent2 13 3" xfId="30208"/>
    <cellStyle name="60% - Accent2 13 4" xfId="31983"/>
    <cellStyle name="60% - Accent2 13 5" xfId="33738"/>
    <cellStyle name="60% - Accent2 13 6" xfId="35451"/>
    <cellStyle name="60% - Accent2 13 7" xfId="37095"/>
    <cellStyle name="60% - Accent2 13 8" xfId="38651"/>
    <cellStyle name="60% - Accent2 13 9" xfId="40085"/>
    <cellStyle name="60% - Accent2 14" xfId="10122"/>
    <cellStyle name="60% - Accent2 14 10" xfId="40861"/>
    <cellStyle name="60% - Accent2 14 11" xfId="41940"/>
    <cellStyle name="60% - Accent2 14 2" xfId="26321"/>
    <cellStyle name="60% - Accent2 14 3" xfId="29652"/>
    <cellStyle name="60% - Accent2 14 4" xfId="31427"/>
    <cellStyle name="60% - Accent2 14 5" xfId="33190"/>
    <cellStyle name="60% - Accent2 14 6" xfId="34908"/>
    <cellStyle name="60% - Accent2 14 7" xfId="36561"/>
    <cellStyle name="60% - Accent2 14 8" xfId="38135"/>
    <cellStyle name="60% - Accent2 14 9" xfId="39588"/>
    <cellStyle name="60% - Accent2 15" xfId="9476"/>
    <cellStyle name="60% - Accent2 15 10" xfId="20377"/>
    <cellStyle name="60% - Accent2 15 11" xfId="21216"/>
    <cellStyle name="60% - Accent2 15 12" xfId="22019"/>
    <cellStyle name="60% - Accent2 15 13" xfId="26922"/>
    <cellStyle name="60% - Accent2 15 14" xfId="30250"/>
    <cellStyle name="60% - Accent2 15 15" xfId="32025"/>
    <cellStyle name="60% - Accent2 15 16" xfId="33780"/>
    <cellStyle name="60% - Accent2 15 17" xfId="35493"/>
    <cellStyle name="60% - Accent2 15 18" xfId="37137"/>
    <cellStyle name="60% - Accent2 15 19" xfId="38693"/>
    <cellStyle name="60% - Accent2 15 2" xfId="12928"/>
    <cellStyle name="60% - Accent2 15 20" xfId="40127"/>
    <cellStyle name="60% - Accent2 15 21" xfId="41374"/>
    <cellStyle name="60% - Accent2 15 22" xfId="42425"/>
    <cellStyle name="60% - Accent2 15 3" xfId="14054"/>
    <cellStyle name="60% - Accent2 15 4" xfId="14984"/>
    <cellStyle name="60% - Accent2 15 5" xfId="15912"/>
    <cellStyle name="60% - Accent2 15 6" xfId="16841"/>
    <cellStyle name="60% - Accent2 15 7" xfId="17750"/>
    <cellStyle name="60% - Accent2 15 8" xfId="18640"/>
    <cellStyle name="60% - Accent2 15 9" xfId="19519"/>
    <cellStyle name="60% - Accent2 16" xfId="11026"/>
    <cellStyle name="60% - Accent2 16 10" xfId="20454"/>
    <cellStyle name="60% - Accent2 16 11" xfId="21290"/>
    <cellStyle name="60% - Accent2 16 12" xfId="22087"/>
    <cellStyle name="60% - Accent2 16 13" xfId="24831"/>
    <cellStyle name="60% - Accent2 16 14" xfId="28216"/>
    <cellStyle name="60% - Accent2 16 15" xfId="27579"/>
    <cellStyle name="60% - Accent2 16 16" xfId="23476"/>
    <cellStyle name="60% - Accent2 16 17" xfId="28661"/>
    <cellStyle name="60% - Accent2 16 18" xfId="30451"/>
    <cellStyle name="60% - Accent2 16 19" xfId="32226"/>
    <cellStyle name="60% - Accent2 16 2" xfId="13004"/>
    <cellStyle name="60% - Accent2 16 20" xfId="33980"/>
    <cellStyle name="60% - Accent2 16 21" xfId="35692"/>
    <cellStyle name="60% - Accent2 16 22" xfId="37334"/>
    <cellStyle name="60% - Accent2 16 3" xfId="14130"/>
    <cellStyle name="60% - Accent2 16 4" xfId="15060"/>
    <cellStyle name="60% - Accent2 16 5" xfId="15987"/>
    <cellStyle name="60% - Accent2 16 6" xfId="16917"/>
    <cellStyle name="60% - Accent2 16 7" xfId="17825"/>
    <cellStyle name="60% - Accent2 16 8" xfId="18715"/>
    <cellStyle name="60% - Accent2 16 9" xfId="19593"/>
    <cellStyle name="60% - Accent2 17" xfId="10961"/>
    <cellStyle name="60% - Accent2 17 10" xfId="20535"/>
    <cellStyle name="60% - Accent2 17 11" xfId="21371"/>
    <cellStyle name="60% - Accent2 17 12" xfId="22165"/>
    <cellStyle name="60% - Accent2 17 13" xfId="26844"/>
    <cellStyle name="60% - Accent2 17 14" xfId="30172"/>
    <cellStyle name="60% - Accent2 17 15" xfId="31947"/>
    <cellStyle name="60% - Accent2 17 16" xfId="33702"/>
    <cellStyle name="60% - Accent2 17 17" xfId="35415"/>
    <cellStyle name="60% - Accent2 17 18" xfId="37060"/>
    <cellStyle name="60% - Accent2 17 19" xfId="38617"/>
    <cellStyle name="60% - Accent2 17 2" xfId="13085"/>
    <cellStyle name="60% - Accent2 17 20" xfId="40051"/>
    <cellStyle name="60% - Accent2 17 21" xfId="41299"/>
    <cellStyle name="60% - Accent2 17 22" xfId="42350"/>
    <cellStyle name="60% - Accent2 17 3" xfId="14211"/>
    <cellStyle name="60% - Accent2 17 4" xfId="15140"/>
    <cellStyle name="60% - Accent2 17 5" xfId="16068"/>
    <cellStyle name="60% - Accent2 17 6" xfId="16998"/>
    <cellStyle name="60% - Accent2 17 7" xfId="17906"/>
    <cellStyle name="60% - Accent2 17 8" xfId="18796"/>
    <cellStyle name="60% - Accent2 17 9" xfId="19674"/>
    <cellStyle name="60% - Accent2 18" xfId="10503"/>
    <cellStyle name="60% - Accent2 18 10" xfId="20615"/>
    <cellStyle name="60% - Accent2 18 11" xfId="21452"/>
    <cellStyle name="60% - Accent2 18 12" xfId="22243"/>
    <cellStyle name="60% - Accent2 18 13" xfId="26523"/>
    <cellStyle name="60% - Accent2 18 14" xfId="29854"/>
    <cellStyle name="60% - Accent2 18 15" xfId="31629"/>
    <cellStyle name="60% - Accent2 18 16" xfId="33388"/>
    <cellStyle name="60% - Accent2 18 17" xfId="35102"/>
    <cellStyle name="60% - Accent2 18 18" xfId="36752"/>
    <cellStyle name="60% - Accent2 18 19" xfId="38320"/>
    <cellStyle name="60% - Accent2 18 2" xfId="13166"/>
    <cellStyle name="60% - Accent2 18 20" xfId="39766"/>
    <cellStyle name="60% - Accent2 18 21" xfId="41032"/>
    <cellStyle name="60% - Accent2 18 22" xfId="42103"/>
    <cellStyle name="60% - Accent2 18 3" xfId="14292"/>
    <cellStyle name="60% - Accent2 18 4" xfId="15220"/>
    <cellStyle name="60% - Accent2 18 5" xfId="16149"/>
    <cellStyle name="60% - Accent2 18 6" xfId="17079"/>
    <cellStyle name="60% - Accent2 18 7" xfId="17987"/>
    <cellStyle name="60% - Accent2 18 8" xfId="18877"/>
    <cellStyle name="60% - Accent2 18 9" xfId="19755"/>
    <cellStyle name="60% - Accent2 19" xfId="10528"/>
    <cellStyle name="60% - Accent2 19 10" xfId="20692"/>
    <cellStyle name="60% - Accent2 19 11" xfId="21530"/>
    <cellStyle name="60% - Accent2 19 12" xfId="22318"/>
    <cellStyle name="60% - Accent2 19 13" xfId="26738"/>
    <cellStyle name="60% - Accent2 19 14" xfId="30067"/>
    <cellStyle name="60% - Accent2 19 15" xfId="31842"/>
    <cellStyle name="60% - Accent2 19 16" xfId="33598"/>
    <cellStyle name="60% - Accent2 19 17" xfId="35311"/>
    <cellStyle name="60% - Accent2 19 18" xfId="36957"/>
    <cellStyle name="60% - Accent2 19 19" xfId="38518"/>
    <cellStyle name="60% - Accent2 19 2" xfId="13244"/>
    <cellStyle name="60% - Accent2 19 20" xfId="39958"/>
    <cellStyle name="60% - Accent2 19 21" xfId="41211"/>
    <cellStyle name="60% - Accent2 19 22" xfId="42267"/>
    <cellStyle name="60% - Accent2 19 3" xfId="14369"/>
    <cellStyle name="60% - Accent2 19 4" xfId="15297"/>
    <cellStyle name="60% - Accent2 19 5" xfId="16227"/>
    <cellStyle name="60% - Accent2 19 6" xfId="17157"/>
    <cellStyle name="60% - Accent2 19 7" xfId="18065"/>
    <cellStyle name="60% - Accent2 19 8" xfId="18955"/>
    <cellStyle name="60% - Accent2 19 9" xfId="19832"/>
    <cellStyle name="60% - Accent2 2" xfId="3963"/>
    <cellStyle name="60% - Accent2 2 10" xfId="10643"/>
    <cellStyle name="60% - Accent2 2 11" xfId="12260"/>
    <cellStyle name="60% - Accent2 2 12" xfId="10975"/>
    <cellStyle name="60% - Accent2 2 13" xfId="9337"/>
    <cellStyle name="60% - Accent2 2 14" xfId="12189"/>
    <cellStyle name="60% - Accent2 2 15" xfId="15829"/>
    <cellStyle name="60% - Accent2 2 16" xfId="15718"/>
    <cellStyle name="60% - Accent2 2 17" xfId="13870"/>
    <cellStyle name="60% - Accent2 2 18" xfId="12917"/>
    <cellStyle name="60% - Accent2 2 19" xfId="14839"/>
    <cellStyle name="60% - Accent2 2 2" xfId="9375"/>
    <cellStyle name="60% - Accent2 2 2 2" xfId="9556"/>
    <cellStyle name="60% - Accent2 2 20" xfId="12394"/>
    <cellStyle name="60% - Accent2 2 21" xfId="19379"/>
    <cellStyle name="60% - Accent2 2 22" xfId="21130"/>
    <cellStyle name="60% - Accent2 2 23" xfId="23001"/>
    <cellStyle name="60% - Accent2 2 24" xfId="23237"/>
    <cellStyle name="60% - Accent2 2 25" xfId="28750"/>
    <cellStyle name="60% - Accent2 2 26" xfId="30538"/>
    <cellStyle name="60% - Accent2 2 27" xfId="32313"/>
    <cellStyle name="60% - Accent2 2 28" xfId="34065"/>
    <cellStyle name="60% - Accent2 2 29" xfId="35775"/>
    <cellStyle name="60% - Accent2 2 3" xfId="10315"/>
    <cellStyle name="60% - Accent2 2 30" xfId="37413"/>
    <cellStyle name="60% - Accent2 2 31" xfId="38964"/>
    <cellStyle name="60% - Accent2 2 32" xfId="40384"/>
    <cellStyle name="60% - Accent2 2 33" xfId="8709"/>
    <cellStyle name="60% - Accent2 2 4" xfId="10208"/>
    <cellStyle name="60% - Accent2 2 5" xfId="11150"/>
    <cellStyle name="60% - Accent2 2 6" xfId="11344"/>
    <cellStyle name="60% - Accent2 2 7" xfId="11535"/>
    <cellStyle name="60% - Accent2 2 8" xfId="11715"/>
    <cellStyle name="60% - Accent2 2 9" xfId="11901"/>
    <cellStyle name="60% - Accent2 20" xfId="10668"/>
    <cellStyle name="60% - Accent2 20 10" xfId="20772"/>
    <cellStyle name="60% - Accent2 20 11" xfId="21610"/>
    <cellStyle name="60% - Accent2 20 12" xfId="22396"/>
    <cellStyle name="60% - Accent2 20 13" xfId="26633"/>
    <cellStyle name="60% - Accent2 20 14" xfId="29962"/>
    <cellStyle name="60% - Accent2 20 15" xfId="31737"/>
    <cellStyle name="60% - Accent2 20 16" xfId="33495"/>
    <cellStyle name="60% - Accent2 20 17" xfId="35209"/>
    <cellStyle name="60% - Accent2 20 18" xfId="36856"/>
    <cellStyle name="60% - Accent2 20 19" xfId="38419"/>
    <cellStyle name="60% - Accent2 20 2" xfId="13325"/>
    <cellStyle name="60% - Accent2 20 20" xfId="39861"/>
    <cellStyle name="60% - Accent2 20 21" xfId="41115"/>
    <cellStyle name="60% - Accent2 20 22" xfId="42175"/>
    <cellStyle name="60% - Accent2 20 3" xfId="14449"/>
    <cellStyle name="60% - Accent2 20 4" xfId="15378"/>
    <cellStyle name="60% - Accent2 20 5" xfId="16307"/>
    <cellStyle name="60% - Accent2 20 6" xfId="17237"/>
    <cellStyle name="60% - Accent2 20 7" xfId="18145"/>
    <cellStyle name="60% - Accent2 20 8" xfId="19035"/>
    <cellStyle name="60% - Accent2 20 9" xfId="19912"/>
    <cellStyle name="60% - Accent2 21" xfId="10322"/>
    <cellStyle name="60% - Accent2 21 10" xfId="20851"/>
    <cellStyle name="60% - Accent2 21 11" xfId="21690"/>
    <cellStyle name="60% - Accent2 21 12" xfId="22474"/>
    <cellStyle name="60% - Accent2 21 13" xfId="26854"/>
    <cellStyle name="60% - Accent2 21 14" xfId="30182"/>
    <cellStyle name="60% - Accent2 21 15" xfId="31957"/>
    <cellStyle name="60% - Accent2 21 16" xfId="33712"/>
    <cellStyle name="60% - Accent2 21 17" xfId="35425"/>
    <cellStyle name="60% - Accent2 21 18" xfId="37070"/>
    <cellStyle name="60% - Accent2 21 19" xfId="38626"/>
    <cellStyle name="60% - Accent2 21 2" xfId="13405"/>
    <cellStyle name="60% - Accent2 21 20" xfId="40060"/>
    <cellStyle name="60% - Accent2 21 21" xfId="41308"/>
    <cellStyle name="60% - Accent2 21 22" xfId="42359"/>
    <cellStyle name="60% - Accent2 21 3" xfId="14529"/>
    <cellStyle name="60% - Accent2 21 4" xfId="15456"/>
    <cellStyle name="60% - Accent2 21 5" xfId="16387"/>
    <cellStyle name="60% - Accent2 21 6" xfId="17317"/>
    <cellStyle name="60% - Accent2 21 7" xfId="18225"/>
    <cellStyle name="60% - Accent2 21 8" xfId="19115"/>
    <cellStyle name="60% - Accent2 21 9" xfId="19992"/>
    <cellStyle name="60% - Accent2 22" xfId="12274"/>
    <cellStyle name="60% - Accent2 22 10" xfId="20929"/>
    <cellStyle name="60% - Accent2 22 11" xfId="21770"/>
    <cellStyle name="60% - Accent2 22 12" xfId="22552"/>
    <cellStyle name="60% - Accent2 22 13" xfId="26353"/>
    <cellStyle name="60% - Accent2 22 14" xfId="29684"/>
    <cellStyle name="60% - Accent2 22 15" xfId="31459"/>
    <cellStyle name="60% - Accent2 22 16" xfId="33221"/>
    <cellStyle name="60% - Accent2 22 17" xfId="34939"/>
    <cellStyle name="60% - Accent2 22 18" xfId="36592"/>
    <cellStyle name="60% - Accent2 22 19" xfId="38166"/>
    <cellStyle name="60% - Accent2 22 2" xfId="13485"/>
    <cellStyle name="60% - Accent2 22 20" xfId="39619"/>
    <cellStyle name="60% - Accent2 22 21" xfId="40891"/>
    <cellStyle name="60% - Accent2 22 22" xfId="41970"/>
    <cellStyle name="60% - Accent2 22 3" xfId="14608"/>
    <cellStyle name="60% - Accent2 22 4" xfId="15536"/>
    <cellStyle name="60% - Accent2 22 5" xfId="16467"/>
    <cellStyle name="60% - Accent2 22 6" xfId="17397"/>
    <cellStyle name="60% - Accent2 22 7" xfId="18305"/>
    <cellStyle name="60% - Accent2 22 8" xfId="19195"/>
    <cellStyle name="60% - Accent2 22 9" xfId="20071"/>
    <cellStyle name="60% - Accent2 23" xfId="11675"/>
    <cellStyle name="60% - Accent2 23 10" xfId="21004"/>
    <cellStyle name="60% - Accent2 23 11" xfId="21843"/>
    <cellStyle name="60% - Accent2 23 12" xfId="22624"/>
    <cellStyle name="60% - Accent2 23 2" xfId="13565"/>
    <cellStyle name="60% - Accent2 23 3" xfId="14684"/>
    <cellStyle name="60% - Accent2 23 4" xfId="15615"/>
    <cellStyle name="60% - Accent2 23 5" xfId="16544"/>
    <cellStyle name="60% - Accent2 23 6" xfId="17473"/>
    <cellStyle name="60% - Accent2 23 7" xfId="18380"/>
    <cellStyle name="60% - Accent2 23 8" xfId="19269"/>
    <cellStyle name="60% - Accent2 23 9" xfId="20143"/>
    <cellStyle name="60% - Accent2 24" xfId="12449"/>
    <cellStyle name="60% - Accent2 24 10" xfId="21071"/>
    <cellStyle name="60% - Accent2 24 11" xfId="21906"/>
    <cellStyle name="60% - Accent2 24 12" xfId="22687"/>
    <cellStyle name="60% - Accent2 24 2" xfId="13645"/>
    <cellStyle name="60% - Accent2 24 3" xfId="14762"/>
    <cellStyle name="60% - Accent2 24 4" xfId="15688"/>
    <cellStyle name="60% - Accent2 24 5" xfId="16617"/>
    <cellStyle name="60% - Accent2 24 6" xfId="17548"/>
    <cellStyle name="60% - Accent2 24 7" xfId="18451"/>
    <cellStyle name="60% - Accent2 24 8" xfId="19336"/>
    <cellStyle name="60% - Accent2 24 9" xfId="20214"/>
    <cellStyle name="60% - Accent2 25" xfId="13719"/>
    <cellStyle name="60% - Accent2 26" xfId="13784"/>
    <cellStyle name="60% - Accent2 27" xfId="12945"/>
    <cellStyle name="60% - Accent2 28" xfId="14017"/>
    <cellStyle name="60% - Accent2 29" xfId="12774"/>
    <cellStyle name="60% - Accent2 3" xfId="8798"/>
    <cellStyle name="60% - Accent2 30" xfId="15945"/>
    <cellStyle name="60% - Accent2 31" xfId="16875"/>
    <cellStyle name="60% - Accent2 32" xfId="17783"/>
    <cellStyle name="60% - Accent2 33" xfId="18673"/>
    <cellStyle name="60% - Accent2 34" xfId="19487"/>
    <cellStyle name="60% - Accent2 35" xfId="17550"/>
    <cellStyle name="60% - Accent2 36" xfId="21248"/>
    <cellStyle name="60% - Accent2 37" xfId="22805"/>
    <cellStyle name="60% - Accent2 38" xfId="22919"/>
    <cellStyle name="60% - Accent2 39" xfId="28492"/>
    <cellStyle name="60% - Accent2 4" xfId="8889"/>
    <cellStyle name="60% - Accent2 40" xfId="27221"/>
    <cellStyle name="60% - Accent2 41" xfId="23620"/>
    <cellStyle name="60% - Accent2 42" xfId="28604"/>
    <cellStyle name="60% - Accent2 43" xfId="30396"/>
    <cellStyle name="60% - Accent2 44" xfId="32171"/>
    <cellStyle name="60% - Accent2 45" xfId="33926"/>
    <cellStyle name="60% - Accent2 46" xfId="35639"/>
    <cellStyle name="60% - Accent2 47" xfId="42594"/>
    <cellStyle name="60% - Accent2 48" xfId="42676"/>
    <cellStyle name="60% - Accent2 49" xfId="42721"/>
    <cellStyle name="60% - Accent2 5" xfId="8967"/>
    <cellStyle name="60% - Accent2 50" xfId="42763"/>
    <cellStyle name="60% - Accent2 51" xfId="42805"/>
    <cellStyle name="60% - Accent2 52" xfId="42846"/>
    <cellStyle name="60% - Accent2 53" xfId="42887"/>
    <cellStyle name="60% - Accent2 54" xfId="42927"/>
    <cellStyle name="60% - Accent2 55" xfId="42967"/>
    <cellStyle name="60% - Accent2 56" xfId="43004"/>
    <cellStyle name="60% - Accent2 57" xfId="43039"/>
    <cellStyle name="60% - Accent2 58" xfId="43072"/>
    <cellStyle name="60% - Accent2 59" xfId="43098"/>
    <cellStyle name="60% - Accent2 6" xfId="9045"/>
    <cellStyle name="60% - Accent2 60" xfId="43138"/>
    <cellStyle name="60% - Accent2 61" xfId="43184"/>
    <cellStyle name="60% - Accent2 62" xfId="8634"/>
    <cellStyle name="60% - Accent2 63" xfId="7689"/>
    <cellStyle name="60% - Accent2 64" xfId="3649"/>
    <cellStyle name="60% - Accent2 7" xfId="9109"/>
    <cellStyle name="60% - Accent2 8" xfId="9254"/>
    <cellStyle name="60% - Accent2 9" xfId="9728"/>
    <cellStyle name="60% - Accent3" xfId="30" builtinId="40" customBuiltin="1"/>
    <cellStyle name="60% - Accent3 10" xfId="9808"/>
    <cellStyle name="60% - Accent3 11" xfId="9889"/>
    <cellStyle name="60% - Accent3 11 10" xfId="34518"/>
    <cellStyle name="60% - Accent3 11 11" xfId="36196"/>
    <cellStyle name="60% - Accent3 11 2" xfId="24444"/>
    <cellStyle name="60% - Accent3 11 3" xfId="27852"/>
    <cellStyle name="60% - Accent3 11 4" xfId="28092"/>
    <cellStyle name="60% - Accent3 11 5" xfId="27770"/>
    <cellStyle name="60% - Accent3 11 6" xfId="23345"/>
    <cellStyle name="60% - Accent3 11 7" xfId="29231"/>
    <cellStyle name="60% - Accent3 11 8" xfId="31014"/>
    <cellStyle name="60% - Accent3 11 9" xfId="32784"/>
    <cellStyle name="60% - Accent3 12" xfId="9969"/>
    <cellStyle name="60% - Accent3 12 10" xfId="40973"/>
    <cellStyle name="60% - Accent3 12 11" xfId="42047"/>
    <cellStyle name="60% - Accent3 12 2" xfId="26453"/>
    <cellStyle name="60% - Accent3 12 3" xfId="29784"/>
    <cellStyle name="60% - Accent3 12 4" xfId="31559"/>
    <cellStyle name="60% - Accent3 12 5" xfId="33318"/>
    <cellStyle name="60% - Accent3 12 6" xfId="35035"/>
    <cellStyle name="60% - Accent3 12 7" xfId="36686"/>
    <cellStyle name="60% - Accent3 12 8" xfId="38255"/>
    <cellStyle name="60% - Accent3 12 9" xfId="39705"/>
    <cellStyle name="60% - Accent3 13" xfId="10053"/>
    <cellStyle name="60% - Accent3 13 10" xfId="41331"/>
    <cellStyle name="60% - Accent3 13 11" xfId="42382"/>
    <cellStyle name="60% - Accent3 13 2" xfId="26879"/>
    <cellStyle name="60% - Accent3 13 3" xfId="30207"/>
    <cellStyle name="60% - Accent3 13 4" xfId="31982"/>
    <cellStyle name="60% - Accent3 13 5" xfId="33737"/>
    <cellStyle name="60% - Accent3 13 6" xfId="35450"/>
    <cellStyle name="60% - Accent3 13 7" xfId="37094"/>
    <cellStyle name="60% - Accent3 13 8" xfId="38650"/>
    <cellStyle name="60% - Accent3 13 9" xfId="40084"/>
    <cellStyle name="60% - Accent3 14" xfId="10121"/>
    <cellStyle name="60% - Accent3 14 10" xfId="40862"/>
    <cellStyle name="60% - Accent3 14 11" xfId="41941"/>
    <cellStyle name="60% - Accent3 14 2" xfId="26322"/>
    <cellStyle name="60% - Accent3 14 3" xfId="29653"/>
    <cellStyle name="60% - Accent3 14 4" xfId="31428"/>
    <cellStyle name="60% - Accent3 14 5" xfId="33191"/>
    <cellStyle name="60% - Accent3 14 6" xfId="34909"/>
    <cellStyle name="60% - Accent3 14 7" xfId="36562"/>
    <cellStyle name="60% - Accent3 14 8" xfId="38136"/>
    <cellStyle name="60% - Accent3 14 9" xfId="39589"/>
    <cellStyle name="60% - Accent3 15" xfId="9475"/>
    <cellStyle name="60% - Accent3 15 10" xfId="20376"/>
    <cellStyle name="60% - Accent3 15 11" xfId="21215"/>
    <cellStyle name="60% - Accent3 15 12" xfId="22018"/>
    <cellStyle name="60% - Accent3 15 13" xfId="26921"/>
    <cellStyle name="60% - Accent3 15 14" xfId="30249"/>
    <cellStyle name="60% - Accent3 15 15" xfId="32024"/>
    <cellStyle name="60% - Accent3 15 16" xfId="33779"/>
    <cellStyle name="60% - Accent3 15 17" xfId="35492"/>
    <cellStyle name="60% - Accent3 15 18" xfId="37136"/>
    <cellStyle name="60% - Accent3 15 19" xfId="38692"/>
    <cellStyle name="60% - Accent3 15 2" xfId="12927"/>
    <cellStyle name="60% - Accent3 15 20" xfId="40126"/>
    <cellStyle name="60% - Accent3 15 21" xfId="41373"/>
    <cellStyle name="60% - Accent3 15 22" xfId="42424"/>
    <cellStyle name="60% - Accent3 15 3" xfId="14053"/>
    <cellStyle name="60% - Accent3 15 4" xfId="14983"/>
    <cellStyle name="60% - Accent3 15 5" xfId="15911"/>
    <cellStyle name="60% - Accent3 15 6" xfId="16840"/>
    <cellStyle name="60% - Accent3 15 7" xfId="17749"/>
    <cellStyle name="60% - Accent3 15 8" xfId="18639"/>
    <cellStyle name="60% - Accent3 15 9" xfId="19518"/>
    <cellStyle name="60% - Accent3 16" xfId="10236"/>
    <cellStyle name="60% - Accent3 16 10" xfId="20448"/>
    <cellStyle name="60% - Accent3 16 11" xfId="21284"/>
    <cellStyle name="60% - Accent3 16 12" xfId="22081"/>
    <cellStyle name="60% - Accent3 16 13" xfId="24830"/>
    <cellStyle name="60% - Accent3 16 14" xfId="28215"/>
    <cellStyle name="60% - Accent3 16 15" xfId="27580"/>
    <cellStyle name="60% - Accent3 16 16" xfId="23482"/>
    <cellStyle name="60% - Accent3 16 17" xfId="28754"/>
    <cellStyle name="60% - Accent3 16 18" xfId="30542"/>
    <cellStyle name="60% - Accent3 16 19" xfId="32317"/>
    <cellStyle name="60% - Accent3 16 2" xfId="12998"/>
    <cellStyle name="60% - Accent3 16 20" xfId="34069"/>
    <cellStyle name="60% - Accent3 16 21" xfId="35779"/>
    <cellStyle name="60% - Accent3 16 22" xfId="37416"/>
    <cellStyle name="60% - Accent3 16 3" xfId="14124"/>
    <cellStyle name="60% - Accent3 16 4" xfId="15054"/>
    <cellStyle name="60% - Accent3 16 5" xfId="15981"/>
    <cellStyle name="60% - Accent3 16 6" xfId="16911"/>
    <cellStyle name="60% - Accent3 16 7" xfId="17819"/>
    <cellStyle name="60% - Accent3 16 8" xfId="18709"/>
    <cellStyle name="60% - Accent3 16 9" xfId="19587"/>
    <cellStyle name="60% - Accent3 17" xfId="11074"/>
    <cellStyle name="60% - Accent3 17 10" xfId="20534"/>
    <cellStyle name="60% - Accent3 17 11" xfId="21370"/>
    <cellStyle name="60% - Accent3 17 12" xfId="22164"/>
    <cellStyle name="60% - Accent3 17 13" xfId="26843"/>
    <cellStyle name="60% - Accent3 17 14" xfId="30171"/>
    <cellStyle name="60% - Accent3 17 15" xfId="31946"/>
    <cellStyle name="60% - Accent3 17 16" xfId="33701"/>
    <cellStyle name="60% - Accent3 17 17" xfId="35414"/>
    <cellStyle name="60% - Accent3 17 18" xfId="37059"/>
    <cellStyle name="60% - Accent3 17 19" xfId="38616"/>
    <cellStyle name="60% - Accent3 17 2" xfId="13084"/>
    <cellStyle name="60% - Accent3 17 20" xfId="40050"/>
    <cellStyle name="60% - Accent3 17 21" xfId="41298"/>
    <cellStyle name="60% - Accent3 17 22" xfId="42349"/>
    <cellStyle name="60% - Accent3 17 3" xfId="14210"/>
    <cellStyle name="60% - Accent3 17 4" xfId="15139"/>
    <cellStyle name="60% - Accent3 17 5" xfId="16067"/>
    <cellStyle name="60% - Accent3 17 6" xfId="16997"/>
    <cellStyle name="60% - Accent3 17 7" xfId="17905"/>
    <cellStyle name="60% - Accent3 17 8" xfId="18795"/>
    <cellStyle name="60% - Accent3 17 9" xfId="19673"/>
    <cellStyle name="60% - Accent3 18" xfId="9517"/>
    <cellStyle name="60% - Accent3 18 10" xfId="20614"/>
    <cellStyle name="60% - Accent3 18 11" xfId="21451"/>
    <cellStyle name="60% - Accent3 18 12" xfId="22242"/>
    <cellStyle name="60% - Accent3 18 13" xfId="26524"/>
    <cellStyle name="60% - Accent3 18 14" xfId="29855"/>
    <cellStyle name="60% - Accent3 18 15" xfId="31630"/>
    <cellStyle name="60% - Accent3 18 16" xfId="33389"/>
    <cellStyle name="60% - Accent3 18 17" xfId="35103"/>
    <cellStyle name="60% - Accent3 18 18" xfId="36753"/>
    <cellStyle name="60% - Accent3 18 19" xfId="38321"/>
    <cellStyle name="60% - Accent3 18 2" xfId="13165"/>
    <cellStyle name="60% - Accent3 18 20" xfId="39767"/>
    <cellStyle name="60% - Accent3 18 21" xfId="41033"/>
    <cellStyle name="60% - Accent3 18 22" xfId="42104"/>
    <cellStyle name="60% - Accent3 18 3" xfId="14291"/>
    <cellStyle name="60% - Accent3 18 4" xfId="15219"/>
    <cellStyle name="60% - Accent3 18 5" xfId="16148"/>
    <cellStyle name="60% - Accent3 18 6" xfId="17078"/>
    <cellStyle name="60% - Accent3 18 7" xfId="17986"/>
    <cellStyle name="60% - Accent3 18 8" xfId="18876"/>
    <cellStyle name="60% - Accent3 18 9" xfId="19754"/>
    <cellStyle name="60% - Accent3 19" xfId="10260"/>
    <cellStyle name="60% - Accent3 19 10" xfId="20686"/>
    <cellStyle name="60% - Accent3 19 11" xfId="21524"/>
    <cellStyle name="60% - Accent3 19 12" xfId="22312"/>
    <cellStyle name="60% - Accent3 19 13" xfId="26737"/>
    <cellStyle name="60% - Accent3 19 14" xfId="30066"/>
    <cellStyle name="60% - Accent3 19 15" xfId="31841"/>
    <cellStyle name="60% - Accent3 19 16" xfId="33597"/>
    <cellStyle name="60% - Accent3 19 17" xfId="35310"/>
    <cellStyle name="60% - Accent3 19 18" xfId="36956"/>
    <cellStyle name="60% - Accent3 19 19" xfId="38517"/>
    <cellStyle name="60% - Accent3 19 2" xfId="13238"/>
    <cellStyle name="60% - Accent3 19 20" xfId="39957"/>
    <cellStyle name="60% - Accent3 19 21" xfId="41210"/>
    <cellStyle name="60% - Accent3 19 22" xfId="42266"/>
    <cellStyle name="60% - Accent3 19 3" xfId="14363"/>
    <cellStyle name="60% - Accent3 19 4" xfId="15291"/>
    <cellStyle name="60% - Accent3 19 5" xfId="16221"/>
    <cellStyle name="60% - Accent3 19 6" xfId="17151"/>
    <cellStyle name="60% - Accent3 19 7" xfId="18059"/>
    <cellStyle name="60% - Accent3 19 8" xfId="18949"/>
    <cellStyle name="60% - Accent3 19 9" xfId="19826"/>
    <cellStyle name="60% - Accent3 2" xfId="3964"/>
    <cellStyle name="60% - Accent3 2 10" xfId="10898"/>
    <cellStyle name="60% - Accent3 2 11" xfId="12318"/>
    <cellStyle name="60% - Accent3 2 12" xfId="11371"/>
    <cellStyle name="60% - Accent3 2 13" xfId="12559"/>
    <cellStyle name="60% - Accent3 2 14" xfId="12696"/>
    <cellStyle name="60% - Accent3 2 15" xfId="15790"/>
    <cellStyle name="60% - Accent3 2 16" xfId="10639"/>
    <cellStyle name="60% - Accent3 2 17" xfId="12293"/>
    <cellStyle name="60% - Accent3 2 18" xfId="14870"/>
    <cellStyle name="60% - Accent3 2 19" xfId="14938"/>
    <cellStyle name="60% - Accent3 2 2" xfId="9376"/>
    <cellStyle name="60% - Accent3 2 2 2" xfId="9557"/>
    <cellStyle name="60% - Accent3 2 20" xfId="17682"/>
    <cellStyle name="60% - Accent3 2 21" xfId="21157"/>
    <cellStyle name="60% - Accent3 2 22" xfId="12524"/>
    <cellStyle name="60% - Accent3 2 23" xfId="23002"/>
    <cellStyle name="60% - Accent3 2 24" xfId="23159"/>
    <cellStyle name="60% - Accent3 2 25" xfId="28749"/>
    <cellStyle name="60% - Accent3 2 26" xfId="30537"/>
    <cellStyle name="60% - Accent3 2 27" xfId="32312"/>
    <cellStyle name="60% - Accent3 2 28" xfId="34064"/>
    <cellStyle name="60% - Accent3 2 29" xfId="35774"/>
    <cellStyle name="60% - Accent3 2 3" xfId="10316"/>
    <cellStyle name="60% - Accent3 2 30" xfId="37412"/>
    <cellStyle name="60% - Accent3 2 31" xfId="38963"/>
    <cellStyle name="60% - Accent3 2 32" xfId="40383"/>
    <cellStyle name="60% - Accent3 2 33" xfId="8710"/>
    <cellStyle name="60% - Accent3 2 4" xfId="10207"/>
    <cellStyle name="60% - Accent3 2 5" xfId="11212"/>
    <cellStyle name="60% - Accent3 2 6" xfId="11404"/>
    <cellStyle name="60% - Accent3 2 7" xfId="11593"/>
    <cellStyle name="60% - Accent3 2 8" xfId="11773"/>
    <cellStyle name="60% - Accent3 2 9" xfId="11957"/>
    <cellStyle name="60% - Accent3 20" xfId="11001"/>
    <cellStyle name="60% - Accent3 20 10" xfId="20771"/>
    <cellStyle name="60% - Accent3 20 11" xfId="21609"/>
    <cellStyle name="60% - Accent3 20 12" xfId="22395"/>
    <cellStyle name="60% - Accent3 20 13" xfId="26969"/>
    <cellStyle name="60% - Accent3 20 14" xfId="30298"/>
    <cellStyle name="60% - Accent3 20 15" xfId="32073"/>
    <cellStyle name="60% - Accent3 20 16" xfId="33828"/>
    <cellStyle name="60% - Accent3 20 17" xfId="35541"/>
    <cellStyle name="60% - Accent3 20 18" xfId="37185"/>
    <cellStyle name="60% - Accent3 20 19" xfId="38741"/>
    <cellStyle name="60% - Accent3 20 2" xfId="13324"/>
    <cellStyle name="60% - Accent3 20 20" xfId="40175"/>
    <cellStyle name="60% - Accent3 20 21" xfId="41418"/>
    <cellStyle name="60% - Accent3 20 22" xfId="42467"/>
    <cellStyle name="60% - Accent3 20 3" xfId="14448"/>
    <cellStyle name="60% - Accent3 20 4" xfId="15377"/>
    <cellStyle name="60% - Accent3 20 5" xfId="16306"/>
    <cellStyle name="60% - Accent3 20 6" xfId="17236"/>
    <cellStyle name="60% - Accent3 20 7" xfId="18144"/>
    <cellStyle name="60% - Accent3 20 8" xfId="19034"/>
    <cellStyle name="60% - Accent3 20 9" xfId="19911"/>
    <cellStyle name="60% - Accent3 21" xfId="9510"/>
    <cellStyle name="60% - Accent3 21 10" xfId="20850"/>
    <cellStyle name="60% - Accent3 21 11" xfId="21689"/>
    <cellStyle name="60% - Accent3 21 12" xfId="22473"/>
    <cellStyle name="60% - Accent3 21 13" xfId="26853"/>
    <cellStyle name="60% - Accent3 21 14" xfId="30181"/>
    <cellStyle name="60% - Accent3 21 15" xfId="31956"/>
    <cellStyle name="60% - Accent3 21 16" xfId="33711"/>
    <cellStyle name="60% - Accent3 21 17" xfId="35424"/>
    <cellStyle name="60% - Accent3 21 18" xfId="37069"/>
    <cellStyle name="60% - Accent3 21 19" xfId="38625"/>
    <cellStyle name="60% - Accent3 21 2" xfId="13404"/>
    <cellStyle name="60% - Accent3 21 20" xfId="40059"/>
    <cellStyle name="60% - Accent3 21 21" xfId="41307"/>
    <cellStyle name="60% - Accent3 21 22" xfId="42358"/>
    <cellStyle name="60% - Accent3 21 3" xfId="14528"/>
    <cellStyle name="60% - Accent3 21 4" xfId="15455"/>
    <cellStyle name="60% - Accent3 21 5" xfId="16386"/>
    <cellStyle name="60% - Accent3 21 6" xfId="17316"/>
    <cellStyle name="60% - Accent3 21 7" xfId="18224"/>
    <cellStyle name="60% - Accent3 21 8" xfId="19114"/>
    <cellStyle name="60% - Accent3 21 9" xfId="19991"/>
    <cellStyle name="60% - Accent3 22" xfId="12206"/>
    <cellStyle name="60% - Accent3 22 10" xfId="20928"/>
    <cellStyle name="60% - Accent3 22 11" xfId="21769"/>
    <cellStyle name="60% - Accent3 22 12" xfId="22551"/>
    <cellStyle name="60% - Accent3 22 13" xfId="26354"/>
    <cellStyle name="60% - Accent3 22 14" xfId="29685"/>
    <cellStyle name="60% - Accent3 22 15" xfId="31460"/>
    <cellStyle name="60% - Accent3 22 16" xfId="33222"/>
    <cellStyle name="60% - Accent3 22 17" xfId="34940"/>
    <cellStyle name="60% - Accent3 22 18" xfId="36593"/>
    <cellStyle name="60% - Accent3 22 19" xfId="38167"/>
    <cellStyle name="60% - Accent3 22 2" xfId="13484"/>
    <cellStyle name="60% - Accent3 22 20" xfId="39620"/>
    <cellStyle name="60% - Accent3 22 21" xfId="40892"/>
    <cellStyle name="60% - Accent3 22 22" xfId="41971"/>
    <cellStyle name="60% - Accent3 22 3" xfId="14607"/>
    <cellStyle name="60% - Accent3 22 4" xfId="15535"/>
    <cellStyle name="60% - Accent3 22 5" xfId="16466"/>
    <cellStyle name="60% - Accent3 22 6" xfId="17396"/>
    <cellStyle name="60% - Accent3 22 7" xfId="18304"/>
    <cellStyle name="60% - Accent3 22 8" xfId="19194"/>
    <cellStyle name="60% - Accent3 22 9" xfId="20070"/>
    <cellStyle name="60% - Accent3 23" xfId="11145"/>
    <cellStyle name="60% - Accent3 23 10" xfId="21003"/>
    <cellStyle name="60% - Accent3 23 11" xfId="21842"/>
    <cellStyle name="60% - Accent3 23 12" xfId="22623"/>
    <cellStyle name="60% - Accent3 23 2" xfId="13564"/>
    <cellStyle name="60% - Accent3 23 3" xfId="14683"/>
    <cellStyle name="60% - Accent3 23 4" xfId="15614"/>
    <cellStyle name="60% - Accent3 23 5" xfId="16543"/>
    <cellStyle name="60% - Accent3 23 6" xfId="17472"/>
    <cellStyle name="60% - Accent3 23 7" xfId="18379"/>
    <cellStyle name="60% - Accent3 23 8" xfId="19268"/>
    <cellStyle name="60% - Accent3 23 9" xfId="20142"/>
    <cellStyle name="60% - Accent3 24" xfId="12188"/>
    <cellStyle name="60% - Accent3 24 10" xfId="21070"/>
    <cellStyle name="60% - Accent3 24 11" xfId="21905"/>
    <cellStyle name="60% - Accent3 24 12" xfId="22686"/>
    <cellStyle name="60% - Accent3 24 2" xfId="13644"/>
    <cellStyle name="60% - Accent3 24 3" xfId="14761"/>
    <cellStyle name="60% - Accent3 24 4" xfId="15687"/>
    <cellStyle name="60% - Accent3 24 5" xfId="16616"/>
    <cellStyle name="60% - Accent3 24 6" xfId="17547"/>
    <cellStyle name="60% - Accent3 24 7" xfId="18450"/>
    <cellStyle name="60% - Accent3 24 8" xfId="19335"/>
    <cellStyle name="60% - Accent3 24 9" xfId="20213"/>
    <cellStyle name="60% - Accent3 25" xfId="13718"/>
    <cellStyle name="60% - Accent3 26" xfId="13783"/>
    <cellStyle name="60% - Accent3 27" xfId="12875"/>
    <cellStyle name="60% - Accent3 28" xfId="13944"/>
    <cellStyle name="60% - Accent3 29" xfId="14808"/>
    <cellStyle name="60% - Accent3 3" xfId="8797"/>
    <cellStyle name="60% - Accent3 30" xfId="15875"/>
    <cellStyle name="60% - Accent3 31" xfId="16802"/>
    <cellStyle name="60% - Accent3 32" xfId="17714"/>
    <cellStyle name="60% - Accent3 33" xfId="18607"/>
    <cellStyle name="60% - Accent3 34" xfId="18600"/>
    <cellStyle name="60% - Accent3 35" xfId="13886"/>
    <cellStyle name="60% - Accent3 36" xfId="21190"/>
    <cellStyle name="60% - Accent3 37" xfId="22806"/>
    <cellStyle name="60% - Accent3 38" xfId="22918"/>
    <cellStyle name="60% - Accent3 39" xfId="28491"/>
    <cellStyle name="60% - Accent3 4" xfId="8888"/>
    <cellStyle name="60% - Accent3 40" xfId="27222"/>
    <cellStyle name="60% - Accent3 41" xfId="27113"/>
    <cellStyle name="60% - Accent3 42" xfId="29848"/>
    <cellStyle name="60% - Accent3 43" xfId="31623"/>
    <cellStyle name="60% - Accent3 44" xfId="33382"/>
    <cellStyle name="60% - Accent3 45" xfId="35096"/>
    <cellStyle name="60% - Accent3 46" xfId="36746"/>
    <cellStyle name="60% - Accent3 47" xfId="42595"/>
    <cellStyle name="60% - Accent3 48" xfId="42675"/>
    <cellStyle name="60% - Accent3 49" xfId="42720"/>
    <cellStyle name="60% - Accent3 5" xfId="8966"/>
    <cellStyle name="60% - Accent3 50" xfId="42762"/>
    <cellStyle name="60% - Accent3 51" xfId="42804"/>
    <cellStyle name="60% - Accent3 52" xfId="42845"/>
    <cellStyle name="60% - Accent3 53" xfId="42886"/>
    <cellStyle name="60% - Accent3 54" xfId="42926"/>
    <cellStyle name="60% - Accent3 55" xfId="42966"/>
    <cellStyle name="60% - Accent3 56" xfId="43003"/>
    <cellStyle name="60% - Accent3 57" xfId="43038"/>
    <cellStyle name="60% - Accent3 58" xfId="43071"/>
    <cellStyle name="60% - Accent3 59" xfId="43097"/>
    <cellStyle name="60% - Accent3 6" xfId="9044"/>
    <cellStyle name="60% - Accent3 60" xfId="43139"/>
    <cellStyle name="60% - Accent3 61" xfId="43183"/>
    <cellStyle name="60% - Accent3 62" xfId="8635"/>
    <cellStyle name="60% - Accent3 63" xfId="7690"/>
    <cellStyle name="60% - Accent3 64" xfId="3650"/>
    <cellStyle name="60% - Accent3 7" xfId="9108"/>
    <cellStyle name="60% - Accent3 8" xfId="9255"/>
    <cellStyle name="60% - Accent3 9" xfId="9727"/>
    <cellStyle name="60% - Accent4" xfId="34" builtinId="44" customBuiltin="1"/>
    <cellStyle name="60% - Accent4 10" xfId="9807"/>
    <cellStyle name="60% - Accent4 11" xfId="9888"/>
    <cellStyle name="60% - Accent4 11 10" xfId="34634"/>
    <cellStyle name="60% - Accent4 11 11" xfId="36302"/>
    <cellStyle name="60% - Accent4 11 2" xfId="24445"/>
    <cellStyle name="60% - Accent4 11 3" xfId="27853"/>
    <cellStyle name="60% - Accent4 11 4" xfId="28091"/>
    <cellStyle name="60% - Accent4 11 5" xfId="27771"/>
    <cellStyle name="60% - Accent4 11 6" xfId="23612"/>
    <cellStyle name="60% - Accent4 11 7" xfId="29356"/>
    <cellStyle name="60% - Accent4 11 8" xfId="31137"/>
    <cellStyle name="60% - Accent4 11 9" xfId="32905"/>
    <cellStyle name="60% - Accent4 12" xfId="9968"/>
    <cellStyle name="60% - Accent4 12 10" xfId="40974"/>
    <cellStyle name="60% - Accent4 12 11" xfId="42048"/>
    <cellStyle name="60% - Accent4 12 2" xfId="26454"/>
    <cellStyle name="60% - Accent4 12 3" xfId="29785"/>
    <cellStyle name="60% - Accent4 12 4" xfId="31560"/>
    <cellStyle name="60% - Accent4 12 5" xfId="33319"/>
    <cellStyle name="60% - Accent4 12 6" xfId="35036"/>
    <cellStyle name="60% - Accent4 12 7" xfId="36687"/>
    <cellStyle name="60% - Accent4 12 8" xfId="38256"/>
    <cellStyle name="60% - Accent4 12 9" xfId="39706"/>
    <cellStyle name="60% - Accent4 13" xfId="10052"/>
    <cellStyle name="60% - Accent4 13 10" xfId="41330"/>
    <cellStyle name="60% - Accent4 13 11" xfId="42381"/>
    <cellStyle name="60% - Accent4 13 2" xfId="26878"/>
    <cellStyle name="60% - Accent4 13 3" xfId="30206"/>
    <cellStyle name="60% - Accent4 13 4" xfId="31981"/>
    <cellStyle name="60% - Accent4 13 5" xfId="33736"/>
    <cellStyle name="60% - Accent4 13 6" xfId="35449"/>
    <cellStyle name="60% - Accent4 13 7" xfId="37093"/>
    <cellStyle name="60% - Accent4 13 8" xfId="38649"/>
    <cellStyle name="60% - Accent4 13 9" xfId="40083"/>
    <cellStyle name="60% - Accent4 14" xfId="10120"/>
    <cellStyle name="60% - Accent4 14 10" xfId="40863"/>
    <cellStyle name="60% - Accent4 14 11" xfId="41942"/>
    <cellStyle name="60% - Accent4 14 2" xfId="26323"/>
    <cellStyle name="60% - Accent4 14 3" xfId="29654"/>
    <cellStyle name="60% - Accent4 14 4" xfId="31429"/>
    <cellStyle name="60% - Accent4 14 5" xfId="33192"/>
    <cellStyle name="60% - Accent4 14 6" xfId="34910"/>
    <cellStyle name="60% - Accent4 14 7" xfId="36563"/>
    <cellStyle name="60% - Accent4 14 8" xfId="38137"/>
    <cellStyle name="60% - Accent4 14 9" xfId="39590"/>
    <cellStyle name="60% - Accent4 15" xfId="9474"/>
    <cellStyle name="60% - Accent4 15 10" xfId="20371"/>
    <cellStyle name="60% - Accent4 15 11" xfId="21212"/>
    <cellStyle name="60% - Accent4 15 12" xfId="22017"/>
    <cellStyle name="60% - Accent4 15 13" xfId="26920"/>
    <cellStyle name="60% - Accent4 15 14" xfId="30248"/>
    <cellStyle name="60% - Accent4 15 15" xfId="32023"/>
    <cellStyle name="60% - Accent4 15 16" xfId="33778"/>
    <cellStyle name="60% - Accent4 15 17" xfId="35491"/>
    <cellStyle name="60% - Accent4 15 18" xfId="37135"/>
    <cellStyle name="60% - Accent4 15 19" xfId="38691"/>
    <cellStyle name="60% - Accent4 15 2" xfId="12921"/>
    <cellStyle name="60% - Accent4 15 20" xfId="40125"/>
    <cellStyle name="60% - Accent4 15 21" xfId="41372"/>
    <cellStyle name="60% - Accent4 15 22" xfId="42423"/>
    <cellStyle name="60% - Accent4 15 3" xfId="14048"/>
    <cellStyle name="60% - Accent4 15 4" xfId="14978"/>
    <cellStyle name="60% - Accent4 15 5" xfId="15907"/>
    <cellStyle name="60% - Accent4 15 6" xfId="16835"/>
    <cellStyle name="60% - Accent4 15 7" xfId="17744"/>
    <cellStyle name="60% - Accent4 15 8" xfId="18634"/>
    <cellStyle name="60% - Accent4 15 9" xfId="19514"/>
    <cellStyle name="60% - Accent4 16" xfId="10235"/>
    <cellStyle name="60% - Accent4 16 10" xfId="20442"/>
    <cellStyle name="60% - Accent4 16 11" xfId="21278"/>
    <cellStyle name="60% - Accent4 16 12" xfId="22075"/>
    <cellStyle name="60% - Accent4 16 13" xfId="24829"/>
    <cellStyle name="60% - Accent4 16 14" xfId="28214"/>
    <cellStyle name="60% - Accent4 16 15" xfId="27581"/>
    <cellStyle name="60% - Accent4 16 16" xfId="29722"/>
    <cellStyle name="60% - Accent4 16 17" xfId="31497"/>
    <cellStyle name="60% - Accent4 16 18" xfId="33258"/>
    <cellStyle name="60% - Accent4 16 19" xfId="34976"/>
    <cellStyle name="60% - Accent4 16 2" xfId="12992"/>
    <cellStyle name="60% - Accent4 16 20" xfId="36629"/>
    <cellStyle name="60% - Accent4 16 21" xfId="38201"/>
    <cellStyle name="60% - Accent4 16 22" xfId="39652"/>
    <cellStyle name="60% - Accent4 16 3" xfId="14118"/>
    <cellStyle name="60% - Accent4 16 4" xfId="15048"/>
    <cellStyle name="60% - Accent4 16 5" xfId="15975"/>
    <cellStyle name="60% - Accent4 16 6" xfId="16905"/>
    <cellStyle name="60% - Accent4 16 7" xfId="17813"/>
    <cellStyle name="60% - Accent4 16 8" xfId="18703"/>
    <cellStyle name="60% - Accent4 16 9" xfId="19581"/>
    <cellStyle name="60% - Accent4 17" xfId="11147"/>
    <cellStyle name="60% - Accent4 17 10" xfId="20528"/>
    <cellStyle name="60% - Accent4 17 11" xfId="21364"/>
    <cellStyle name="60% - Accent4 17 12" xfId="22158"/>
    <cellStyle name="60% - Accent4 17 13" xfId="26842"/>
    <cellStyle name="60% - Accent4 17 14" xfId="30170"/>
    <cellStyle name="60% - Accent4 17 15" xfId="31945"/>
    <cellStyle name="60% - Accent4 17 16" xfId="33700"/>
    <cellStyle name="60% - Accent4 17 17" xfId="35413"/>
    <cellStyle name="60% - Accent4 17 18" xfId="37058"/>
    <cellStyle name="60% - Accent4 17 19" xfId="38615"/>
    <cellStyle name="60% - Accent4 17 2" xfId="13078"/>
    <cellStyle name="60% - Accent4 17 20" xfId="40049"/>
    <cellStyle name="60% - Accent4 17 21" xfId="41297"/>
    <cellStyle name="60% - Accent4 17 22" xfId="42348"/>
    <cellStyle name="60% - Accent4 17 3" xfId="14204"/>
    <cellStyle name="60% - Accent4 17 4" xfId="15133"/>
    <cellStyle name="60% - Accent4 17 5" xfId="16061"/>
    <cellStyle name="60% - Accent4 17 6" xfId="16991"/>
    <cellStyle name="60% - Accent4 17 7" xfId="17899"/>
    <cellStyle name="60% - Accent4 17 8" xfId="18789"/>
    <cellStyle name="60% - Accent4 17 9" xfId="19667"/>
    <cellStyle name="60% - Accent4 18" xfId="11341"/>
    <cellStyle name="60% - Accent4 18 10" xfId="20608"/>
    <cellStyle name="60% - Accent4 18 11" xfId="21445"/>
    <cellStyle name="60% - Accent4 18 12" xfId="22236"/>
    <cellStyle name="60% - Accent4 18 13" xfId="26525"/>
    <cellStyle name="60% - Accent4 18 14" xfId="29856"/>
    <cellStyle name="60% - Accent4 18 15" xfId="31631"/>
    <cellStyle name="60% - Accent4 18 16" xfId="33390"/>
    <cellStyle name="60% - Accent4 18 17" xfId="35104"/>
    <cellStyle name="60% - Accent4 18 18" xfId="36754"/>
    <cellStyle name="60% - Accent4 18 19" xfId="38322"/>
    <cellStyle name="60% - Accent4 18 2" xfId="13159"/>
    <cellStyle name="60% - Accent4 18 20" xfId="39768"/>
    <cellStyle name="60% - Accent4 18 21" xfId="41034"/>
    <cellStyle name="60% - Accent4 18 22" xfId="42105"/>
    <cellStyle name="60% - Accent4 18 3" xfId="14285"/>
    <cellStyle name="60% - Accent4 18 4" xfId="15213"/>
    <cellStyle name="60% - Accent4 18 5" xfId="16142"/>
    <cellStyle name="60% - Accent4 18 6" xfId="17072"/>
    <cellStyle name="60% - Accent4 18 7" xfId="17980"/>
    <cellStyle name="60% - Accent4 18 8" xfId="18870"/>
    <cellStyle name="60% - Accent4 18 9" xfId="19748"/>
    <cellStyle name="60% - Accent4 19" xfId="11533"/>
    <cellStyle name="60% - Accent4 19 10" xfId="20680"/>
    <cellStyle name="60% - Accent4 19 11" xfId="21518"/>
    <cellStyle name="60% - Accent4 19 12" xfId="22306"/>
    <cellStyle name="60% - Accent4 19 13" xfId="26736"/>
    <cellStyle name="60% - Accent4 19 14" xfId="30065"/>
    <cellStyle name="60% - Accent4 19 15" xfId="31840"/>
    <cellStyle name="60% - Accent4 19 16" xfId="33596"/>
    <cellStyle name="60% - Accent4 19 17" xfId="35309"/>
    <cellStyle name="60% - Accent4 19 18" xfId="36955"/>
    <cellStyle name="60% - Accent4 19 19" xfId="38516"/>
    <cellStyle name="60% - Accent4 19 2" xfId="13232"/>
    <cellStyle name="60% - Accent4 19 20" xfId="39956"/>
    <cellStyle name="60% - Accent4 19 21" xfId="41209"/>
    <cellStyle name="60% - Accent4 19 22" xfId="42265"/>
    <cellStyle name="60% - Accent4 19 3" xfId="14357"/>
    <cellStyle name="60% - Accent4 19 4" xfId="15285"/>
    <cellStyle name="60% - Accent4 19 5" xfId="16215"/>
    <cellStyle name="60% - Accent4 19 6" xfId="17145"/>
    <cellStyle name="60% - Accent4 19 7" xfId="18053"/>
    <cellStyle name="60% - Accent4 19 8" xfId="18943"/>
    <cellStyle name="60% - Accent4 19 9" xfId="19820"/>
    <cellStyle name="60% - Accent4 2" xfId="3965"/>
    <cellStyle name="60% - Accent4 2 10" xfId="12359"/>
    <cellStyle name="60% - Accent4 2 11" xfId="11425"/>
    <cellStyle name="60% - Accent4 2 12" xfId="12279"/>
    <cellStyle name="60% - Accent4 2 13" xfId="12676"/>
    <cellStyle name="60% - Accent4 2 14" xfId="14901"/>
    <cellStyle name="60% - Accent4 2 15" xfId="14977"/>
    <cellStyle name="60% - Accent4 2 16" xfId="12530"/>
    <cellStyle name="60% - Accent4 2 17" xfId="12664"/>
    <cellStyle name="60% - Accent4 2 18" xfId="15721"/>
    <cellStyle name="60% - Accent4 2 19" xfId="16772"/>
    <cellStyle name="60% - Accent4 2 2" xfId="9377"/>
    <cellStyle name="60% - Accent4 2 2 2" xfId="9558"/>
    <cellStyle name="60% - Accent4 2 20" xfId="20311"/>
    <cellStyle name="60% - Accent4 2 21" xfId="21137"/>
    <cellStyle name="60% - Accent4 2 22" xfId="14917"/>
    <cellStyle name="60% - Accent4 2 23" xfId="23003"/>
    <cellStyle name="60% - Accent4 2 24" xfId="23076"/>
    <cellStyle name="60% - Accent4 2 25" xfId="28748"/>
    <cellStyle name="60% - Accent4 2 26" xfId="30536"/>
    <cellStyle name="60% - Accent4 2 27" xfId="32311"/>
    <cellStyle name="60% - Accent4 2 28" xfId="34063"/>
    <cellStyle name="60% - Accent4 2 29" xfId="35773"/>
    <cellStyle name="60% - Accent4 2 3" xfId="10317"/>
    <cellStyle name="60% - Accent4 2 30" xfId="37411"/>
    <cellStyle name="60% - Accent4 2 31" xfId="38962"/>
    <cellStyle name="60% - Accent4 2 32" xfId="40382"/>
    <cellStyle name="60% - Accent4 2 33" xfId="8711"/>
    <cellStyle name="60% - Accent4 2 4" xfId="10206"/>
    <cellStyle name="60% - Accent4 2 5" xfId="10482"/>
    <cellStyle name="60% - Accent4 2 6" xfId="10530"/>
    <cellStyle name="60% - Accent4 2 7" xfId="10520"/>
    <cellStyle name="60% - Accent4 2 8" xfId="10185"/>
    <cellStyle name="60% - Accent4 2 9" xfId="10226"/>
    <cellStyle name="60% - Accent4 20" xfId="11713"/>
    <cellStyle name="60% - Accent4 20 10" xfId="20765"/>
    <cellStyle name="60% - Accent4 20 11" xfId="21603"/>
    <cellStyle name="60% - Accent4 20 12" xfId="22389"/>
    <cellStyle name="60% - Accent4 20 13" xfId="26968"/>
    <cellStyle name="60% - Accent4 20 14" xfId="30297"/>
    <cellStyle name="60% - Accent4 20 15" xfId="32072"/>
    <cellStyle name="60% - Accent4 20 16" xfId="33827"/>
    <cellStyle name="60% - Accent4 20 17" xfId="35540"/>
    <cellStyle name="60% - Accent4 20 18" xfId="37184"/>
    <cellStyle name="60% - Accent4 20 19" xfId="38740"/>
    <cellStyle name="60% - Accent4 20 2" xfId="13318"/>
    <cellStyle name="60% - Accent4 20 20" xfId="40174"/>
    <cellStyle name="60% - Accent4 20 21" xfId="41417"/>
    <cellStyle name="60% - Accent4 20 22" xfId="42466"/>
    <cellStyle name="60% - Accent4 20 3" xfId="14442"/>
    <cellStyle name="60% - Accent4 20 4" xfId="15371"/>
    <cellStyle name="60% - Accent4 20 5" xfId="16300"/>
    <cellStyle name="60% - Accent4 20 6" xfId="17230"/>
    <cellStyle name="60% - Accent4 20 7" xfId="18138"/>
    <cellStyle name="60% - Accent4 20 8" xfId="19028"/>
    <cellStyle name="60% - Accent4 20 9" xfId="19905"/>
    <cellStyle name="60% - Accent4 21" xfId="11898"/>
    <cellStyle name="60% - Accent4 21 10" xfId="20844"/>
    <cellStyle name="60% - Accent4 21 11" xfId="21683"/>
    <cellStyle name="60% - Accent4 21 12" xfId="22467"/>
    <cellStyle name="60% - Accent4 21 13" xfId="26661"/>
    <cellStyle name="60% - Accent4 21 14" xfId="29990"/>
    <cellStyle name="60% - Accent4 21 15" xfId="31765"/>
    <cellStyle name="60% - Accent4 21 16" xfId="33523"/>
    <cellStyle name="60% - Accent4 21 17" xfId="35237"/>
    <cellStyle name="60% - Accent4 21 18" xfId="36884"/>
    <cellStyle name="60% - Accent4 21 19" xfId="38447"/>
    <cellStyle name="60% - Accent4 21 2" xfId="13398"/>
    <cellStyle name="60% - Accent4 21 20" xfId="39889"/>
    <cellStyle name="60% - Accent4 21 21" xfId="41143"/>
    <cellStyle name="60% - Accent4 21 22" xfId="42203"/>
    <cellStyle name="60% - Accent4 21 3" xfId="14522"/>
    <cellStyle name="60% - Accent4 21 4" xfId="15449"/>
    <cellStyle name="60% - Accent4 21 5" xfId="16380"/>
    <cellStyle name="60% - Accent4 21 6" xfId="17310"/>
    <cellStyle name="60% - Accent4 21 7" xfId="18218"/>
    <cellStyle name="60% - Accent4 21 8" xfId="19108"/>
    <cellStyle name="60% - Accent4 21 9" xfId="19985"/>
    <cellStyle name="60% - Accent4 22" xfId="12103"/>
    <cellStyle name="60% - Accent4 22 10" xfId="20922"/>
    <cellStyle name="60% - Accent4 22 11" xfId="21763"/>
    <cellStyle name="60% - Accent4 22 12" xfId="22545"/>
    <cellStyle name="60% - Accent4 22 13" xfId="27004"/>
    <cellStyle name="60% - Accent4 22 14" xfId="30333"/>
    <cellStyle name="60% - Accent4 22 15" xfId="32108"/>
    <cellStyle name="60% - Accent4 22 16" xfId="33863"/>
    <cellStyle name="60% - Accent4 22 17" xfId="35576"/>
    <cellStyle name="60% - Accent4 22 18" xfId="37220"/>
    <cellStyle name="60% - Accent4 22 19" xfId="38776"/>
    <cellStyle name="60% - Accent4 22 2" xfId="13478"/>
    <cellStyle name="60% - Accent4 22 20" xfId="40209"/>
    <cellStyle name="60% - Accent4 22 21" xfId="41452"/>
    <cellStyle name="60% - Accent4 22 22" xfId="42501"/>
    <cellStyle name="60% - Accent4 22 3" xfId="14601"/>
    <cellStyle name="60% - Accent4 22 4" xfId="15529"/>
    <cellStyle name="60% - Accent4 22 5" xfId="16460"/>
    <cellStyle name="60% - Accent4 22 6" xfId="17390"/>
    <cellStyle name="60% - Accent4 22 7" xfId="18298"/>
    <cellStyle name="60% - Accent4 22 8" xfId="19188"/>
    <cellStyle name="60% - Accent4 22 9" xfId="20064"/>
    <cellStyle name="60% - Accent4 23" xfId="12259"/>
    <cellStyle name="60% - Accent4 23 10" xfId="20997"/>
    <cellStyle name="60% - Accent4 23 11" xfId="21836"/>
    <cellStyle name="60% - Accent4 23 12" xfId="22617"/>
    <cellStyle name="60% - Accent4 23 2" xfId="13558"/>
    <cellStyle name="60% - Accent4 23 3" xfId="14677"/>
    <cellStyle name="60% - Accent4 23 4" xfId="15608"/>
    <cellStyle name="60% - Accent4 23 5" xfId="16537"/>
    <cellStyle name="60% - Accent4 23 6" xfId="17466"/>
    <cellStyle name="60% - Accent4 23 7" xfId="18373"/>
    <cellStyle name="60% - Accent4 23 8" xfId="19262"/>
    <cellStyle name="60% - Accent4 23 9" xfId="20136"/>
    <cellStyle name="60% - Accent4 24" xfId="12298"/>
    <cellStyle name="60% - Accent4 24 10" xfId="21064"/>
    <cellStyle name="60% - Accent4 24 11" xfId="21899"/>
    <cellStyle name="60% - Accent4 24 12" xfId="22680"/>
    <cellStyle name="60% - Accent4 24 2" xfId="13638"/>
    <cellStyle name="60% - Accent4 24 3" xfId="14755"/>
    <cellStyle name="60% - Accent4 24 4" xfId="15681"/>
    <cellStyle name="60% - Accent4 24 5" xfId="16610"/>
    <cellStyle name="60% - Accent4 24 6" xfId="17541"/>
    <cellStyle name="60% - Accent4 24 7" xfId="18444"/>
    <cellStyle name="60% - Accent4 24 8" xfId="19329"/>
    <cellStyle name="60% - Accent4 24 9" xfId="20207"/>
    <cellStyle name="60% - Accent4 25" xfId="13712"/>
    <cellStyle name="60% - Accent4 26" xfId="13777"/>
    <cellStyle name="60% - Accent4 27" xfId="12814"/>
    <cellStyle name="60% - Accent4 28" xfId="13882"/>
    <cellStyle name="60% - Accent4 29" xfId="12386"/>
    <cellStyle name="60% - Accent4 3" xfId="8791"/>
    <cellStyle name="60% - Accent4 30" xfId="11854"/>
    <cellStyle name="60% - Accent4 31" xfId="15867"/>
    <cellStyle name="60% - Accent4 32" xfId="16795"/>
    <cellStyle name="60% - Accent4 33" xfId="17706"/>
    <cellStyle name="60% - Accent4 34" xfId="16750"/>
    <cellStyle name="60% - Accent4 35" xfId="20253"/>
    <cellStyle name="60% - Accent4 36" xfId="12898"/>
    <cellStyle name="60% - Accent4 37" xfId="22807"/>
    <cellStyle name="60% - Accent4 38" xfId="23657"/>
    <cellStyle name="60% - Accent4 39" xfId="28490"/>
    <cellStyle name="60% - Accent4 4" xfId="8887"/>
    <cellStyle name="60% - Accent4 40" xfId="27223"/>
    <cellStyle name="60% - Accent4 41" xfId="23644"/>
    <cellStyle name="60% - Accent4 42" xfId="29486"/>
    <cellStyle name="60% - Accent4 43" xfId="31263"/>
    <cellStyle name="60% - Accent4 44" xfId="33027"/>
    <cellStyle name="60% - Accent4 45" xfId="34747"/>
    <cellStyle name="60% - Accent4 46" xfId="36404"/>
    <cellStyle name="60% - Accent4 47" xfId="42596"/>
    <cellStyle name="60% - Accent4 48" xfId="42674"/>
    <cellStyle name="60% - Accent4 49" xfId="42719"/>
    <cellStyle name="60% - Accent4 5" xfId="8965"/>
    <cellStyle name="60% - Accent4 50" xfId="42761"/>
    <cellStyle name="60% - Accent4 51" xfId="42803"/>
    <cellStyle name="60% - Accent4 52" xfId="42844"/>
    <cellStyle name="60% - Accent4 53" xfId="42885"/>
    <cellStyle name="60% - Accent4 54" xfId="42925"/>
    <cellStyle name="60% - Accent4 55" xfId="42965"/>
    <cellStyle name="60% - Accent4 56" xfId="43002"/>
    <cellStyle name="60% - Accent4 57" xfId="43037"/>
    <cellStyle name="60% - Accent4 58" xfId="43070"/>
    <cellStyle name="60% - Accent4 59" xfId="43096"/>
    <cellStyle name="60% - Accent4 6" xfId="9043"/>
    <cellStyle name="60% - Accent4 60" xfId="43140"/>
    <cellStyle name="60% - Accent4 61" xfId="43182"/>
    <cellStyle name="60% - Accent4 62" xfId="8636"/>
    <cellStyle name="60% - Accent4 63" xfId="7691"/>
    <cellStyle name="60% - Accent4 64" xfId="3651"/>
    <cellStyle name="60% - Accent4 7" xfId="9107"/>
    <cellStyle name="60% - Accent4 8" xfId="9256"/>
    <cellStyle name="60% - Accent4 9" xfId="9726"/>
    <cellStyle name="60% - Accent5" xfId="38" builtinId="48" customBuiltin="1"/>
    <cellStyle name="60% - Accent5 10" xfId="9806"/>
    <cellStyle name="60% - Accent5 11" xfId="9887"/>
    <cellStyle name="60% - Accent5 11 10" xfId="33983"/>
    <cellStyle name="60% - Accent5 11 11" xfId="35695"/>
    <cellStyle name="60% - Accent5 11 2" xfId="24446"/>
    <cellStyle name="60% - Accent5 11 3" xfId="27854"/>
    <cellStyle name="60% - Accent5 11 4" xfId="28090"/>
    <cellStyle name="60% - Accent5 11 5" xfId="27772"/>
    <cellStyle name="60% - Accent5 11 6" xfId="23681"/>
    <cellStyle name="60% - Accent5 11 7" xfId="28664"/>
    <cellStyle name="60% - Accent5 11 8" xfId="30454"/>
    <cellStyle name="60% - Accent5 11 9" xfId="32229"/>
    <cellStyle name="60% - Accent5 12" xfId="9967"/>
    <cellStyle name="60% - Accent5 12 10" xfId="40975"/>
    <cellStyle name="60% - Accent5 12 11" xfId="42049"/>
    <cellStyle name="60% - Accent5 12 2" xfId="26455"/>
    <cellStyle name="60% - Accent5 12 3" xfId="29786"/>
    <cellStyle name="60% - Accent5 12 4" xfId="31561"/>
    <cellStyle name="60% - Accent5 12 5" xfId="33320"/>
    <cellStyle name="60% - Accent5 12 6" xfId="35037"/>
    <cellStyle name="60% - Accent5 12 7" xfId="36688"/>
    <cellStyle name="60% - Accent5 12 8" xfId="38257"/>
    <cellStyle name="60% - Accent5 12 9" xfId="39707"/>
    <cellStyle name="60% - Accent5 13" xfId="10051"/>
    <cellStyle name="60% - Accent5 13 10" xfId="41329"/>
    <cellStyle name="60% - Accent5 13 11" xfId="42380"/>
    <cellStyle name="60% - Accent5 13 2" xfId="26877"/>
    <cellStyle name="60% - Accent5 13 3" xfId="30205"/>
    <cellStyle name="60% - Accent5 13 4" xfId="31980"/>
    <cellStyle name="60% - Accent5 13 5" xfId="33735"/>
    <cellStyle name="60% - Accent5 13 6" xfId="35448"/>
    <cellStyle name="60% - Accent5 13 7" xfId="37092"/>
    <cellStyle name="60% - Accent5 13 8" xfId="38648"/>
    <cellStyle name="60% - Accent5 13 9" xfId="40082"/>
    <cellStyle name="60% - Accent5 14" xfId="10119"/>
    <cellStyle name="60% - Accent5 14 10" xfId="40864"/>
    <cellStyle name="60% - Accent5 14 11" xfId="41943"/>
    <cellStyle name="60% - Accent5 14 2" xfId="26324"/>
    <cellStyle name="60% - Accent5 14 3" xfId="29655"/>
    <cellStyle name="60% - Accent5 14 4" xfId="31430"/>
    <cellStyle name="60% - Accent5 14 5" xfId="33193"/>
    <cellStyle name="60% - Accent5 14 6" xfId="34911"/>
    <cellStyle name="60% - Accent5 14 7" xfId="36564"/>
    <cellStyle name="60% - Accent5 14 8" xfId="38138"/>
    <cellStyle name="60% - Accent5 14 9" xfId="39591"/>
    <cellStyle name="60% - Accent5 15" xfId="9468"/>
    <cellStyle name="60% - Accent5 15 10" xfId="20367"/>
    <cellStyle name="60% - Accent5 15 11" xfId="21210"/>
    <cellStyle name="60% - Accent5 15 12" xfId="22016"/>
    <cellStyle name="60% - Accent5 15 13" xfId="26919"/>
    <cellStyle name="60% - Accent5 15 14" xfId="30247"/>
    <cellStyle name="60% - Accent5 15 15" xfId="32022"/>
    <cellStyle name="60% - Accent5 15 16" xfId="33777"/>
    <cellStyle name="60% - Accent5 15 17" xfId="35490"/>
    <cellStyle name="60% - Accent5 15 18" xfId="37134"/>
    <cellStyle name="60% - Accent5 15 19" xfId="38690"/>
    <cellStyle name="60% - Accent5 15 2" xfId="12916"/>
    <cellStyle name="60% - Accent5 15 20" xfId="40124"/>
    <cellStyle name="60% - Accent5 15 21" xfId="41371"/>
    <cellStyle name="60% - Accent5 15 22" xfId="42422"/>
    <cellStyle name="60% - Accent5 15 3" xfId="14044"/>
    <cellStyle name="60% - Accent5 15 4" xfId="14972"/>
    <cellStyle name="60% - Accent5 15 5" xfId="15901"/>
    <cellStyle name="60% - Accent5 15 6" xfId="16830"/>
    <cellStyle name="60% - Accent5 15 7" xfId="17740"/>
    <cellStyle name="60% - Accent5 15 8" xfId="18632"/>
    <cellStyle name="60% - Accent5 15 9" xfId="19509"/>
    <cellStyle name="60% - Accent5 16" xfId="10947"/>
    <cellStyle name="60% - Accent5 16 10" xfId="20441"/>
    <cellStyle name="60% - Accent5 16 11" xfId="21277"/>
    <cellStyle name="60% - Accent5 16 12" xfId="22074"/>
    <cellStyle name="60% - Accent5 16 13" xfId="24827"/>
    <cellStyle name="60% - Accent5 16 14" xfId="28212"/>
    <cellStyle name="60% - Accent5 16 15" xfId="27584"/>
    <cellStyle name="60% - Accent5 16 16" xfId="28213"/>
    <cellStyle name="60% - Accent5 16 17" xfId="27583"/>
    <cellStyle name="60% - Accent5 16 18" xfId="29889"/>
    <cellStyle name="60% - Accent5 16 19" xfId="31664"/>
    <cellStyle name="60% - Accent5 16 2" xfId="12991"/>
    <cellStyle name="60% - Accent5 16 20" xfId="33423"/>
    <cellStyle name="60% - Accent5 16 21" xfId="35137"/>
    <cellStyle name="60% - Accent5 16 22" xfId="36787"/>
    <cellStyle name="60% - Accent5 16 3" xfId="14117"/>
    <cellStyle name="60% - Accent5 16 4" xfId="15047"/>
    <cellStyle name="60% - Accent5 16 5" xfId="15974"/>
    <cellStyle name="60% - Accent5 16 6" xfId="16904"/>
    <cellStyle name="60% - Accent5 16 7" xfId="17812"/>
    <cellStyle name="60% - Accent5 16 8" xfId="18702"/>
    <cellStyle name="60% - Accent5 16 9" xfId="19580"/>
    <cellStyle name="60% - Accent5 17" xfId="10876"/>
    <cellStyle name="60% - Accent5 17 10" xfId="20522"/>
    <cellStyle name="60% - Accent5 17 11" xfId="21358"/>
    <cellStyle name="60% - Accent5 17 12" xfId="22152"/>
    <cellStyle name="60% - Accent5 17 13" xfId="26841"/>
    <cellStyle name="60% - Accent5 17 14" xfId="30169"/>
    <cellStyle name="60% - Accent5 17 15" xfId="31944"/>
    <cellStyle name="60% - Accent5 17 16" xfId="33699"/>
    <cellStyle name="60% - Accent5 17 17" xfId="35412"/>
    <cellStyle name="60% - Accent5 17 18" xfId="37057"/>
    <cellStyle name="60% - Accent5 17 19" xfId="38614"/>
    <cellStyle name="60% - Accent5 17 2" xfId="13072"/>
    <cellStyle name="60% - Accent5 17 20" xfId="40048"/>
    <cellStyle name="60% - Accent5 17 21" xfId="41296"/>
    <cellStyle name="60% - Accent5 17 22" xfId="42347"/>
    <cellStyle name="60% - Accent5 17 3" xfId="14198"/>
    <cellStyle name="60% - Accent5 17 4" xfId="15127"/>
    <cellStyle name="60% - Accent5 17 5" xfId="16055"/>
    <cellStyle name="60% - Accent5 17 6" xfId="16985"/>
    <cellStyle name="60% - Accent5 17 7" xfId="17893"/>
    <cellStyle name="60% - Accent5 17 8" xfId="18783"/>
    <cellStyle name="60% - Accent5 17 9" xfId="19661"/>
    <cellStyle name="60% - Accent5 18" xfId="11067"/>
    <cellStyle name="60% - Accent5 18 10" xfId="20602"/>
    <cellStyle name="60% - Accent5 18 11" xfId="21439"/>
    <cellStyle name="60% - Accent5 18 12" xfId="22230"/>
    <cellStyle name="60% - Accent5 18 13" xfId="26526"/>
    <cellStyle name="60% - Accent5 18 14" xfId="29857"/>
    <cellStyle name="60% - Accent5 18 15" xfId="31632"/>
    <cellStyle name="60% - Accent5 18 16" xfId="33391"/>
    <cellStyle name="60% - Accent5 18 17" xfId="35105"/>
    <cellStyle name="60% - Accent5 18 18" xfId="36755"/>
    <cellStyle name="60% - Accent5 18 19" xfId="38323"/>
    <cellStyle name="60% - Accent5 18 2" xfId="13153"/>
    <cellStyle name="60% - Accent5 18 20" xfId="39769"/>
    <cellStyle name="60% - Accent5 18 21" xfId="41035"/>
    <cellStyle name="60% - Accent5 18 22" xfId="42106"/>
    <cellStyle name="60% - Accent5 18 3" xfId="14279"/>
    <cellStyle name="60% - Accent5 18 4" xfId="15207"/>
    <cellStyle name="60% - Accent5 18 5" xfId="16136"/>
    <cellStyle name="60% - Accent5 18 6" xfId="17066"/>
    <cellStyle name="60% - Accent5 18 7" xfId="17974"/>
    <cellStyle name="60% - Accent5 18 8" xfId="18864"/>
    <cellStyle name="60% - Accent5 18 9" xfId="19742"/>
    <cellStyle name="60% - Accent5 19" xfId="10965"/>
    <cellStyle name="60% - Accent5 19 10" xfId="20679"/>
    <cellStyle name="60% - Accent5 19 11" xfId="21517"/>
    <cellStyle name="60% - Accent5 19 12" xfId="22305"/>
    <cellStyle name="60% - Accent5 19 13" xfId="26735"/>
    <cellStyle name="60% - Accent5 19 14" xfId="30064"/>
    <cellStyle name="60% - Accent5 19 15" xfId="31839"/>
    <cellStyle name="60% - Accent5 19 16" xfId="33595"/>
    <cellStyle name="60% - Accent5 19 17" xfId="35308"/>
    <cellStyle name="60% - Accent5 19 18" xfId="36954"/>
    <cellStyle name="60% - Accent5 19 19" xfId="38515"/>
    <cellStyle name="60% - Accent5 19 2" xfId="13231"/>
    <cellStyle name="60% - Accent5 19 20" xfId="39955"/>
    <cellStyle name="60% - Accent5 19 21" xfId="41208"/>
    <cellStyle name="60% - Accent5 19 22" xfId="42264"/>
    <cellStyle name="60% - Accent5 19 3" xfId="14356"/>
    <cellStyle name="60% - Accent5 19 4" xfId="15284"/>
    <cellStyle name="60% - Accent5 19 5" xfId="16214"/>
    <cellStyle name="60% - Accent5 19 6" xfId="17144"/>
    <cellStyle name="60% - Accent5 19 7" xfId="18052"/>
    <cellStyle name="60% - Accent5 19 8" xfId="18942"/>
    <cellStyle name="60% - Accent5 19 9" xfId="19819"/>
    <cellStyle name="60% - Accent5 2" xfId="3966"/>
    <cellStyle name="60% - Accent5 2 10" xfId="12310"/>
    <cellStyle name="60% - Accent5 2 11" xfId="10742"/>
    <cellStyle name="60% - Accent5 2 12" xfId="11741"/>
    <cellStyle name="60% - Accent5 2 13" xfId="12722"/>
    <cellStyle name="60% - Accent5 2 14" xfId="14863"/>
    <cellStyle name="60% - Accent5 2 15" xfId="11287"/>
    <cellStyle name="60% - Accent5 2 16" xfId="16759"/>
    <cellStyle name="60% - Accent5 2 17" xfId="17669"/>
    <cellStyle name="60% - Accent5 2 18" xfId="18570"/>
    <cellStyle name="60% - Accent5 2 19" xfId="19448"/>
    <cellStyle name="60% - Accent5 2 2" xfId="9378"/>
    <cellStyle name="60% - Accent5 2 2 2" xfId="9559"/>
    <cellStyle name="60% - Accent5 2 20" xfId="20286"/>
    <cellStyle name="60% - Accent5 2 21" xfId="20370"/>
    <cellStyle name="60% - Accent5 2 22" xfId="21973"/>
    <cellStyle name="60% - Accent5 2 23" xfId="23004"/>
    <cellStyle name="60% - Accent5 2 24" xfId="23686"/>
    <cellStyle name="60% - Accent5 2 25" xfId="28747"/>
    <cellStyle name="60% - Accent5 2 26" xfId="30535"/>
    <cellStyle name="60% - Accent5 2 27" xfId="32310"/>
    <cellStyle name="60% - Accent5 2 28" xfId="34062"/>
    <cellStyle name="60% - Accent5 2 29" xfId="35772"/>
    <cellStyle name="60% - Accent5 2 3" xfId="10318"/>
    <cellStyle name="60% - Accent5 2 30" xfId="37410"/>
    <cellStyle name="60% - Accent5 2 31" xfId="38961"/>
    <cellStyle name="60% - Accent5 2 32" xfId="40381"/>
    <cellStyle name="60% - Accent5 2 33" xfId="8712"/>
    <cellStyle name="60% - Accent5 2 4" xfId="10205"/>
    <cellStyle name="60% - Accent5 2 5" xfId="10557"/>
    <cellStyle name="60% - Accent5 2 6" xfId="10822"/>
    <cellStyle name="60% - Accent5 2 7" xfId="10968"/>
    <cellStyle name="60% - Accent5 2 8" xfId="10878"/>
    <cellStyle name="60% - Accent5 2 9" xfId="10935"/>
    <cellStyle name="60% - Accent5 20" xfId="11089"/>
    <cellStyle name="60% - Accent5 20 10" xfId="20759"/>
    <cellStyle name="60% - Accent5 20 11" xfId="21597"/>
    <cellStyle name="60% - Accent5 20 12" xfId="22383"/>
    <cellStyle name="60% - Accent5 20 13" xfId="26967"/>
    <cellStyle name="60% - Accent5 20 14" xfId="30296"/>
    <cellStyle name="60% - Accent5 20 15" xfId="32071"/>
    <cellStyle name="60% - Accent5 20 16" xfId="33826"/>
    <cellStyle name="60% - Accent5 20 17" xfId="35539"/>
    <cellStyle name="60% - Accent5 20 18" xfId="37183"/>
    <cellStyle name="60% - Accent5 20 19" xfId="38739"/>
    <cellStyle name="60% - Accent5 20 2" xfId="13312"/>
    <cellStyle name="60% - Accent5 20 20" xfId="40173"/>
    <cellStyle name="60% - Accent5 20 21" xfId="41416"/>
    <cellStyle name="60% - Accent5 20 22" xfId="42465"/>
    <cellStyle name="60% - Accent5 20 3" xfId="14436"/>
    <cellStyle name="60% - Accent5 20 4" xfId="15365"/>
    <cellStyle name="60% - Accent5 20 5" xfId="16294"/>
    <cellStyle name="60% - Accent5 20 6" xfId="17224"/>
    <cellStyle name="60% - Accent5 20 7" xfId="18132"/>
    <cellStyle name="60% - Accent5 20 8" xfId="19022"/>
    <cellStyle name="60% - Accent5 20 9" xfId="19899"/>
    <cellStyle name="60% - Accent5 21" xfId="11283"/>
    <cellStyle name="60% - Accent5 21 10" xfId="20838"/>
    <cellStyle name="60% - Accent5 21 11" xfId="21677"/>
    <cellStyle name="60% - Accent5 21 12" xfId="22461"/>
    <cellStyle name="60% - Accent5 21 13" xfId="26660"/>
    <cellStyle name="60% - Accent5 21 14" xfId="29989"/>
    <cellStyle name="60% - Accent5 21 15" xfId="31764"/>
    <cellStyle name="60% - Accent5 21 16" xfId="33522"/>
    <cellStyle name="60% - Accent5 21 17" xfId="35236"/>
    <cellStyle name="60% - Accent5 21 18" xfId="36883"/>
    <cellStyle name="60% - Accent5 21 19" xfId="38446"/>
    <cellStyle name="60% - Accent5 21 2" xfId="13392"/>
    <cellStyle name="60% - Accent5 21 20" xfId="39888"/>
    <cellStyle name="60% - Accent5 21 21" xfId="41142"/>
    <cellStyle name="60% - Accent5 21 22" xfId="42202"/>
    <cellStyle name="60% - Accent5 21 3" xfId="14516"/>
    <cellStyle name="60% - Accent5 21 4" xfId="15443"/>
    <cellStyle name="60% - Accent5 21 5" xfId="16374"/>
    <cellStyle name="60% - Accent5 21 6" xfId="17304"/>
    <cellStyle name="60% - Accent5 21 7" xfId="18212"/>
    <cellStyle name="60% - Accent5 21 8" xfId="19102"/>
    <cellStyle name="60% - Accent5 21 9" xfId="19979"/>
    <cellStyle name="60% - Accent5 22" xfId="11680"/>
    <cellStyle name="60% - Accent5 22 10" xfId="20916"/>
    <cellStyle name="60% - Accent5 22 11" xfId="21757"/>
    <cellStyle name="60% - Accent5 22 12" xfId="22539"/>
    <cellStyle name="60% - Accent5 22 13" xfId="27003"/>
    <cellStyle name="60% - Accent5 22 14" xfId="30332"/>
    <cellStyle name="60% - Accent5 22 15" xfId="32107"/>
    <cellStyle name="60% - Accent5 22 16" xfId="33862"/>
    <cellStyle name="60% - Accent5 22 17" xfId="35575"/>
    <cellStyle name="60% - Accent5 22 18" xfId="37219"/>
    <cellStyle name="60% - Accent5 22 19" xfId="38775"/>
    <cellStyle name="60% - Accent5 22 2" xfId="13472"/>
    <cellStyle name="60% - Accent5 22 20" xfId="40208"/>
    <cellStyle name="60% - Accent5 22 21" xfId="41451"/>
    <cellStyle name="60% - Accent5 22 22" xfId="42500"/>
    <cellStyle name="60% - Accent5 22 3" xfId="14595"/>
    <cellStyle name="60% - Accent5 22 4" xfId="15523"/>
    <cellStyle name="60% - Accent5 22 5" xfId="16454"/>
    <cellStyle name="60% - Accent5 22 6" xfId="17384"/>
    <cellStyle name="60% - Accent5 22 7" xfId="18292"/>
    <cellStyle name="60% - Accent5 22 8" xfId="19182"/>
    <cellStyle name="60% - Accent5 22 9" xfId="20058"/>
    <cellStyle name="60% - Accent5 23" xfId="10910"/>
    <cellStyle name="60% - Accent5 23 10" xfId="20991"/>
    <cellStyle name="60% - Accent5 23 11" xfId="21830"/>
    <cellStyle name="60% - Accent5 23 12" xfId="22611"/>
    <cellStyle name="60% - Accent5 23 2" xfId="13552"/>
    <cellStyle name="60% - Accent5 23 3" xfId="14671"/>
    <cellStyle name="60% - Accent5 23 4" xfId="15602"/>
    <cellStyle name="60% - Accent5 23 5" xfId="16531"/>
    <cellStyle name="60% - Accent5 23 6" xfId="17460"/>
    <cellStyle name="60% - Accent5 23 7" xfId="18367"/>
    <cellStyle name="60% - Accent5 23 8" xfId="19256"/>
    <cellStyle name="60% - Accent5 23 9" xfId="20130"/>
    <cellStyle name="60% - Accent5 24" xfId="11060"/>
    <cellStyle name="60% - Accent5 24 10" xfId="21058"/>
    <cellStyle name="60% - Accent5 24 11" xfId="21893"/>
    <cellStyle name="60% - Accent5 24 12" xfId="22674"/>
    <cellStyle name="60% - Accent5 24 2" xfId="13632"/>
    <cellStyle name="60% - Accent5 24 3" xfId="14749"/>
    <cellStyle name="60% - Accent5 24 4" xfId="15675"/>
    <cellStyle name="60% - Accent5 24 5" xfId="16604"/>
    <cellStyle name="60% - Accent5 24 6" xfId="17535"/>
    <cellStyle name="60% - Accent5 24 7" xfId="18438"/>
    <cellStyle name="60% - Accent5 24 8" xfId="19323"/>
    <cellStyle name="60% - Accent5 24 9" xfId="20201"/>
    <cellStyle name="60% - Accent5 25" xfId="13706"/>
    <cellStyle name="60% - Accent5 26" xfId="13771"/>
    <cellStyle name="60% - Accent5 27" xfId="12747"/>
    <cellStyle name="60% - Accent5 28" xfId="11656"/>
    <cellStyle name="60% - Accent5 29" xfId="11157"/>
    <cellStyle name="60% - Accent5 3" xfId="8785"/>
    <cellStyle name="60% - Accent5 30" xfId="15759"/>
    <cellStyle name="60% - Accent5 31" xfId="12193"/>
    <cellStyle name="60% - Accent5 32" xfId="11780"/>
    <cellStyle name="60% - Accent5 33" xfId="14886"/>
    <cellStyle name="60% - Accent5 34" xfId="19416"/>
    <cellStyle name="60% - Accent5 35" xfId="17730"/>
    <cellStyle name="60% - Accent5 36" xfId="21143"/>
    <cellStyle name="60% - Accent5 37" xfId="22808"/>
    <cellStyle name="60% - Accent5 38" xfId="23592"/>
    <cellStyle name="60% - Accent5 39" xfId="28489"/>
    <cellStyle name="60% - Accent5 4" xfId="8886"/>
    <cellStyle name="60% - Accent5 40" xfId="27224"/>
    <cellStyle name="60% - Accent5 41" xfId="22761"/>
    <cellStyle name="60% - Accent5 42" xfId="23251"/>
    <cellStyle name="60% - Accent5 43" xfId="28851"/>
    <cellStyle name="60% - Accent5 44" xfId="30637"/>
    <cellStyle name="60% - Accent5 45" xfId="32411"/>
    <cellStyle name="60% - Accent5 46" xfId="34162"/>
    <cellStyle name="60% - Accent5 47" xfId="42597"/>
    <cellStyle name="60% - Accent5 48" xfId="42673"/>
    <cellStyle name="60% - Accent5 49" xfId="42718"/>
    <cellStyle name="60% - Accent5 5" xfId="8964"/>
    <cellStyle name="60% - Accent5 50" xfId="42760"/>
    <cellStyle name="60% - Accent5 51" xfId="42802"/>
    <cellStyle name="60% - Accent5 52" xfId="42843"/>
    <cellStyle name="60% - Accent5 53" xfId="42884"/>
    <cellStyle name="60% - Accent5 54" xfId="42924"/>
    <cellStyle name="60% - Accent5 55" xfId="42964"/>
    <cellStyle name="60% - Accent5 56" xfId="43001"/>
    <cellStyle name="60% - Accent5 57" xfId="43036"/>
    <cellStyle name="60% - Accent5 58" xfId="43069"/>
    <cellStyle name="60% - Accent5 59" xfId="43095"/>
    <cellStyle name="60% - Accent5 6" xfId="9042"/>
    <cellStyle name="60% - Accent5 60" xfId="43141"/>
    <cellStyle name="60% - Accent5 61" xfId="43181"/>
    <cellStyle name="60% - Accent5 62" xfId="8637"/>
    <cellStyle name="60% - Accent5 63" xfId="7692"/>
    <cellStyle name="60% - Accent5 64" xfId="3652"/>
    <cellStyle name="60% - Accent5 7" xfId="9106"/>
    <cellStyle name="60% - Accent5 8" xfId="9257"/>
    <cellStyle name="60% - Accent5 9" xfId="9725"/>
    <cellStyle name="60% - Accent6" xfId="42" builtinId="52" customBuiltin="1"/>
    <cellStyle name="60% - Accent6 10" xfId="9805"/>
    <cellStyle name="60% - Accent6 11" xfId="9886"/>
    <cellStyle name="60% - Accent6 11 10" xfId="30954"/>
    <cellStyle name="60% - Accent6 11 11" xfId="32725"/>
    <cellStyle name="60% - Accent6 11 2" xfId="24447"/>
    <cellStyle name="60% - Accent6 11 3" xfId="27855"/>
    <cellStyle name="60% - Accent6 11 4" xfId="28089"/>
    <cellStyle name="60% - Accent6 11 5" xfId="27774"/>
    <cellStyle name="60% - Accent6 11 6" xfId="23662"/>
    <cellStyle name="60% - Accent6 11 7" xfId="28308"/>
    <cellStyle name="60% - Accent6 11 8" xfId="23256"/>
    <cellStyle name="60% - Accent6 11 9" xfId="29170"/>
    <cellStyle name="60% - Accent6 12" xfId="9955"/>
    <cellStyle name="60% - Accent6 12 10" xfId="40976"/>
    <cellStyle name="60% - Accent6 12 11" xfId="42050"/>
    <cellStyle name="60% - Accent6 12 2" xfId="26456"/>
    <cellStyle name="60% - Accent6 12 3" xfId="29787"/>
    <cellStyle name="60% - Accent6 12 4" xfId="31562"/>
    <cellStyle name="60% - Accent6 12 5" xfId="33321"/>
    <cellStyle name="60% - Accent6 12 6" xfId="35038"/>
    <cellStyle name="60% - Accent6 12 7" xfId="36689"/>
    <cellStyle name="60% - Accent6 12 8" xfId="38258"/>
    <cellStyle name="60% - Accent6 12 9" xfId="39708"/>
    <cellStyle name="60% - Accent6 13" xfId="10039"/>
    <cellStyle name="60% - Accent6 13 10" xfId="41328"/>
    <cellStyle name="60% - Accent6 13 11" xfId="42379"/>
    <cellStyle name="60% - Accent6 13 2" xfId="26876"/>
    <cellStyle name="60% - Accent6 13 3" xfId="30204"/>
    <cellStyle name="60% - Accent6 13 4" xfId="31979"/>
    <cellStyle name="60% - Accent6 13 5" xfId="33734"/>
    <cellStyle name="60% - Accent6 13 6" xfId="35447"/>
    <cellStyle name="60% - Accent6 13 7" xfId="37091"/>
    <cellStyle name="60% - Accent6 13 8" xfId="38647"/>
    <cellStyle name="60% - Accent6 13 9" xfId="40081"/>
    <cellStyle name="60% - Accent6 14" xfId="10107"/>
    <cellStyle name="60% - Accent6 14 10" xfId="40865"/>
    <cellStyle name="60% - Accent6 14 11" xfId="41944"/>
    <cellStyle name="60% - Accent6 14 2" xfId="26325"/>
    <cellStyle name="60% - Accent6 14 3" xfId="29656"/>
    <cellStyle name="60% - Accent6 14 4" xfId="31431"/>
    <cellStyle name="60% - Accent6 14 5" xfId="33194"/>
    <cellStyle name="60% - Accent6 14 6" xfId="34912"/>
    <cellStyle name="60% - Accent6 14 7" xfId="36565"/>
    <cellStyle name="60% - Accent6 14 8" xfId="38139"/>
    <cellStyle name="60% - Accent6 14 9" xfId="39592"/>
    <cellStyle name="60% - Accent6 15" xfId="9462"/>
    <cellStyle name="60% - Accent6 15 10" xfId="20366"/>
    <cellStyle name="60% - Accent6 15 11" xfId="21209"/>
    <cellStyle name="60% - Accent6 15 12" xfId="22015"/>
    <cellStyle name="60% - Accent6 15 13" xfId="26918"/>
    <cellStyle name="60% - Accent6 15 14" xfId="30246"/>
    <cellStyle name="60% - Accent6 15 15" xfId="32021"/>
    <cellStyle name="60% - Accent6 15 16" xfId="33776"/>
    <cellStyle name="60% - Accent6 15 17" xfId="35489"/>
    <cellStyle name="60% - Accent6 15 18" xfId="37133"/>
    <cellStyle name="60% - Accent6 15 19" xfId="38689"/>
    <cellStyle name="60% - Accent6 15 2" xfId="12915"/>
    <cellStyle name="60% - Accent6 15 20" xfId="40123"/>
    <cellStyle name="60% - Accent6 15 21" xfId="41370"/>
    <cellStyle name="60% - Accent6 15 22" xfId="42421"/>
    <cellStyle name="60% - Accent6 15 3" xfId="14043"/>
    <cellStyle name="60% - Accent6 15 4" xfId="14971"/>
    <cellStyle name="60% - Accent6 15 5" xfId="15900"/>
    <cellStyle name="60% - Accent6 15 6" xfId="16829"/>
    <cellStyle name="60% - Accent6 15 7" xfId="17739"/>
    <cellStyle name="60% - Accent6 15 8" xfId="18631"/>
    <cellStyle name="60% - Accent6 15 9" xfId="19508"/>
    <cellStyle name="60% - Accent6 16" xfId="10872"/>
    <cellStyle name="60% - Accent6 16 10" xfId="20440"/>
    <cellStyle name="60% - Accent6 16 11" xfId="21276"/>
    <cellStyle name="60% - Accent6 16 12" xfId="22073"/>
    <cellStyle name="60% - Accent6 16 13" xfId="24826"/>
    <cellStyle name="60% - Accent6 16 14" xfId="28211"/>
    <cellStyle name="60% - Accent6 16 15" xfId="27585"/>
    <cellStyle name="60% - Accent6 16 16" xfId="23598"/>
    <cellStyle name="60% - Accent6 16 17" xfId="28307"/>
    <cellStyle name="60% - Accent6 16 18" xfId="23033"/>
    <cellStyle name="60% - Accent6 16 19" xfId="28391"/>
    <cellStyle name="60% - Accent6 16 2" xfId="12990"/>
    <cellStyle name="60% - Accent6 16 20" xfId="27387"/>
    <cellStyle name="60% - Accent6 16 21" xfId="29746"/>
    <cellStyle name="60% - Accent6 16 22" xfId="31521"/>
    <cellStyle name="60% - Accent6 16 3" xfId="14116"/>
    <cellStyle name="60% - Accent6 16 4" xfId="15046"/>
    <cellStyle name="60% - Accent6 16 5" xfId="15973"/>
    <cellStyle name="60% - Accent6 16 6" xfId="16903"/>
    <cellStyle name="60% - Accent6 16 7" xfId="17811"/>
    <cellStyle name="60% - Accent6 16 8" xfId="18701"/>
    <cellStyle name="60% - Accent6 16 9" xfId="19579"/>
    <cellStyle name="60% - Accent6 17" xfId="10484"/>
    <cellStyle name="60% - Accent6 17 10" xfId="20521"/>
    <cellStyle name="60% - Accent6 17 11" xfId="21357"/>
    <cellStyle name="60% - Accent6 17 12" xfId="22151"/>
    <cellStyle name="60% - Accent6 17 13" xfId="26840"/>
    <cellStyle name="60% - Accent6 17 14" xfId="30168"/>
    <cellStyle name="60% - Accent6 17 15" xfId="31943"/>
    <cellStyle name="60% - Accent6 17 16" xfId="33698"/>
    <cellStyle name="60% - Accent6 17 17" xfId="35411"/>
    <cellStyle name="60% - Accent6 17 18" xfId="37056"/>
    <cellStyle name="60% - Accent6 17 19" xfId="38613"/>
    <cellStyle name="60% - Accent6 17 2" xfId="13071"/>
    <cellStyle name="60% - Accent6 17 20" xfId="40047"/>
    <cellStyle name="60% - Accent6 17 21" xfId="41295"/>
    <cellStyle name="60% - Accent6 17 22" xfId="42346"/>
    <cellStyle name="60% - Accent6 17 3" xfId="14197"/>
    <cellStyle name="60% - Accent6 17 4" xfId="15126"/>
    <cellStyle name="60% - Accent6 17 5" xfId="16054"/>
    <cellStyle name="60% - Accent6 17 6" xfId="16984"/>
    <cellStyle name="60% - Accent6 17 7" xfId="17892"/>
    <cellStyle name="60% - Accent6 17 8" xfId="18782"/>
    <cellStyle name="60% - Accent6 17 9" xfId="19660"/>
    <cellStyle name="60% - Accent6 18" xfId="11190"/>
    <cellStyle name="60% - Accent6 18 10" xfId="20601"/>
    <cellStyle name="60% - Accent6 18 11" xfId="21438"/>
    <cellStyle name="60% - Accent6 18 12" xfId="22229"/>
    <cellStyle name="60% - Accent6 18 13" xfId="26527"/>
    <cellStyle name="60% - Accent6 18 14" xfId="29858"/>
    <cellStyle name="60% - Accent6 18 15" xfId="31633"/>
    <cellStyle name="60% - Accent6 18 16" xfId="33392"/>
    <cellStyle name="60% - Accent6 18 17" xfId="35106"/>
    <cellStyle name="60% - Accent6 18 18" xfId="36756"/>
    <cellStyle name="60% - Accent6 18 19" xfId="38324"/>
    <cellStyle name="60% - Accent6 18 2" xfId="13152"/>
    <cellStyle name="60% - Accent6 18 20" xfId="39770"/>
    <cellStyle name="60% - Accent6 18 21" xfId="41036"/>
    <cellStyle name="60% - Accent6 18 22" xfId="42107"/>
    <cellStyle name="60% - Accent6 18 3" xfId="14278"/>
    <cellStyle name="60% - Accent6 18 4" xfId="15206"/>
    <cellStyle name="60% - Accent6 18 5" xfId="16135"/>
    <cellStyle name="60% - Accent6 18 6" xfId="17065"/>
    <cellStyle name="60% - Accent6 18 7" xfId="17973"/>
    <cellStyle name="60% - Accent6 18 8" xfId="18863"/>
    <cellStyle name="60% - Accent6 18 9" xfId="19741"/>
    <cellStyle name="60% - Accent6 19" xfId="11382"/>
    <cellStyle name="60% - Accent6 19 10" xfId="20678"/>
    <cellStyle name="60% - Accent6 19 11" xfId="21516"/>
    <cellStyle name="60% - Accent6 19 12" xfId="22304"/>
    <cellStyle name="60% - Accent6 19 13" xfId="26734"/>
    <cellStyle name="60% - Accent6 19 14" xfId="30063"/>
    <cellStyle name="60% - Accent6 19 15" xfId="31838"/>
    <cellStyle name="60% - Accent6 19 16" xfId="33594"/>
    <cellStyle name="60% - Accent6 19 17" xfId="35307"/>
    <cellStyle name="60% - Accent6 19 18" xfId="36953"/>
    <cellStyle name="60% - Accent6 19 19" xfId="38514"/>
    <cellStyle name="60% - Accent6 19 2" xfId="13230"/>
    <cellStyle name="60% - Accent6 19 20" xfId="39954"/>
    <cellStyle name="60% - Accent6 19 21" xfId="41207"/>
    <cellStyle name="60% - Accent6 19 22" xfId="42263"/>
    <cellStyle name="60% - Accent6 19 3" xfId="14355"/>
    <cellStyle name="60% - Accent6 19 4" xfId="15283"/>
    <cellStyle name="60% - Accent6 19 5" xfId="16213"/>
    <cellStyle name="60% - Accent6 19 6" xfId="17143"/>
    <cellStyle name="60% - Accent6 19 7" xfId="18051"/>
    <cellStyle name="60% - Accent6 19 8" xfId="18941"/>
    <cellStyle name="60% - Accent6 19 9" xfId="19818"/>
    <cellStyle name="60% - Accent6 2" xfId="3967"/>
    <cellStyle name="60% - Accent6 2 10" xfId="12251"/>
    <cellStyle name="60% - Accent6 2 11" xfId="11172"/>
    <cellStyle name="60% - Accent6 2 12" xfId="12042"/>
    <cellStyle name="60% - Accent6 2 13" xfId="11831"/>
    <cellStyle name="60% - Accent6 2 14" xfId="14047"/>
    <cellStyle name="60% - Accent6 2 15" xfId="14882"/>
    <cellStyle name="60% - Accent6 2 16" xfId="16725"/>
    <cellStyle name="60% - Accent6 2 17" xfId="17640"/>
    <cellStyle name="60% - Accent6 2 18" xfId="18542"/>
    <cellStyle name="60% - Accent6 2 19" xfId="19420"/>
    <cellStyle name="60% - Accent6 2 2" xfId="9379"/>
    <cellStyle name="60% - Accent6 2 2 2" xfId="9560"/>
    <cellStyle name="60% - Accent6 2 20" xfId="19513"/>
    <cellStyle name="60% - Accent6 2 21" xfId="17638"/>
    <cellStyle name="60% - Accent6 2 22" xfId="21963"/>
    <cellStyle name="60% - Accent6 2 23" xfId="23005"/>
    <cellStyle name="60% - Accent6 2 24" xfId="22884"/>
    <cellStyle name="60% - Accent6 2 25" xfId="28746"/>
    <cellStyle name="60% - Accent6 2 26" xfId="30534"/>
    <cellStyle name="60% - Accent6 2 27" xfId="32309"/>
    <cellStyle name="60% - Accent6 2 28" xfId="34061"/>
    <cellStyle name="60% - Accent6 2 29" xfId="35771"/>
    <cellStyle name="60% - Accent6 2 3" xfId="10319"/>
    <cellStyle name="60% - Accent6 2 30" xfId="37409"/>
    <cellStyle name="60% - Accent6 2 31" xfId="38960"/>
    <cellStyle name="60% - Accent6 2 32" xfId="40380"/>
    <cellStyle name="60% - Accent6 2 33" xfId="8713"/>
    <cellStyle name="60% - Accent6 2 4" xfId="10204"/>
    <cellStyle name="60% - Accent6 2 5" xfId="10634"/>
    <cellStyle name="60% - Accent6 2 6" xfId="11170"/>
    <cellStyle name="60% - Accent6 2 7" xfId="11363"/>
    <cellStyle name="60% - Accent6 2 8" xfId="11554"/>
    <cellStyle name="60% - Accent6 2 9" xfId="11733"/>
    <cellStyle name="60% - Accent6 20" xfId="11572"/>
    <cellStyle name="60% - Accent6 20 10" xfId="20758"/>
    <cellStyle name="60% - Accent6 20 11" xfId="21596"/>
    <cellStyle name="60% - Accent6 20 12" xfId="22382"/>
    <cellStyle name="60% - Accent6 20 13" xfId="26966"/>
    <cellStyle name="60% - Accent6 20 14" xfId="30295"/>
    <cellStyle name="60% - Accent6 20 15" xfId="32070"/>
    <cellStyle name="60% - Accent6 20 16" xfId="33825"/>
    <cellStyle name="60% - Accent6 20 17" xfId="35538"/>
    <cellStyle name="60% - Accent6 20 18" xfId="37182"/>
    <cellStyle name="60% - Accent6 20 19" xfId="38738"/>
    <cellStyle name="60% - Accent6 20 2" xfId="13311"/>
    <cellStyle name="60% - Accent6 20 20" xfId="40172"/>
    <cellStyle name="60% - Accent6 20 21" xfId="41415"/>
    <cellStyle name="60% - Accent6 20 22" xfId="42464"/>
    <cellStyle name="60% - Accent6 20 3" xfId="14435"/>
    <cellStyle name="60% - Accent6 20 4" xfId="15364"/>
    <cellStyle name="60% - Accent6 20 5" xfId="16293"/>
    <cellStyle name="60% - Accent6 20 6" xfId="17223"/>
    <cellStyle name="60% - Accent6 20 7" xfId="18131"/>
    <cellStyle name="60% - Accent6 20 8" xfId="19021"/>
    <cellStyle name="60% - Accent6 20 9" xfId="19898"/>
    <cellStyle name="60% - Accent6 21" xfId="11753"/>
    <cellStyle name="60% - Accent6 21 10" xfId="20837"/>
    <cellStyle name="60% - Accent6 21 11" xfId="21676"/>
    <cellStyle name="60% - Accent6 21 12" xfId="22460"/>
    <cellStyle name="60% - Accent6 21 13" xfId="26659"/>
    <cellStyle name="60% - Accent6 21 14" xfId="29988"/>
    <cellStyle name="60% - Accent6 21 15" xfId="31763"/>
    <cellStyle name="60% - Accent6 21 16" xfId="33521"/>
    <cellStyle name="60% - Accent6 21 17" xfId="35235"/>
    <cellStyle name="60% - Accent6 21 18" xfId="36882"/>
    <cellStyle name="60% - Accent6 21 19" xfId="38445"/>
    <cellStyle name="60% - Accent6 21 2" xfId="13391"/>
    <cellStyle name="60% - Accent6 21 20" xfId="39887"/>
    <cellStyle name="60% - Accent6 21 21" xfId="41141"/>
    <cellStyle name="60% - Accent6 21 22" xfId="42201"/>
    <cellStyle name="60% - Accent6 21 3" xfId="14515"/>
    <cellStyle name="60% - Accent6 21 4" xfId="15442"/>
    <cellStyle name="60% - Accent6 21 5" xfId="16373"/>
    <cellStyle name="60% - Accent6 21 6" xfId="17303"/>
    <cellStyle name="60% - Accent6 21 7" xfId="18211"/>
    <cellStyle name="60% - Accent6 21 8" xfId="19101"/>
    <cellStyle name="60% - Accent6 21 9" xfId="19978"/>
    <cellStyle name="60% - Accent6 22" xfId="10525"/>
    <cellStyle name="60% - Accent6 22 10" xfId="20915"/>
    <cellStyle name="60% - Accent6 22 11" xfId="21756"/>
    <cellStyle name="60% - Accent6 22 12" xfId="22538"/>
    <cellStyle name="60% - Accent6 22 13" xfId="27002"/>
    <cellStyle name="60% - Accent6 22 14" xfId="30331"/>
    <cellStyle name="60% - Accent6 22 15" xfId="32106"/>
    <cellStyle name="60% - Accent6 22 16" xfId="33861"/>
    <cellStyle name="60% - Accent6 22 17" xfId="35574"/>
    <cellStyle name="60% - Accent6 22 18" xfId="37218"/>
    <cellStyle name="60% - Accent6 22 19" xfId="38774"/>
    <cellStyle name="60% - Accent6 22 2" xfId="13471"/>
    <cellStyle name="60% - Accent6 22 20" xfId="40207"/>
    <cellStyle name="60% - Accent6 22 21" xfId="41450"/>
    <cellStyle name="60% - Accent6 22 22" xfId="42499"/>
    <cellStyle name="60% - Accent6 22 3" xfId="14594"/>
    <cellStyle name="60% - Accent6 22 4" xfId="15522"/>
    <cellStyle name="60% - Accent6 22 5" xfId="16453"/>
    <cellStyle name="60% - Accent6 22 6" xfId="17383"/>
    <cellStyle name="60% - Accent6 22 7" xfId="18291"/>
    <cellStyle name="60% - Accent6 22 8" xfId="19181"/>
    <cellStyle name="60% - Accent6 22 9" xfId="20057"/>
    <cellStyle name="60% - Accent6 23" xfId="12060"/>
    <cellStyle name="60% - Accent6 23 10" xfId="20990"/>
    <cellStyle name="60% - Accent6 23 11" xfId="21829"/>
    <cellStyle name="60% - Accent6 23 12" xfId="22610"/>
    <cellStyle name="60% - Accent6 23 2" xfId="13551"/>
    <cellStyle name="60% - Accent6 23 3" xfId="14670"/>
    <cellStyle name="60% - Accent6 23 4" xfId="15601"/>
    <cellStyle name="60% - Accent6 23 5" xfId="16530"/>
    <cellStyle name="60% - Accent6 23 6" xfId="17459"/>
    <cellStyle name="60% - Accent6 23 7" xfId="18366"/>
    <cellStyle name="60% - Accent6 23 8" xfId="19255"/>
    <cellStyle name="60% - Accent6 23 9" xfId="20129"/>
    <cellStyle name="60% - Accent6 24" xfId="11667"/>
    <cellStyle name="60% - Accent6 24 10" xfId="21057"/>
    <cellStyle name="60% - Accent6 24 11" xfId="21892"/>
    <cellStyle name="60% - Accent6 24 12" xfId="22673"/>
    <cellStyle name="60% - Accent6 24 2" xfId="13631"/>
    <cellStyle name="60% - Accent6 24 3" xfId="14748"/>
    <cellStyle name="60% - Accent6 24 4" xfId="15674"/>
    <cellStyle name="60% - Accent6 24 5" xfId="16603"/>
    <cellStyle name="60% - Accent6 24 6" xfId="17534"/>
    <cellStyle name="60% - Accent6 24 7" xfId="18437"/>
    <cellStyle name="60% - Accent6 24 8" xfId="19322"/>
    <cellStyle name="60% - Accent6 24 9" xfId="20200"/>
    <cellStyle name="60% - Accent6 25" xfId="13705"/>
    <cellStyle name="60% - Accent6 26" xfId="13770"/>
    <cellStyle name="60% - Accent6 27" xfId="11862"/>
    <cellStyle name="60% - Accent6 28" xfId="11485"/>
    <cellStyle name="60% - Accent6 29" xfId="10731"/>
    <cellStyle name="60% - Accent6 3" xfId="8784"/>
    <cellStyle name="60% - Accent6 30" xfId="11652"/>
    <cellStyle name="60% - Accent6 31" xfId="16720"/>
    <cellStyle name="60% - Accent6 32" xfId="17636"/>
    <cellStyle name="60% - Accent6 33" xfId="18538"/>
    <cellStyle name="60% - Accent6 34" xfId="17621"/>
    <cellStyle name="60% - Accent6 35" xfId="13937"/>
    <cellStyle name="60% - Accent6 36" xfId="16733"/>
    <cellStyle name="60% - Accent6 37" xfId="22809"/>
    <cellStyle name="60% - Accent6 38" xfId="23516"/>
    <cellStyle name="60% - Accent6 39" xfId="28488"/>
    <cellStyle name="60% - Accent6 4" xfId="8885"/>
    <cellStyle name="60% - Accent6 40" xfId="27225"/>
    <cellStyle name="60% - Accent6 41" xfId="23201"/>
    <cellStyle name="60% - Accent6 42" xfId="28302"/>
    <cellStyle name="60% - Accent6 43" xfId="26581"/>
    <cellStyle name="60% - Accent6 44" xfId="29434"/>
    <cellStyle name="60% - Accent6 45" xfId="31211"/>
    <cellStyle name="60% - Accent6 46" xfId="32976"/>
    <cellStyle name="60% - Accent6 47" xfId="42598"/>
    <cellStyle name="60% - Accent6 48" xfId="42672"/>
    <cellStyle name="60% - Accent6 49" xfId="42717"/>
    <cellStyle name="60% - Accent6 5" xfId="8963"/>
    <cellStyle name="60% - Accent6 50" xfId="42759"/>
    <cellStyle name="60% - Accent6 51" xfId="42801"/>
    <cellStyle name="60% - Accent6 52" xfId="42842"/>
    <cellStyle name="60% - Accent6 53" xfId="42883"/>
    <cellStyle name="60% - Accent6 54" xfId="42923"/>
    <cellStyle name="60% - Accent6 55" xfId="42963"/>
    <cellStyle name="60% - Accent6 56" xfId="43000"/>
    <cellStyle name="60% - Accent6 57" xfId="43035"/>
    <cellStyle name="60% - Accent6 58" xfId="43068"/>
    <cellStyle name="60% - Accent6 59" xfId="43094"/>
    <cellStyle name="60% - Accent6 6" xfId="9041"/>
    <cellStyle name="60% - Accent6 60" xfId="43142"/>
    <cellStyle name="60% - Accent6 61" xfId="43180"/>
    <cellStyle name="60% - Accent6 62" xfId="8638"/>
    <cellStyle name="60% - Accent6 63" xfId="7693"/>
    <cellStyle name="60% - Accent6 64" xfId="3653"/>
    <cellStyle name="60% - Accent6 7" xfId="9105"/>
    <cellStyle name="60% - Accent6 8" xfId="9258"/>
    <cellStyle name="60% - Accent6 9" xfId="9724"/>
    <cellStyle name="60% - Акцент1" xfId="7815"/>
    <cellStyle name="60% - Акцент2" xfId="7816"/>
    <cellStyle name="60% - Акцент3" xfId="7817"/>
    <cellStyle name="60% - Акцент4" xfId="7818"/>
    <cellStyle name="60% - Акцент5" xfId="7819"/>
    <cellStyle name="60% - Акцент6" xfId="7820"/>
    <cellStyle name="60% - 强调文字颜色 1 10" xfId="8387"/>
    <cellStyle name="60% - 强调文字颜色 1 11" xfId="8429"/>
    <cellStyle name="60% - 强调文字颜色 1 12" xfId="8471"/>
    <cellStyle name="60% - 强调文字颜色 1 13" xfId="8513"/>
    <cellStyle name="60% - 强调文字颜色 1 14" xfId="8555"/>
    <cellStyle name="60% - 强调文字颜色 1 15" xfId="43240"/>
    <cellStyle name="60% - 强调文字颜色 1 16" xfId="43282"/>
    <cellStyle name="60% - 强调文字颜色 1 2" xfId="8052"/>
    <cellStyle name="60% - 强调文字颜色 1 3" xfId="8094"/>
    <cellStyle name="60% - 强调文字颜色 1 4" xfId="8136"/>
    <cellStyle name="60% - 强调文字颜色 1 5" xfId="8178"/>
    <cellStyle name="60% - 强调文字颜色 1 6" xfId="8219"/>
    <cellStyle name="60% - 强调文字颜色 1 7" xfId="8261"/>
    <cellStyle name="60% - 强调文字颜色 1 8" xfId="8303"/>
    <cellStyle name="60% - 强调文字颜色 1 9" xfId="8345"/>
    <cellStyle name="60% - 强调文字颜色 2 10" xfId="8391"/>
    <cellStyle name="60% - 强调文字颜色 2 11" xfId="8433"/>
    <cellStyle name="60% - 强调文字颜色 2 12" xfId="8475"/>
    <cellStyle name="60% - 强调文字颜色 2 13" xfId="8517"/>
    <cellStyle name="60% - 强调文字颜色 2 14" xfId="8559"/>
    <cellStyle name="60% - 强调文字颜色 2 15" xfId="43244"/>
    <cellStyle name="60% - 强调文字颜色 2 16" xfId="43286"/>
    <cellStyle name="60% - 强调文字颜色 2 2" xfId="8056"/>
    <cellStyle name="60% - 强调文字颜色 2 3" xfId="8098"/>
    <cellStyle name="60% - 强调文字颜色 2 4" xfId="8140"/>
    <cellStyle name="60% - 强调文字颜色 2 5" xfId="8182"/>
    <cellStyle name="60% - 强调文字颜色 2 6" xfId="8223"/>
    <cellStyle name="60% - 强调文字颜色 2 7" xfId="8265"/>
    <cellStyle name="60% - 强调文字颜色 2 8" xfId="8307"/>
    <cellStyle name="60% - 强调文字颜色 2 9" xfId="8349"/>
    <cellStyle name="60% - 强调文字颜色 3 10" xfId="8395"/>
    <cellStyle name="60% - 强调文字颜色 3 11" xfId="8437"/>
    <cellStyle name="60% - 强调文字颜色 3 12" xfId="8479"/>
    <cellStyle name="60% - 强调文字颜色 3 13" xfId="8521"/>
    <cellStyle name="60% - 强调文字颜色 3 14" xfId="8563"/>
    <cellStyle name="60% - 强调文字颜色 3 15" xfId="43248"/>
    <cellStyle name="60% - 强调文字颜色 3 16" xfId="43290"/>
    <cellStyle name="60% - 强调文字颜色 3 2" xfId="8060"/>
    <cellStyle name="60% - 强调文字颜色 3 3" xfId="8102"/>
    <cellStyle name="60% - 强调文字颜色 3 4" xfId="8144"/>
    <cellStyle name="60% - 强调文字颜色 3 5" xfId="8186"/>
    <cellStyle name="60% - 强调文字颜色 3 6" xfId="8227"/>
    <cellStyle name="60% - 强调文字颜色 3 7" xfId="8269"/>
    <cellStyle name="60% - 强调文字颜色 3 8" xfId="8311"/>
    <cellStyle name="60% - 强调文字颜色 3 9" xfId="8353"/>
    <cellStyle name="60% - 强调文字颜色 4 10" xfId="8399"/>
    <cellStyle name="60% - 强调文字颜色 4 11" xfId="8441"/>
    <cellStyle name="60% - 强调文字颜色 4 12" xfId="8483"/>
    <cellStyle name="60% - 强调文字颜色 4 13" xfId="8525"/>
    <cellStyle name="60% - 强调文字颜色 4 14" xfId="8567"/>
    <cellStyle name="60% - 强调文字颜色 4 15" xfId="43252"/>
    <cellStyle name="60% - 强调文字颜色 4 16" xfId="43294"/>
    <cellStyle name="60% - 强调文字颜色 4 2" xfId="8064"/>
    <cellStyle name="60% - 强调文字颜色 4 3" xfId="8106"/>
    <cellStyle name="60% - 强调文字颜色 4 4" xfId="8148"/>
    <cellStyle name="60% - 强调文字颜色 4 5" xfId="8190"/>
    <cellStyle name="60% - 强调文字颜色 4 6" xfId="8231"/>
    <cellStyle name="60% - 强调文字颜色 4 7" xfId="8273"/>
    <cellStyle name="60% - 强调文字颜色 4 8" xfId="8315"/>
    <cellStyle name="60% - 强调文字颜色 4 9" xfId="8357"/>
    <cellStyle name="60% - 强调文字颜色 5 10" xfId="8403"/>
    <cellStyle name="60% - 强调文字颜色 5 11" xfId="8445"/>
    <cellStyle name="60% - 强调文字颜色 5 12" xfId="8487"/>
    <cellStyle name="60% - 强调文字颜色 5 13" xfId="8529"/>
    <cellStyle name="60% - 强调文字颜色 5 14" xfId="8571"/>
    <cellStyle name="60% - 强调文字颜色 5 15" xfId="43256"/>
    <cellStyle name="60% - 强调文字颜色 5 16" xfId="43298"/>
    <cellStyle name="60% - 强调文字颜色 5 2" xfId="8068"/>
    <cellStyle name="60% - 强调文字颜色 5 3" xfId="8110"/>
    <cellStyle name="60% - 强调文字颜色 5 4" xfId="8152"/>
    <cellStyle name="60% - 强调文字颜色 5 5" xfId="8194"/>
    <cellStyle name="60% - 强调文字颜色 5 6" xfId="8235"/>
    <cellStyle name="60% - 强调文字颜色 5 7" xfId="8277"/>
    <cellStyle name="60% - 强调文字颜色 5 8" xfId="8319"/>
    <cellStyle name="60% - 强调文字颜色 5 9" xfId="8361"/>
    <cellStyle name="60% - 强调文字颜色 6 10" xfId="8407"/>
    <cellStyle name="60% - 强调文字颜色 6 11" xfId="8449"/>
    <cellStyle name="60% - 强调文字颜色 6 12" xfId="8491"/>
    <cellStyle name="60% - 强调文字颜色 6 13" xfId="8533"/>
    <cellStyle name="60% - 强调文字颜色 6 14" xfId="8575"/>
    <cellStyle name="60% - 强调文字颜色 6 15" xfId="43260"/>
    <cellStyle name="60% - 强调文字颜色 6 16" xfId="43302"/>
    <cellStyle name="60% - 强调文字颜色 6 2" xfId="8072"/>
    <cellStyle name="60% - 强调文字颜色 6 3" xfId="8114"/>
    <cellStyle name="60% - 强调文字颜色 6 4" xfId="8156"/>
    <cellStyle name="60% - 强调文字颜色 6 5" xfId="8198"/>
    <cellStyle name="60% - 强调文字颜色 6 6" xfId="8239"/>
    <cellStyle name="60% - 强调文字颜色 6 7" xfId="8281"/>
    <cellStyle name="60% - 强调文字颜色 6 8" xfId="8323"/>
    <cellStyle name="60% - 强调文字颜色 6 9" xfId="8365"/>
    <cellStyle name="60% - 輔色1 10" xfId="12330"/>
    <cellStyle name="60% - 輔色1 10 10" xfId="27336"/>
    <cellStyle name="60% - 輔色1 10 11" xfId="24839"/>
    <cellStyle name="60% - 輔色1 10 2" xfId="24448"/>
    <cellStyle name="60% - 輔色1 10 3" xfId="27856"/>
    <cellStyle name="60% - 輔色1 10 4" xfId="28088"/>
    <cellStyle name="60% - 輔色1 10 5" xfId="27775"/>
    <cellStyle name="60% - 輔色1 10 6" xfId="23336"/>
    <cellStyle name="60% - 輔色1 10 7" xfId="28547"/>
    <cellStyle name="60% - 輔色1 10 8" xfId="22795"/>
    <cellStyle name="60% - 輔色1 10 9" xfId="28421"/>
    <cellStyle name="60% - 輔色1 11" xfId="12518"/>
    <cellStyle name="60% - 輔色1 11 10" xfId="34848"/>
    <cellStyle name="60% - 輔色1 11 11" xfId="36501"/>
    <cellStyle name="60% - 輔色1 11 2" xfId="24449"/>
    <cellStyle name="60% - 輔色1 11 3" xfId="27857"/>
    <cellStyle name="60% - 輔色1 11 4" xfId="28087"/>
    <cellStyle name="60% - 輔色1 11 5" xfId="27776"/>
    <cellStyle name="60% - 輔色1 11 6" xfId="23038"/>
    <cellStyle name="60% - 輔色1 11 7" xfId="29591"/>
    <cellStyle name="60% - 輔色1 11 8" xfId="31367"/>
    <cellStyle name="60% - 輔色1 11 9" xfId="33130"/>
    <cellStyle name="60% - 輔色1 12" xfId="12577"/>
    <cellStyle name="60% - 輔色1 12 10" xfId="23481"/>
    <cellStyle name="60% - 輔色1 12 11" xfId="28743"/>
    <cellStyle name="60% - 輔色1 12 2" xfId="24450"/>
    <cellStyle name="60% - 輔色1 12 3" xfId="27858"/>
    <cellStyle name="60% - 輔色1 12 4" xfId="28068"/>
    <cellStyle name="60% - 輔色1 12 5" xfId="27815"/>
    <cellStyle name="60% - 輔色1 12 6" xfId="28151"/>
    <cellStyle name="60% - 輔色1 12 7" xfId="27687"/>
    <cellStyle name="60% - 輔色1 12 8" xfId="28202"/>
    <cellStyle name="60% - 輔色1 12 9" xfId="27595"/>
    <cellStyle name="60% - 輔色1 13" xfId="12052"/>
    <cellStyle name="60% - 輔色1 13 10" xfId="30731"/>
    <cellStyle name="60% - 輔色1 13 11" xfId="32504"/>
    <cellStyle name="60% - 輔色1 13 2" xfId="24451"/>
    <cellStyle name="60% - 輔色1 13 3" xfId="27859"/>
    <cellStyle name="60% - 輔色1 13 4" xfId="28067"/>
    <cellStyle name="60% - 輔色1 13 5" xfId="27816"/>
    <cellStyle name="60% - 輔色1 13 6" xfId="28150"/>
    <cellStyle name="60% - 輔色1 13 7" xfId="27688"/>
    <cellStyle name="60% - 輔色1 13 8" xfId="23634"/>
    <cellStyle name="60% - 輔色1 13 9" xfId="28945"/>
    <cellStyle name="60% - 輔色1 14" xfId="12857"/>
    <cellStyle name="60% - 輔色1 14 10" xfId="27407"/>
    <cellStyle name="60% - 輔色1 14 11" xfId="23006"/>
    <cellStyle name="60% - 輔色1 14 2" xfId="24452"/>
    <cellStyle name="60% - 輔色1 14 3" xfId="27860"/>
    <cellStyle name="60% - 輔色1 14 4" xfId="28065"/>
    <cellStyle name="60% - 輔色1 14 5" xfId="27818"/>
    <cellStyle name="60% - 輔色1 14 6" xfId="28148"/>
    <cellStyle name="60% - 輔色1 14 7" xfId="27690"/>
    <cellStyle name="60% - 輔色1 14 8" xfId="23530"/>
    <cellStyle name="60% - 輔色1 14 9" xfId="28373"/>
    <cellStyle name="60% - 輔色1 15" xfId="14052"/>
    <cellStyle name="60% - 輔色1 15 10" xfId="31071"/>
    <cellStyle name="60% - 輔色1 15 11" xfId="32840"/>
    <cellStyle name="60% - 輔色1 15 2" xfId="24453"/>
    <cellStyle name="60% - 輔色1 15 3" xfId="27861"/>
    <cellStyle name="60% - 輔色1 15 4" xfId="28064"/>
    <cellStyle name="60% - 輔色1 15 5" xfId="27819"/>
    <cellStyle name="60% - 輔色1 15 6" xfId="28147"/>
    <cellStyle name="60% - 輔色1 15 7" xfId="27692"/>
    <cellStyle name="60% - 輔色1 15 8" xfId="23204"/>
    <cellStyle name="60% - 輔色1 15 9" xfId="29289"/>
    <cellStyle name="60% - 輔色1 16" xfId="12240"/>
    <cellStyle name="60% - 輔色1 16 10" xfId="27469"/>
    <cellStyle name="60% - 輔色1 16 11" xfId="26412"/>
    <cellStyle name="60% - 輔色1 16 2" xfId="24454"/>
    <cellStyle name="60% - 輔色1 16 3" xfId="27862"/>
    <cellStyle name="60% - 輔色1 16 4" xfId="28063"/>
    <cellStyle name="60% - 輔色1 16 5" xfId="27820"/>
    <cellStyle name="60% - 輔色1 16 6" xfId="28128"/>
    <cellStyle name="60% - 輔色1 16 7" xfId="27712"/>
    <cellStyle name="60% - 輔色1 16 8" xfId="23595"/>
    <cellStyle name="60% - 輔色1 16 9" xfId="28332"/>
    <cellStyle name="60% - 輔色1 17" xfId="12701"/>
    <cellStyle name="60% - 輔色1 17 10" xfId="30730"/>
    <cellStyle name="60% - 輔色1 17 11" xfId="32503"/>
    <cellStyle name="60% - 輔色1 17 2" xfId="24455"/>
    <cellStyle name="60% - 輔色1 17 3" xfId="27863"/>
    <cellStyle name="60% - 輔色1 17 4" xfId="28062"/>
    <cellStyle name="60% - 輔色1 17 5" xfId="27821"/>
    <cellStyle name="60% - 輔色1 17 6" xfId="28127"/>
    <cellStyle name="60% - 輔色1 17 7" xfId="27714"/>
    <cellStyle name="60% - 輔色1 17 8" xfId="23565"/>
    <cellStyle name="60% - 輔色1 17 9" xfId="28944"/>
    <cellStyle name="60% - 輔色1 18" xfId="15786"/>
    <cellStyle name="60% - 輔色1 18 10" xfId="31039"/>
    <cellStyle name="60% - 輔色1 18 11" xfId="32808"/>
    <cellStyle name="60% - 輔色1 18 2" xfId="24456"/>
    <cellStyle name="60% - 輔色1 18 3" xfId="27864"/>
    <cellStyle name="60% - 輔色1 18 4" xfId="28061"/>
    <cellStyle name="60% - 輔色1 18 5" xfId="27823"/>
    <cellStyle name="60% - 輔色1 18 6" xfId="28124"/>
    <cellStyle name="60% - 輔色1 18 7" xfId="27717"/>
    <cellStyle name="60% - 輔色1 18 8" xfId="23438"/>
    <cellStyle name="60% - 輔色1 18 9" xfId="29257"/>
    <cellStyle name="60% - 輔色1 19" xfId="12266"/>
    <cellStyle name="60% - 輔色1 19 10" xfId="31185"/>
    <cellStyle name="60% - 輔色1 19 11" xfId="32952"/>
    <cellStyle name="60% - 輔色1 19 2" xfId="24457"/>
    <cellStyle name="60% - 輔色1 19 3" xfId="27865"/>
    <cellStyle name="60% - 輔色1 19 4" xfId="28060"/>
    <cellStyle name="60% - 輔色1 19 5" xfId="27824"/>
    <cellStyle name="60% - 輔色1 19 6" xfId="28123"/>
    <cellStyle name="60% - 輔色1 19 7" xfId="27718"/>
    <cellStyle name="60% - 輔色1 19 8" xfId="23674"/>
    <cellStyle name="60% - 輔色1 19 9" xfId="29408"/>
    <cellStyle name="60% - 輔色1 2" xfId="8581"/>
    <cellStyle name="60% - 輔色1 2 10" xfId="31175"/>
    <cellStyle name="60% - 輔色1 2 11" xfId="32942"/>
    <cellStyle name="60% - 輔色1 2 12" xfId="9178"/>
    <cellStyle name="60% - 輔色1 2 2" xfId="9386"/>
    <cellStyle name="60% - 輔色1 2 2 2" xfId="24458"/>
    <cellStyle name="60% - 輔色1 2 3" xfId="27866"/>
    <cellStyle name="60% - 輔色1 2 4" xfId="28059"/>
    <cellStyle name="60% - 輔色1 2 5" xfId="27825"/>
    <cellStyle name="60% - 輔色1 2 6" xfId="28122"/>
    <cellStyle name="60% - 輔色1 2 7" xfId="27719"/>
    <cellStyle name="60% - 輔色1 2 8" xfId="26787"/>
    <cellStyle name="60% - 輔色1 2 9" xfId="29398"/>
    <cellStyle name="60% - 輔色1 20" xfId="14051"/>
    <cellStyle name="60% - 輔色1 20 10" xfId="30464"/>
    <cellStyle name="60% - 輔色1 20 11" xfId="32239"/>
    <cellStyle name="60% - 輔色1 20 2" xfId="24459"/>
    <cellStyle name="60% - 輔色1 20 3" xfId="27867"/>
    <cellStyle name="60% - 輔色1 20 4" xfId="28058"/>
    <cellStyle name="60% - 輔色1 20 5" xfId="27826"/>
    <cellStyle name="60% - 輔色1 20 6" xfId="28121"/>
    <cellStyle name="60% - 輔色1 20 7" xfId="27720"/>
    <cellStyle name="60% - 輔色1 20 8" xfId="23556"/>
    <cellStyle name="60% - 輔色1 20 9" xfId="28675"/>
    <cellStyle name="60% - 輔色1 21" xfId="11671"/>
    <cellStyle name="60% - 輔色1 21 10" xfId="27470"/>
    <cellStyle name="60% - 輔色1 21 11" xfId="23327"/>
    <cellStyle name="60% - 輔色1 21 2" xfId="24460"/>
    <cellStyle name="60% - 輔色1 21 3" xfId="27868"/>
    <cellStyle name="60% - 輔色1 21 4" xfId="28057"/>
    <cellStyle name="60% - 輔色1 21 5" xfId="27827"/>
    <cellStyle name="60% - 輔色1 21 6" xfId="28120"/>
    <cellStyle name="60% - 輔色1 21 7" xfId="27721"/>
    <cellStyle name="60% - 輔色1 21 8" xfId="23521"/>
    <cellStyle name="60% - 輔色1 21 9" xfId="28331"/>
    <cellStyle name="60% - 輔色1 22" xfId="18566"/>
    <cellStyle name="60% - 輔色1 22 10" xfId="30729"/>
    <cellStyle name="60% - 輔色1 22 11" xfId="32502"/>
    <cellStyle name="60% - 輔色1 22 2" xfId="24461"/>
    <cellStyle name="60% - 輔色1 22 3" xfId="27869"/>
    <cellStyle name="60% - 輔色1 22 4" xfId="28056"/>
    <cellStyle name="60% - 輔色1 22 5" xfId="27828"/>
    <cellStyle name="60% - 輔色1 22 6" xfId="28119"/>
    <cellStyle name="60% - 輔色1 22 7" xfId="27722"/>
    <cellStyle name="60% - 輔色1 22 8" xfId="23487"/>
    <cellStyle name="60% - 輔色1 22 9" xfId="28943"/>
    <cellStyle name="60% - 輔色1 23" xfId="22815"/>
    <cellStyle name="60% - 輔色1 23 10" xfId="31038"/>
    <cellStyle name="60% - 輔色1 23 11" xfId="32807"/>
    <cellStyle name="60% - 輔色1 23 2" xfId="24462"/>
    <cellStyle name="60% - 輔色1 23 3" xfId="27870"/>
    <cellStyle name="60% - 輔色1 23 4" xfId="28054"/>
    <cellStyle name="60% - 輔色1 23 5" xfId="27830"/>
    <cellStyle name="60% - 輔色1 23 6" xfId="28117"/>
    <cellStyle name="60% - 輔色1 23 7" xfId="27725"/>
    <cellStyle name="60% - 輔色1 23 8" xfId="23348"/>
    <cellStyle name="60% - 輔色1 23 9" xfId="29256"/>
    <cellStyle name="60% - 輔色1 24" xfId="24463"/>
    <cellStyle name="60% - 輔色1 25" xfId="24464"/>
    <cellStyle name="60% - 輔色1 26" xfId="24465"/>
    <cellStyle name="60% - 輔色1 27" xfId="24466"/>
    <cellStyle name="60% - 輔色1 28" xfId="24467"/>
    <cellStyle name="60% - 輔色1 29" xfId="24468"/>
    <cellStyle name="60% - 輔色1 3" xfId="9220"/>
    <cellStyle name="60% - 輔色1 3 10" xfId="30906"/>
    <cellStyle name="60% - 輔色1 3 11" xfId="32677"/>
    <cellStyle name="60% - 輔色1 3 2" xfId="9456"/>
    <cellStyle name="60% - 輔色1 3 2 2" xfId="24469"/>
    <cellStyle name="60% - 輔色1 3 3" xfId="27877"/>
    <cellStyle name="60% - 輔色1 3 4" xfId="28047"/>
    <cellStyle name="60% - 輔色1 3 5" xfId="27838"/>
    <cellStyle name="60% - 輔色1 3 6" xfId="28108"/>
    <cellStyle name="60% - 輔色1 3 7" xfId="27753"/>
    <cellStyle name="60% - 輔色1 3 8" xfId="23409"/>
    <cellStyle name="60% - 輔色1 3 9" xfId="29122"/>
    <cellStyle name="60% - 輔色1 30" xfId="24470"/>
    <cellStyle name="60% - 輔色1 31" xfId="24471"/>
    <cellStyle name="60% - 輔色1 32" xfId="24472"/>
    <cellStyle name="60% - 輔色1 33" xfId="24473"/>
    <cellStyle name="60% - 輔色1 34" xfId="24474"/>
    <cellStyle name="60% - 輔色1 35" xfId="24475"/>
    <cellStyle name="60% - 輔色1 36" xfId="24476"/>
    <cellStyle name="60% - 輔色1 37" xfId="24477"/>
    <cellStyle name="60% - 輔色1 38" xfId="24478"/>
    <cellStyle name="60% - 輔色1 39" xfId="24479"/>
    <cellStyle name="60% - 輔色1 4" xfId="11224"/>
    <cellStyle name="60% - 輔色1 4 10" xfId="36004"/>
    <cellStyle name="60% - 輔色1 4 11" xfId="37625"/>
    <cellStyle name="60% - 輔色1 4 2" xfId="24480"/>
    <cellStyle name="60% - 輔色1 4 3" xfId="27888"/>
    <cellStyle name="60% - 輔色1 4 4" xfId="28035"/>
    <cellStyle name="60% - 輔色1 4 5" xfId="23439"/>
    <cellStyle name="60% - 輔色1 4 6" xfId="29014"/>
    <cellStyle name="60% - 輔色1 4 7" xfId="30799"/>
    <cellStyle name="60% - 輔色1 4 8" xfId="32572"/>
    <cellStyle name="60% - 輔色1 4 9" xfId="34314"/>
    <cellStyle name="60% - 輔色1 40" xfId="24481"/>
    <cellStyle name="60% - 輔色1 41" xfId="24482"/>
    <cellStyle name="60% - 輔色1 42" xfId="24483"/>
    <cellStyle name="60% - 輔色1 43" xfId="24484"/>
    <cellStyle name="60% - 輔色1 44" xfId="24485"/>
    <cellStyle name="60% - 輔色1 45" xfId="24486"/>
    <cellStyle name="60% - 輔色1 46" xfId="24487"/>
    <cellStyle name="60% - 輔色1 47" xfId="24488"/>
    <cellStyle name="60% - 輔色1 48" xfId="24489"/>
    <cellStyle name="60% - 輔色1 49" xfId="24490"/>
    <cellStyle name="60% - 輔色1 5" xfId="11415"/>
    <cellStyle name="60% - 輔色1 5 10" xfId="36162"/>
    <cellStyle name="60% - 輔色1 5 11" xfId="37769"/>
    <cellStyle name="60% - 輔色1 5 2" xfId="24491"/>
    <cellStyle name="60% - 輔色1 5 3" xfId="27897"/>
    <cellStyle name="60% - 輔色1 5 4" xfId="28006"/>
    <cellStyle name="60% - 輔色1 5 5" xfId="26799"/>
    <cellStyle name="60% - 輔色1 5 6" xfId="29193"/>
    <cellStyle name="60% - 輔色1 5 7" xfId="30976"/>
    <cellStyle name="60% - 輔色1 5 8" xfId="32746"/>
    <cellStyle name="60% - 輔色1 5 9" xfId="34482"/>
    <cellStyle name="60% - 輔色1 50" xfId="24492"/>
    <cellStyle name="60% - 輔色1 51" xfId="24493"/>
    <cellStyle name="60% - 輔色1 52" xfId="24494"/>
    <cellStyle name="60% - 輔色1 53" xfId="24495"/>
    <cellStyle name="60% - 輔色1 54" xfId="24496"/>
    <cellStyle name="60% - 輔色1 55" xfId="24497"/>
    <cellStyle name="60% - 輔色1 56" xfId="24498"/>
    <cellStyle name="60% - 輔色1 57" xfId="24499"/>
    <cellStyle name="60% - 輔色1 58" xfId="24500"/>
    <cellStyle name="60% - 輔色1 59" xfId="24501"/>
    <cellStyle name="60% - 輔色1 6" xfId="11606"/>
    <cellStyle name="60% - 輔色1 6 10" xfId="32977"/>
    <cellStyle name="60% - 輔色1 6 11" xfId="34699"/>
    <cellStyle name="60% - 輔色1 6 2" xfId="24502"/>
    <cellStyle name="60% - 輔色1 6 3" xfId="27908"/>
    <cellStyle name="60% - 輔色1 6 4" xfId="27994"/>
    <cellStyle name="60% - 輔色1 6 5" xfId="23282"/>
    <cellStyle name="60% - 輔色1 6 6" xfId="28294"/>
    <cellStyle name="60% - 輔色1 6 7" xfId="26784"/>
    <cellStyle name="60% - 輔色1 6 8" xfId="29435"/>
    <cellStyle name="60% - 輔色1 6 9" xfId="31212"/>
    <cellStyle name="60% - 輔色1 60" xfId="24503"/>
    <cellStyle name="60% - 輔色1 61" xfId="24504"/>
    <cellStyle name="60% - 輔色1 62" xfId="23591"/>
    <cellStyle name="60% - 輔色1 63" xfId="28480"/>
    <cellStyle name="60% - 輔色1 64" xfId="27234"/>
    <cellStyle name="60% - 輔色1 65" xfId="28240"/>
    <cellStyle name="60% - 輔色1 66" xfId="27536"/>
    <cellStyle name="60% - 輔色1 67" xfId="23094"/>
    <cellStyle name="60% - 輔色1 68" xfId="28442"/>
    <cellStyle name="60% - 輔色1 69" xfId="27294"/>
    <cellStyle name="60% - 輔色1 7" xfId="11787"/>
    <cellStyle name="60% - 輔色1 7 10" xfId="30987"/>
    <cellStyle name="60% - 輔色1 7 11" xfId="32757"/>
    <cellStyle name="60% - 輔色1 7 2" xfId="24505"/>
    <cellStyle name="60% - 輔色1 7 3" xfId="27911"/>
    <cellStyle name="60% - 輔色1 7 4" xfId="27991"/>
    <cellStyle name="60% - 輔色1 7 5" xfId="23273"/>
    <cellStyle name="60% - 輔色1 7 6" xfId="28485"/>
    <cellStyle name="60% - 輔色1 7 7" xfId="27229"/>
    <cellStyle name="60% - 輔色1 7 8" xfId="24833"/>
    <cellStyle name="60% - 輔色1 7 9" xfId="29204"/>
    <cellStyle name="60% - 輔色1 70" xfId="23381"/>
    <cellStyle name="60% - 輔色1 71" xfId="8639"/>
    <cellStyle name="60% - 輔色1 72" xfId="8002"/>
    <cellStyle name="60% - 輔色1 73" xfId="7951"/>
    <cellStyle name="60% - 輔色1 8" xfId="11970"/>
    <cellStyle name="60% - 輔色1 8 10" xfId="33369"/>
    <cellStyle name="60% - 輔色1 8 11" xfId="35085"/>
    <cellStyle name="60% - 輔色1 8 2" xfId="24506"/>
    <cellStyle name="60% - 輔色1 8 3" xfId="27912"/>
    <cellStyle name="60% - 輔色1 8 4" xfId="27990"/>
    <cellStyle name="60% - 輔色1 8 5" xfId="23194"/>
    <cellStyle name="60% - 輔色1 8 6" xfId="28483"/>
    <cellStyle name="60% - 輔色1 8 7" xfId="27231"/>
    <cellStyle name="60% - 輔色1 8 8" xfId="29835"/>
    <cellStyle name="60% - 輔色1 8 9" xfId="31610"/>
    <cellStyle name="60% - 輔色1 9" xfId="12146"/>
    <cellStyle name="60% - 輔色1 9 10" xfId="33556"/>
    <cellStyle name="60% - 輔色1 9 11" xfId="35269"/>
    <cellStyle name="60% - 輔色1 9 2" xfId="24507"/>
    <cellStyle name="60% - 輔色1 9 3" xfId="27913"/>
    <cellStyle name="60% - 輔色1 9 4" xfId="27989"/>
    <cellStyle name="60% - 輔色1 9 5" xfId="23704"/>
    <cellStyle name="60% - 輔色1 9 6" xfId="28482"/>
    <cellStyle name="60% - 輔色1 9 7" xfId="27232"/>
    <cellStyle name="60% - 輔色1 9 8" xfId="30025"/>
    <cellStyle name="60% - 輔色1 9 9" xfId="31800"/>
    <cellStyle name="60% - 輔色2 10" xfId="12273"/>
    <cellStyle name="60% - 輔色2 10 10" xfId="33456"/>
    <cellStyle name="60% - 輔色2 10 11" xfId="35170"/>
    <cellStyle name="60% - 輔色2 10 2" xfId="24508"/>
    <cellStyle name="60% - 輔色2 10 3" xfId="27914"/>
    <cellStyle name="60% - 輔色2 10 4" xfId="27988"/>
    <cellStyle name="60% - 輔色2 10 5" xfId="23656"/>
    <cellStyle name="60% - 輔色2 10 6" xfId="28481"/>
    <cellStyle name="60% - 輔色2 10 7" xfId="27233"/>
    <cellStyle name="60% - 輔色2 10 8" xfId="29922"/>
    <cellStyle name="60% - 輔色2 10 9" xfId="31697"/>
    <cellStyle name="60% - 輔色2 11" xfId="12465"/>
    <cellStyle name="60% - 輔色2 11 10" xfId="23411"/>
    <cellStyle name="60% - 輔色2 11 11" xfId="28804"/>
    <cellStyle name="60% - 輔色2 11 2" xfId="24509"/>
    <cellStyle name="60% - 輔色2 11 3" xfId="27915"/>
    <cellStyle name="60% - 輔色2 11 4" xfId="27987"/>
    <cellStyle name="60% - 輔色2 11 5" xfId="27871"/>
    <cellStyle name="60% - 輔色2 11 6" xfId="28053"/>
    <cellStyle name="60% - 輔色2 11 7" xfId="27831"/>
    <cellStyle name="60% - 輔色2 11 8" xfId="28116"/>
    <cellStyle name="60% - 輔色2 11 9" xfId="27726"/>
    <cellStyle name="60% - 輔色2 12" xfId="12474"/>
    <cellStyle name="60% - 輔色2 12 10" xfId="26778"/>
    <cellStyle name="60% - 輔色2 12 11" xfId="28667"/>
    <cellStyle name="60% - 輔色2 12 2" xfId="24510"/>
    <cellStyle name="60% - 輔色2 12 3" xfId="27916"/>
    <cellStyle name="60% - 輔色2 12 4" xfId="27985"/>
    <cellStyle name="60% - 輔色2 12 5" xfId="27873"/>
    <cellStyle name="60% - 輔色2 12 6" xfId="28051"/>
    <cellStyle name="60% - 輔色2 12 7" xfId="27834"/>
    <cellStyle name="60% - 輔色2 12 8" xfId="28112"/>
    <cellStyle name="60% - 輔色2 12 9" xfId="27748"/>
    <cellStyle name="60% - 輔色2 13" xfId="11466"/>
    <cellStyle name="60% - 輔色2 13 10" xfId="23127"/>
    <cellStyle name="60% - 輔色2 13 11" xfId="23250"/>
    <cellStyle name="60% - 輔色2 13 2" xfId="24511"/>
    <cellStyle name="60% - 輔色2 13 3" xfId="27917"/>
    <cellStyle name="60% - 輔色2 13 4" xfId="27984"/>
    <cellStyle name="60% - 輔色2 13 5" xfId="27874"/>
    <cellStyle name="60% - 輔色2 13 6" xfId="28050"/>
    <cellStyle name="60% - 輔色2 13 7" xfId="27835"/>
    <cellStyle name="60% - 輔色2 13 8" xfId="28111"/>
    <cellStyle name="60% - 輔色2 13 9" xfId="27749"/>
    <cellStyle name="60% - 輔色2 14" xfId="12922"/>
    <cellStyle name="60% - 輔色2 14 10" xfId="23280"/>
    <cellStyle name="60% - 輔色2 14 11" xfId="28312"/>
    <cellStyle name="60% - 輔色2 14 2" xfId="24512"/>
    <cellStyle name="60% - 輔色2 14 3" xfId="27918"/>
    <cellStyle name="60% - 輔色2 14 4" xfId="27983"/>
    <cellStyle name="60% - 輔色2 14 5" xfId="27875"/>
    <cellStyle name="60% - 輔色2 14 6" xfId="28049"/>
    <cellStyle name="60% - 輔色2 14 7" xfId="27836"/>
    <cellStyle name="60% - 輔色2 14 8" xfId="28110"/>
    <cellStyle name="60% - 輔色2 14 9" xfId="27750"/>
    <cellStyle name="60% - 輔色2 15" xfId="14868"/>
    <cellStyle name="60% - 輔色2 15 10" xfId="23217"/>
    <cellStyle name="60% - 輔色2 15 11" xfId="29594"/>
    <cellStyle name="60% - 輔色2 15 2" xfId="24513"/>
    <cellStyle name="60% - 輔色2 15 3" xfId="27919"/>
    <cellStyle name="60% - 輔色2 15 4" xfId="27982"/>
    <cellStyle name="60% - 輔色2 15 5" xfId="27876"/>
    <cellStyle name="60% - 輔色2 15 6" xfId="28048"/>
    <cellStyle name="60% - 輔色2 15 7" xfId="27837"/>
    <cellStyle name="60% - 輔色2 15 8" xfId="28109"/>
    <cellStyle name="60% - 輔色2 15 9" xfId="27752"/>
    <cellStyle name="60% - 輔色2 16" xfId="9347"/>
    <cellStyle name="60% - 輔色2 16 10" xfId="23512"/>
    <cellStyle name="60% - 輔色2 16 11" xfId="29233"/>
    <cellStyle name="60% - 輔色2 16 2" xfId="24514"/>
    <cellStyle name="60% - 輔色2 16 3" xfId="27920"/>
    <cellStyle name="60% - 輔色2 16 4" xfId="27981"/>
    <cellStyle name="60% - 輔色2 16 5" xfId="27878"/>
    <cellStyle name="60% - 輔色2 16 6" xfId="28046"/>
    <cellStyle name="60% - 輔色2 16 7" xfId="27839"/>
    <cellStyle name="60% - 輔色2 16 8" xfId="28107"/>
    <cellStyle name="60% - 輔色2 16 9" xfId="27754"/>
    <cellStyle name="60% - 輔色2 17" xfId="15843"/>
    <cellStyle name="60% - 輔色2 17 10" xfId="23134"/>
    <cellStyle name="60% - 輔色2 17 11" xfId="29358"/>
    <cellStyle name="60% - 輔色2 17 2" xfId="24515"/>
    <cellStyle name="60% - 輔色2 17 3" xfId="27921"/>
    <cellStyle name="60% - 輔色2 17 4" xfId="27980"/>
    <cellStyle name="60% - 輔色2 17 5" xfId="27879"/>
    <cellStyle name="60% - 輔色2 17 6" xfId="28045"/>
    <cellStyle name="60% - 輔色2 17 7" xfId="27840"/>
    <cellStyle name="60% - 輔色2 17 8" xfId="28106"/>
    <cellStyle name="60% - 輔色2 17 9" xfId="27755"/>
    <cellStyle name="60% - 輔色2 18" xfId="14905"/>
    <cellStyle name="60% - 輔色2 18 10" xfId="23200"/>
    <cellStyle name="60% - 輔色2 18 11" xfId="28311"/>
    <cellStyle name="60% - 輔色2 18 2" xfId="24516"/>
    <cellStyle name="60% - 輔色2 18 3" xfId="27922"/>
    <cellStyle name="60% - 輔色2 18 4" xfId="27979"/>
    <cellStyle name="60% - 輔色2 18 5" xfId="27880"/>
    <cellStyle name="60% - 輔色2 18 6" xfId="28043"/>
    <cellStyle name="60% - 輔色2 18 7" xfId="27842"/>
    <cellStyle name="60% - 輔色2 18 8" xfId="28103"/>
    <cellStyle name="60% - 輔色2 18 9" xfId="27758"/>
    <cellStyle name="60% - 輔色2 19" xfId="11873"/>
    <cellStyle name="60% - 輔色2 19 10" xfId="23501"/>
    <cellStyle name="60% - 輔色2 19 11" xfId="28549"/>
    <cellStyle name="60% - 輔色2 19 2" xfId="24517"/>
    <cellStyle name="60% - 輔色2 19 3" xfId="27923"/>
    <cellStyle name="60% - 輔色2 19 4" xfId="27978"/>
    <cellStyle name="60% - 輔色2 19 5" xfId="27881"/>
    <cellStyle name="60% - 輔色2 19 6" xfId="28042"/>
    <cellStyle name="60% - 輔色2 19 7" xfId="27843"/>
    <cellStyle name="60% - 輔色2 19 8" xfId="28102"/>
    <cellStyle name="60% - 輔色2 19 9" xfId="27759"/>
    <cellStyle name="60% - 輔色2 2" xfId="8582"/>
    <cellStyle name="60% - 輔色2 2 10" xfId="23335"/>
    <cellStyle name="60% - 輔色2 2 11" xfId="29112"/>
    <cellStyle name="60% - 輔色2 2 12" xfId="9182"/>
    <cellStyle name="60% - 輔色2 2 2" xfId="9387"/>
    <cellStyle name="60% - 輔色2 2 2 2" xfId="24518"/>
    <cellStyle name="60% - 輔色2 2 3" xfId="27924"/>
    <cellStyle name="60% - 輔色2 2 4" xfId="27977"/>
    <cellStyle name="60% - 輔色2 2 5" xfId="27882"/>
    <cellStyle name="60% - 輔色2 2 6" xfId="28041"/>
    <cellStyle name="60% - 輔色2 2 7" xfId="27845"/>
    <cellStyle name="60% - 輔色2 2 8" xfId="28100"/>
    <cellStyle name="60% - 輔色2 2 9" xfId="27761"/>
    <cellStyle name="60% - 輔色2 20" xfId="18638"/>
    <cellStyle name="60% - 輔色2 20 10" xfId="23142"/>
    <cellStyle name="60% - 輔色2 20 11" xfId="29357"/>
    <cellStyle name="60% - 輔色2 20 2" xfId="24519"/>
    <cellStyle name="60% - 輔色2 20 3" xfId="27925"/>
    <cellStyle name="60% - 輔色2 20 4" xfId="27976"/>
    <cellStyle name="60% - 輔色2 20 5" xfId="27883"/>
    <cellStyle name="60% - 輔色2 20 6" xfId="28040"/>
    <cellStyle name="60% - 輔色2 20 7" xfId="27846"/>
    <cellStyle name="60% - 輔色2 20 8" xfId="28099"/>
    <cellStyle name="60% - 輔色2 20 9" xfId="27763"/>
    <cellStyle name="60% - 輔色2 21" xfId="19517"/>
    <cellStyle name="60% - 輔色2 21 10" xfId="29080"/>
    <cellStyle name="60% - 輔色2 21 11" xfId="30865"/>
    <cellStyle name="60% - 輔色2 21 2" xfId="24520"/>
    <cellStyle name="60% - 輔色2 21 3" xfId="27926"/>
    <cellStyle name="60% - 輔色2 21 4" xfId="27974"/>
    <cellStyle name="60% - 輔色2 21 5" xfId="27885"/>
    <cellStyle name="60% - 輔色2 21 6" xfId="28038"/>
    <cellStyle name="60% - 輔色2 21 7" xfId="26582"/>
    <cellStyle name="60% - 輔色2 21 8" xfId="28594"/>
    <cellStyle name="60% - 輔色2 21 9" xfId="23373"/>
    <cellStyle name="60% - 輔色2 22" xfId="19467"/>
    <cellStyle name="60% - 輔色2 22 10" xfId="32862"/>
    <cellStyle name="60% - 輔色2 22 11" xfId="34591"/>
    <cellStyle name="60% - 輔色2 22 2" xfId="24521"/>
    <cellStyle name="60% - 輔色2 22 3" xfId="27927"/>
    <cellStyle name="60% - 輔色2 22 4" xfId="27973"/>
    <cellStyle name="60% - 輔色2 22 5" xfId="27886"/>
    <cellStyle name="60% - 輔色2 22 6" xfId="28037"/>
    <cellStyle name="60% - 輔色2 22 7" xfId="23539"/>
    <cellStyle name="60% - 輔色2 22 8" xfId="29312"/>
    <cellStyle name="60% - 輔色2 22 9" xfId="31093"/>
    <cellStyle name="60% - 輔色2 23" xfId="22816"/>
    <cellStyle name="60% - 輔色2 23 10" xfId="32740"/>
    <cellStyle name="60% - 輔色2 23 11" xfId="34476"/>
    <cellStyle name="60% - 輔色2 23 2" xfId="24522"/>
    <cellStyle name="60% - 輔色2 23 3" xfId="27928"/>
    <cellStyle name="60% - 輔色2 23 4" xfId="27972"/>
    <cellStyle name="60% - 輔色2 23 5" xfId="27887"/>
    <cellStyle name="60% - 輔色2 23 6" xfId="28036"/>
    <cellStyle name="60% - 輔色2 23 7" xfId="23429"/>
    <cellStyle name="60% - 輔色2 23 8" xfId="29187"/>
    <cellStyle name="60% - 輔色2 23 9" xfId="30970"/>
    <cellStyle name="60% - 輔色2 24" xfId="24523"/>
    <cellStyle name="60% - 輔色2 25" xfId="24524"/>
    <cellStyle name="60% - 輔色2 26" xfId="24525"/>
    <cellStyle name="60% - 輔色2 27" xfId="24526"/>
    <cellStyle name="60% - 輔色2 28" xfId="24527"/>
    <cellStyle name="60% - 輔色2 29" xfId="24528"/>
    <cellStyle name="60% - 輔色2 3" xfId="9224"/>
    <cellStyle name="60% - 輔色2 3 10" xfId="28486"/>
    <cellStyle name="60% - 輔色2 3 11" xfId="27228"/>
    <cellStyle name="60% - 輔色2 3 2" xfId="9455"/>
    <cellStyle name="60% - 輔色2 3 2 2" xfId="24529"/>
    <cellStyle name="60% - 輔色2 3 3" xfId="27931"/>
    <cellStyle name="60% - 輔色2 3 4" xfId="27950"/>
    <cellStyle name="60% - 輔色2 3 5" xfId="27930"/>
    <cellStyle name="60% - 輔色2 3 6" xfId="27952"/>
    <cellStyle name="60% - 輔色2 3 7" xfId="27910"/>
    <cellStyle name="60% - 輔色2 3 8" xfId="27992"/>
    <cellStyle name="60% - 輔色2 3 9" xfId="23353"/>
    <cellStyle name="60% - 輔色2 30" xfId="24530"/>
    <cellStyle name="60% - 輔色2 31" xfId="24531"/>
    <cellStyle name="60% - 輔色2 32" xfId="24532"/>
    <cellStyle name="60% - 輔色2 33" xfId="24533"/>
    <cellStyle name="60% - 輔色2 34" xfId="24534"/>
    <cellStyle name="60% - 輔色2 35" xfId="24535"/>
    <cellStyle name="60% - 輔色2 36" xfId="24536"/>
    <cellStyle name="60% - 輔色2 37" xfId="24537"/>
    <cellStyle name="60% - 輔色2 38" xfId="24538"/>
    <cellStyle name="60% - 輔色2 39" xfId="24539"/>
    <cellStyle name="60% - 輔色2 4" xfId="11164"/>
    <cellStyle name="60% - 輔色2 4 10" xfId="27945"/>
    <cellStyle name="60% - 輔色2 4 11" xfId="27935"/>
    <cellStyle name="60% - 輔色2 4 2" xfId="24540"/>
    <cellStyle name="60% - 輔色2 4 3" xfId="27940"/>
    <cellStyle name="60% - 輔色2 4 4" xfId="27941"/>
    <cellStyle name="60% - 輔色2 4 5" xfId="27939"/>
    <cellStyle name="60% - 輔色2 4 6" xfId="27942"/>
    <cellStyle name="60% - 輔色2 4 7" xfId="27938"/>
    <cellStyle name="60% - 輔色2 4 8" xfId="27943"/>
    <cellStyle name="60% - 輔色2 4 9" xfId="27937"/>
    <cellStyle name="60% - 輔色2 40" xfId="24541"/>
    <cellStyle name="60% - 輔色2 41" xfId="24542"/>
    <cellStyle name="60% - 輔色2 42" xfId="24543"/>
    <cellStyle name="60% - 輔色2 43" xfId="24544"/>
    <cellStyle name="60% - 輔色2 44" xfId="24545"/>
    <cellStyle name="60% - 輔色2 45" xfId="24546"/>
    <cellStyle name="60% - 輔色2 46" xfId="24547"/>
    <cellStyle name="60% - 輔色2 47" xfId="24548"/>
    <cellStyle name="60% - 輔色2 48" xfId="24549"/>
    <cellStyle name="60% - 輔色2 49" xfId="24550"/>
    <cellStyle name="60% - 輔色2 5" xfId="11357"/>
    <cellStyle name="60% - 輔色2 5 10" xfId="27932"/>
    <cellStyle name="60% - 輔色2 5 11" xfId="27949"/>
    <cellStyle name="60% - 輔色2 5 2" xfId="24551"/>
    <cellStyle name="60% - 輔色2 5 3" xfId="27944"/>
    <cellStyle name="60% - 輔色2 5 4" xfId="27936"/>
    <cellStyle name="60% - 輔色2 5 5" xfId="27946"/>
    <cellStyle name="60% - 輔色2 5 6" xfId="27934"/>
    <cellStyle name="60% - 輔色2 5 7" xfId="27947"/>
    <cellStyle name="60% - 輔色2 5 8" xfId="27933"/>
    <cellStyle name="60% - 輔色2 5 9" xfId="27948"/>
    <cellStyle name="60% - 輔色2 50" xfId="24552"/>
    <cellStyle name="60% - 輔色2 51" xfId="24553"/>
    <cellStyle name="60% - 輔色2 52" xfId="24554"/>
    <cellStyle name="60% - 輔色2 53" xfId="24555"/>
    <cellStyle name="60% - 輔色2 54" xfId="24556"/>
    <cellStyle name="60% - 輔色2 55" xfId="24557"/>
    <cellStyle name="60% - 輔色2 56" xfId="24558"/>
    <cellStyle name="60% - 輔色2 57" xfId="24559"/>
    <cellStyle name="60% - 輔色2 58" xfId="24560"/>
    <cellStyle name="60% - 輔色2 59" xfId="24561"/>
    <cellStyle name="60% - 輔色2 6" xfId="11548"/>
    <cellStyle name="60% - 輔色2 6 10" xfId="31576"/>
    <cellStyle name="60% - 輔色2 6 11" xfId="33335"/>
    <cellStyle name="60% - 輔色2 6 2" xfId="24562"/>
    <cellStyle name="60% - 輔色2 6 3" xfId="27951"/>
    <cellStyle name="60% - 輔色2 6 4" xfId="27929"/>
    <cellStyle name="60% - 輔色2 6 5" xfId="27971"/>
    <cellStyle name="60% - 輔色2 6 6" xfId="27889"/>
    <cellStyle name="60% - 輔色2 6 7" xfId="28033"/>
    <cellStyle name="60% - 輔色2 6 8" xfId="22779"/>
    <cellStyle name="60% - 輔色2 6 9" xfId="29801"/>
    <cellStyle name="60% - 輔色2 60" xfId="24563"/>
    <cellStyle name="60% - 輔色2 61" xfId="24564"/>
    <cellStyle name="60% - 輔色2 62" xfId="23515"/>
    <cellStyle name="60% - 輔色2 63" xfId="28479"/>
    <cellStyle name="60% - 輔色2 64" xfId="27235"/>
    <cellStyle name="60% - 輔色2 65" xfId="27112"/>
    <cellStyle name="60% - 輔色2 66" xfId="22971"/>
    <cellStyle name="60% - 輔色2 67" xfId="29305"/>
    <cellStyle name="60% - 輔色2 68" xfId="31086"/>
    <cellStyle name="60% - 輔色2 69" xfId="32855"/>
    <cellStyle name="60% - 輔色2 7" xfId="11728"/>
    <cellStyle name="60% - 輔色2 7 10" xfId="29583"/>
    <cellStyle name="60% - 輔色2 7 11" xfId="31359"/>
    <cellStyle name="60% - 輔色2 7 2" xfId="24565"/>
    <cellStyle name="60% - 輔色2 7 3" xfId="27953"/>
    <cellStyle name="60% - 輔色2 7 4" xfId="27909"/>
    <cellStyle name="60% - 輔色2 7 5" xfId="27993"/>
    <cellStyle name="60% - 輔色2 7 6" xfId="23437"/>
    <cellStyle name="60% - 輔色2 7 7" xfId="28487"/>
    <cellStyle name="60% - 輔色2 7 8" xfId="27227"/>
    <cellStyle name="60% - 輔色2 7 9" xfId="23463"/>
    <cellStyle name="60% - 輔色2 70" xfId="34584"/>
    <cellStyle name="60% - 輔色2 71" xfId="8006"/>
    <cellStyle name="60% - 輔色2 72" xfId="7952"/>
    <cellStyle name="60% - 輔色2 8" xfId="11914"/>
    <cellStyle name="60% - 輔色2 8 10" xfId="29340"/>
    <cellStyle name="60% - 輔色2 8 11" xfId="31121"/>
    <cellStyle name="60% - 輔色2 8 2" xfId="24566"/>
    <cellStyle name="60% - 輔色2 8 3" xfId="27954"/>
    <cellStyle name="60% - 輔色2 8 4" xfId="27907"/>
    <cellStyle name="60% - 輔色2 8 5" xfId="27995"/>
    <cellStyle name="60% - 輔色2 8 6" xfId="23338"/>
    <cellStyle name="60% - 輔色2 8 7" xfId="28530"/>
    <cellStyle name="60% - 輔色2 8 8" xfId="27161"/>
    <cellStyle name="60% - 輔色2 8 9" xfId="23611"/>
    <cellStyle name="60% - 輔色2 9" xfId="12096"/>
    <cellStyle name="60% - 輔色2 9 10" xfId="34831"/>
    <cellStyle name="60% - 輔色2 9 11" xfId="36486"/>
    <cellStyle name="60% - 輔色2 9 2" xfId="24567"/>
    <cellStyle name="60% - 輔色2 9 3" xfId="27955"/>
    <cellStyle name="60% - 輔色2 9 4" xfId="27906"/>
    <cellStyle name="60% - 輔色2 9 5" xfId="27996"/>
    <cellStyle name="60% - 輔色2 9 6" xfId="23380"/>
    <cellStyle name="60% - 輔色2 9 7" xfId="29573"/>
    <cellStyle name="60% - 輔色2 9 8" xfId="31349"/>
    <cellStyle name="60% - 輔色2 9 9" xfId="33113"/>
    <cellStyle name="60% - 輔色3 10" xfId="12205"/>
    <cellStyle name="60% - 輔色3 10 10" xfId="34483"/>
    <cellStyle name="60% - 輔色3 10 11" xfId="36163"/>
    <cellStyle name="60% - 輔色3 10 2" xfId="24568"/>
    <cellStyle name="60% - 輔色3 10 3" xfId="27956"/>
    <cellStyle name="60% - 輔色3 10 4" xfId="27905"/>
    <cellStyle name="60% - 輔色3 10 5" xfId="27998"/>
    <cellStyle name="60% - 輔色3 10 6" xfId="26393"/>
    <cellStyle name="60% - 輔色3 10 7" xfId="29194"/>
    <cellStyle name="60% - 輔色3 10 8" xfId="30977"/>
    <cellStyle name="60% - 輔色3 10 9" xfId="32747"/>
    <cellStyle name="60% - 輔色3 11" xfId="12399"/>
    <cellStyle name="60% - 輔色3 11 10" xfId="34598"/>
    <cellStyle name="60% - 輔色3 11 11" xfId="36267"/>
    <cellStyle name="60% - 輔色3 11 2" xfId="24569"/>
    <cellStyle name="60% - 輔色3 11 3" xfId="27957"/>
    <cellStyle name="60% - 輔色3 11 4" xfId="27904"/>
    <cellStyle name="60% - 輔色3 11 5" xfId="27999"/>
    <cellStyle name="60% - 輔色3 11 6" xfId="23383"/>
    <cellStyle name="60% - 輔色3 11 7" xfId="29319"/>
    <cellStyle name="60% - 輔色3 11 8" xfId="31100"/>
    <cellStyle name="60% - 輔色3 11 9" xfId="32869"/>
    <cellStyle name="60% - 輔色3 12" xfId="10684"/>
    <cellStyle name="60% - 輔色3 12 10" xfId="33933"/>
    <cellStyle name="60% - 輔色3 12 11" xfId="35646"/>
    <cellStyle name="60% - 輔色3 12 2" xfId="24570"/>
    <cellStyle name="60% - 輔色3 12 3" xfId="27958"/>
    <cellStyle name="60% - 輔色3 12 4" xfId="27903"/>
    <cellStyle name="60% - 輔色3 12 5" xfId="28000"/>
    <cellStyle name="60% - 輔色3 12 6" xfId="23552"/>
    <cellStyle name="60% - 輔色3 12 7" xfId="28611"/>
    <cellStyle name="60% - 輔色3 12 8" xfId="30403"/>
    <cellStyle name="60% - 輔色3 12 9" xfId="32178"/>
    <cellStyle name="60% - 輔色3 13" xfId="11610"/>
    <cellStyle name="60% - 輔色3 13 10" xfId="32417"/>
    <cellStyle name="60% - 輔色3 13 11" xfId="34168"/>
    <cellStyle name="60% - 輔色3 13 2" xfId="24571"/>
    <cellStyle name="60% - 輔色3 13 3" xfId="27959"/>
    <cellStyle name="60% - 輔色3 13 4" xfId="27902"/>
    <cellStyle name="60% - 輔色3 13 5" xfId="28001"/>
    <cellStyle name="60% - 輔色3 13 6" xfId="27069"/>
    <cellStyle name="60% - 輔色3 13 7" xfId="24854"/>
    <cellStyle name="60% - 輔色3 13 8" xfId="28858"/>
    <cellStyle name="60% - 輔色3 13 9" xfId="30644"/>
    <cellStyle name="60% - 輔色3 14" xfId="12325"/>
    <cellStyle name="60% - 輔色3 14 10" xfId="31079"/>
    <cellStyle name="60% - 輔色3 14 11" xfId="32848"/>
    <cellStyle name="60% - 輔色3 14 2" xfId="24572"/>
    <cellStyle name="60% - 輔色3 14 3" xfId="27960"/>
    <cellStyle name="60% - 輔色3 14 4" xfId="27901"/>
    <cellStyle name="60% - 輔色3 14 5" xfId="28002"/>
    <cellStyle name="60% - 輔色3 14 6" xfId="23202"/>
    <cellStyle name="60% - 輔色3 14 7" xfId="28293"/>
    <cellStyle name="60% - 輔色3 14 8" xfId="23602"/>
    <cellStyle name="60% - 輔色3 14 9" xfId="29297"/>
    <cellStyle name="60% - 輔色3 15" xfId="14906"/>
    <cellStyle name="60% - 輔色3 15 10" xfId="31616"/>
    <cellStyle name="60% - 輔色3 15 11" xfId="33375"/>
    <cellStyle name="60% - 輔色3 15 2" xfId="24573"/>
    <cellStyle name="60% - 輔色3 15 3" xfId="27961"/>
    <cellStyle name="60% - 輔色3 15 4" xfId="27900"/>
    <cellStyle name="60% - 輔色3 15 5" xfId="28003"/>
    <cellStyle name="60% - 輔色3 15 6" xfId="23260"/>
    <cellStyle name="60% - 輔色3 15 7" xfId="28529"/>
    <cellStyle name="60% - 輔色3 15 8" xfId="27162"/>
    <cellStyle name="60% - 輔色3 15 9" xfId="29841"/>
    <cellStyle name="60% - 輔色3 16" xfId="13992"/>
    <cellStyle name="60% - 輔色3 16 10" xfId="34830"/>
    <cellStyle name="60% - 輔色3 16 11" xfId="36485"/>
    <cellStyle name="60% - 輔色3 16 2" xfId="24574"/>
    <cellStyle name="60% - 輔色3 16 3" xfId="27962"/>
    <cellStyle name="60% - 輔色3 16 4" xfId="27899"/>
    <cellStyle name="60% - 輔色3 16 5" xfId="28004"/>
    <cellStyle name="60% - 輔色3 16 6" xfId="23385"/>
    <cellStyle name="60% - 輔色3 16 7" xfId="29572"/>
    <cellStyle name="60% - 輔色3 16 8" xfId="31348"/>
    <cellStyle name="60% - 輔色3 16 9" xfId="33112"/>
    <cellStyle name="60% - 輔色3 17" xfId="15910"/>
    <cellStyle name="60% - 輔色3 17 10" xfId="34318"/>
    <cellStyle name="60% - 輔色3 17 11" xfId="36008"/>
    <cellStyle name="60% - 輔色3 17 2" xfId="24575"/>
    <cellStyle name="60% - 輔色3 17 3" xfId="27963"/>
    <cellStyle name="60% - 輔色3 17 4" xfId="27898"/>
    <cellStyle name="60% - 輔色3 17 5" xfId="28005"/>
    <cellStyle name="60% - 輔色3 17 6" xfId="26809"/>
    <cellStyle name="60% - 輔色3 17 7" xfId="29018"/>
    <cellStyle name="60% - 輔色3 17 8" xfId="30803"/>
    <cellStyle name="60% - 輔色3 17 9" xfId="32576"/>
    <cellStyle name="60% - 輔色3 18" xfId="16839"/>
    <cellStyle name="60% - 輔色3 18 10" xfId="34597"/>
    <cellStyle name="60% - 輔色3 18 11" xfId="36266"/>
    <cellStyle name="60% - 輔色3 18 2" xfId="24576"/>
    <cellStyle name="60% - 輔色3 18 3" xfId="27964"/>
    <cellStyle name="60% - 輔色3 18 4" xfId="27896"/>
    <cellStyle name="60% - 輔色3 18 5" xfId="28007"/>
    <cellStyle name="60% - 輔色3 18 6" xfId="23298"/>
    <cellStyle name="60% - 輔色3 18 7" xfId="29318"/>
    <cellStyle name="60% - 輔色3 18 8" xfId="31099"/>
    <cellStyle name="60% - 輔色3 18 9" xfId="32868"/>
    <cellStyle name="60% - 輔色3 19" xfId="17748"/>
    <cellStyle name="60% - 輔色3 19 10" xfId="32996"/>
    <cellStyle name="60% - 輔色3 19 11" xfId="34718"/>
    <cellStyle name="60% - 輔色3 19 2" xfId="24577"/>
    <cellStyle name="60% - 輔色3 19 3" xfId="27965"/>
    <cellStyle name="60% - 輔色3 19 4" xfId="27895"/>
    <cellStyle name="60% - 輔色3 19 5" xfId="28009"/>
    <cellStyle name="60% - 輔色3 19 6" xfId="27070"/>
    <cellStyle name="60% - 輔色3 19 7" xfId="26594"/>
    <cellStyle name="60% - 輔色3 19 8" xfId="29454"/>
    <cellStyle name="60% - 輔色3 19 9" xfId="31231"/>
    <cellStyle name="60% - 輔色3 2" xfId="8583"/>
    <cellStyle name="60% - 輔色3 2 10" xfId="32392"/>
    <cellStyle name="60% - 輔色3 2 11" xfId="34144"/>
    <cellStyle name="60% - 輔色3 2 12" xfId="9186"/>
    <cellStyle name="60% - 輔色3 2 2" xfId="9388"/>
    <cellStyle name="60% - 輔色3 2 2 2" xfId="24578"/>
    <cellStyle name="60% - 輔色3 2 3" xfId="27966"/>
    <cellStyle name="60% - 輔色3 2 4" xfId="27894"/>
    <cellStyle name="60% - 輔色3 2 5" xfId="28010"/>
    <cellStyle name="60% - 輔色3 2 6" xfId="23114"/>
    <cellStyle name="60% - 輔色3 2 7" xfId="23494"/>
    <cellStyle name="60% - 輔色3 2 8" xfId="28832"/>
    <cellStyle name="60% - 輔色3 2 9" xfId="30618"/>
    <cellStyle name="60% - 輔色3 20" xfId="19424"/>
    <cellStyle name="60% - 輔色3 20 10" xfId="34315"/>
    <cellStyle name="60% - 輔色3 20 11" xfId="36005"/>
    <cellStyle name="60% - 輔色3 20 2" xfId="24579"/>
    <cellStyle name="60% - 輔色3 20 3" xfId="27967"/>
    <cellStyle name="60% - 輔色3 20 4" xfId="27893"/>
    <cellStyle name="60% - 輔色3 20 5" xfId="28029"/>
    <cellStyle name="60% - 輔色3 20 6" xfId="23526"/>
    <cellStyle name="60% - 輔色3 20 7" xfId="29015"/>
    <cellStyle name="60% - 輔色3 20 8" xfId="30800"/>
    <cellStyle name="60% - 輔色3 20 9" xfId="32573"/>
    <cellStyle name="60% - 輔色3 21" xfId="20290"/>
    <cellStyle name="60% - 輔色3 21 10" xfId="34478"/>
    <cellStyle name="60% - 輔色3 21 11" xfId="36158"/>
    <cellStyle name="60% - 輔色3 21 2" xfId="24580"/>
    <cellStyle name="60% - 輔色3 21 3" xfId="27968"/>
    <cellStyle name="60% - 輔色3 21 4" xfId="27892"/>
    <cellStyle name="60% - 輔色3 21 5" xfId="28030"/>
    <cellStyle name="60% - 輔色3 21 6" xfId="23584"/>
    <cellStyle name="60% - 輔色3 21 7" xfId="29189"/>
    <cellStyle name="60% - 輔色3 21 8" xfId="30972"/>
    <cellStyle name="60% - 輔色3 21 9" xfId="32742"/>
    <cellStyle name="60% - 輔色3 22" xfId="19370"/>
    <cellStyle name="60% - 輔色3 22 10" xfId="34593"/>
    <cellStyle name="60% - 輔色3 22 11" xfId="36262"/>
    <cellStyle name="60% - 輔色3 22 2" xfId="24581"/>
    <cellStyle name="60% - 輔色3 22 3" xfId="27969"/>
    <cellStyle name="60% - 輔色3 22 4" xfId="27891"/>
    <cellStyle name="60% - 輔色3 22 5" xfId="28031"/>
    <cellStyle name="60% - 輔色3 22 6" xfId="22970"/>
    <cellStyle name="60% - 輔色3 22 7" xfId="29314"/>
    <cellStyle name="60% - 輔色3 22 8" xfId="31095"/>
    <cellStyle name="60% - 輔色3 22 9" xfId="32864"/>
    <cellStyle name="60% - 輔色3 23" xfId="22817"/>
    <cellStyle name="60% - 輔色3 23 10" xfId="30866"/>
    <cellStyle name="60% - 輔色3 23 11" xfId="32637"/>
    <cellStyle name="60% - 輔色3 23 2" xfId="24582"/>
    <cellStyle name="60% - 輔色3 23 3" xfId="27970"/>
    <cellStyle name="60% - 輔色3 23 4" xfId="27890"/>
    <cellStyle name="60% - 輔色3 23 5" xfId="28032"/>
    <cellStyle name="60% - 輔色3 23 6" xfId="26783"/>
    <cellStyle name="60% - 輔色3 23 7" xfId="28595"/>
    <cellStyle name="60% - 輔色3 23 8" xfId="23457"/>
    <cellStyle name="60% - 輔色3 23 9" xfId="29081"/>
    <cellStyle name="60% - 輔色3 24" xfId="24583"/>
    <cellStyle name="60% - 輔色3 25" xfId="24584"/>
    <cellStyle name="60% - 輔色3 26" xfId="24585"/>
    <cellStyle name="60% - 輔色3 27" xfId="24586"/>
    <cellStyle name="60% - 輔色3 28" xfId="24587"/>
    <cellStyle name="60% - 輔色3 29" xfId="24588"/>
    <cellStyle name="60% - 輔色3 3" xfId="9228"/>
    <cellStyle name="60% - 輔色3 3 10" xfId="32556"/>
    <cellStyle name="60% - 輔色3 3 11" xfId="34298"/>
    <cellStyle name="60% - 輔色3 3 2" xfId="9454"/>
    <cellStyle name="60% - 輔色3 3 2 2" xfId="24589"/>
    <cellStyle name="60% - 輔色3 3 3" xfId="27975"/>
    <cellStyle name="60% - 輔色3 3 4" xfId="27884"/>
    <cellStyle name="60% - 輔色3 3 5" xfId="28039"/>
    <cellStyle name="60% - 輔色3 3 6" xfId="27074"/>
    <cellStyle name="60% - 輔色3 3 7" xfId="23196"/>
    <cellStyle name="60% - 輔色3 3 8" xfId="28997"/>
    <cellStyle name="60% - 輔色3 3 9" xfId="30783"/>
    <cellStyle name="60% - 輔色3 30" xfId="24590"/>
    <cellStyle name="60% - 輔色3 31" xfId="24591"/>
    <cellStyle name="60% - 輔色3 32" xfId="24592"/>
    <cellStyle name="60% - 輔色3 33" xfId="24593"/>
    <cellStyle name="60% - 輔色3 34" xfId="24594"/>
    <cellStyle name="60% - 輔色3 35" xfId="24595"/>
    <cellStyle name="60% - 輔色3 36" xfId="24596"/>
    <cellStyle name="60% - 輔色3 37" xfId="24597"/>
    <cellStyle name="60% - 輔色3 38" xfId="24598"/>
    <cellStyle name="60% - 輔色3 39" xfId="24599"/>
    <cellStyle name="60% - 輔色3 4" xfId="11093"/>
    <cellStyle name="60% - 輔色3 4 10" xfId="29234"/>
    <cellStyle name="60% - 輔色3 4 11" xfId="31016"/>
    <cellStyle name="60% - 輔色3 4 2" xfId="24600"/>
    <cellStyle name="60% - 輔色3 4 3" xfId="27986"/>
    <cellStyle name="60% - 輔色3 4 4" xfId="27872"/>
    <cellStyle name="60% - 輔色3 4 5" xfId="28052"/>
    <cellStyle name="60% - 輔色3 4 6" xfId="27832"/>
    <cellStyle name="60% - 輔色3 4 7" xfId="28114"/>
    <cellStyle name="60% - 輔色3 4 8" xfId="27746"/>
    <cellStyle name="60% - 輔色3 4 9" xfId="23587"/>
    <cellStyle name="60% - 輔色3 40" xfId="24601"/>
    <cellStyle name="60% - 輔色3 41" xfId="24602"/>
    <cellStyle name="60% - 輔色3 42" xfId="24603"/>
    <cellStyle name="60% - 輔色3 43" xfId="24604"/>
    <cellStyle name="60% - 輔色3 44" xfId="24605"/>
    <cellStyle name="60% - 輔色3 45" xfId="24606"/>
    <cellStyle name="60% - 輔色3 46" xfId="24607"/>
    <cellStyle name="60% - 輔色3 47" xfId="24608"/>
    <cellStyle name="60% - 輔色3 48" xfId="24609"/>
    <cellStyle name="60% - 輔色3 49" xfId="24610"/>
    <cellStyle name="60% - 輔色3 5" xfId="11286"/>
    <cellStyle name="60% - 輔色3 5 10" xfId="37628"/>
    <cellStyle name="60% - 輔色3 5 11" xfId="39152"/>
    <cellStyle name="60% - 輔色3 5 2" xfId="24611"/>
    <cellStyle name="60% - 輔色3 5 3" xfId="27997"/>
    <cellStyle name="60% - 輔色3 5 4" xfId="26384"/>
    <cellStyle name="60% - 輔色3 5 5" xfId="29019"/>
    <cellStyle name="60% - 輔色3 5 6" xfId="30804"/>
    <cellStyle name="60% - 輔色3 5 7" xfId="32577"/>
    <cellStyle name="60% - 輔色3 5 8" xfId="34319"/>
    <cellStyle name="60% - 輔色3 5 9" xfId="36009"/>
    <cellStyle name="60% - 輔色3 50" xfId="24612"/>
    <cellStyle name="60% - 輔色3 51" xfId="24613"/>
    <cellStyle name="60% - 輔色3 52" xfId="24614"/>
    <cellStyle name="60% - 輔色3 53" xfId="24615"/>
    <cellStyle name="60% - 輔色3 54" xfId="24616"/>
    <cellStyle name="60% - 輔色3 55" xfId="24617"/>
    <cellStyle name="60% - 輔色3 56" xfId="24618"/>
    <cellStyle name="60% - 輔色3 57" xfId="24619"/>
    <cellStyle name="60% - 輔色3 58" xfId="24620"/>
    <cellStyle name="60% - 輔色3 59" xfId="24621"/>
    <cellStyle name="60% - 輔色3 6" xfId="11478"/>
    <cellStyle name="60% - 輔色3 6 10" xfId="37288"/>
    <cellStyle name="60% - 輔色3 6 11" xfId="38844"/>
    <cellStyle name="60% - 輔色3 6 2" xfId="24622"/>
    <cellStyle name="60% - 輔色3 6 3" xfId="28008"/>
    <cellStyle name="60% - 輔色3 6 4" xfId="23473"/>
    <cellStyle name="60% - 輔色3 6 5" xfId="28610"/>
    <cellStyle name="60% - 輔色3 6 6" xfId="30402"/>
    <cellStyle name="60% - 輔色3 6 7" xfId="32177"/>
    <cellStyle name="60% - 輔色3 6 8" xfId="33932"/>
    <cellStyle name="60% - 輔色3 6 9" xfId="35645"/>
    <cellStyle name="60% - 輔色3 60" xfId="24623"/>
    <cellStyle name="60% - 輔色3 61" xfId="24624"/>
    <cellStyle name="60% - 輔色3 62" xfId="23436"/>
    <cellStyle name="60% - 輔色3 63" xfId="28478"/>
    <cellStyle name="60% - 輔色3 64" xfId="27236"/>
    <cellStyle name="60% - 輔色3 65" xfId="22762"/>
    <cellStyle name="60% - 輔色3 66" xfId="23172"/>
    <cellStyle name="60% - 輔色3 67" xfId="28850"/>
    <cellStyle name="60% - 輔色3 68" xfId="30636"/>
    <cellStyle name="60% - 輔色3 69" xfId="32410"/>
    <cellStyle name="60% - 輔色3 7" xfId="11662"/>
    <cellStyle name="60% - 輔色3 7 10" xfId="35266"/>
    <cellStyle name="60% - 輔色3 7 11" xfId="36913"/>
    <cellStyle name="60% - 輔色3 7 2" xfId="24625"/>
    <cellStyle name="60% - 輔色3 7 3" xfId="28011"/>
    <cellStyle name="60% - 輔色3 7 4" xfId="23182"/>
    <cellStyle name="60% - 輔色3 7 5" xfId="28528"/>
    <cellStyle name="60% - 輔色3 7 6" xfId="27163"/>
    <cellStyle name="60% - 輔色3 7 7" xfId="30020"/>
    <cellStyle name="60% - 輔色3 7 8" xfId="31795"/>
    <cellStyle name="60% - 輔色3 7 9" xfId="33552"/>
    <cellStyle name="60% - 輔色3 70" xfId="34161"/>
    <cellStyle name="60% - 輔色3 71" xfId="8640"/>
    <cellStyle name="60% - 輔色3 72" xfId="8010"/>
    <cellStyle name="60% - 輔色3 73" xfId="7953"/>
    <cellStyle name="60% - 輔色3 8" xfId="11845"/>
    <cellStyle name="60% - 輔色3 8 10" xfId="38066"/>
    <cellStyle name="60% - 輔色3 8 11" xfId="39523"/>
    <cellStyle name="60% - 輔色3 8 2" xfId="24626"/>
    <cellStyle name="60% - 輔色3 8 3" xfId="28012"/>
    <cellStyle name="60% - 輔色3 8 4" xfId="23220"/>
    <cellStyle name="60% - 輔色3 8 5" xfId="29571"/>
    <cellStyle name="60% - 輔色3 8 6" xfId="31347"/>
    <cellStyle name="60% - 輔色3 8 7" xfId="33111"/>
    <cellStyle name="60% - 輔色3 8 8" xfId="34829"/>
    <cellStyle name="60% - 輔色3 8 9" xfId="36484"/>
    <cellStyle name="60% - 輔色3 9" xfId="12029"/>
    <cellStyle name="60% - 輔色3 9 10" xfId="37627"/>
    <cellStyle name="60% - 輔色3 9 11" xfId="39151"/>
    <cellStyle name="60% - 輔色3 9 2" xfId="24627"/>
    <cellStyle name="60% - 輔色3 9 3" xfId="28013"/>
    <cellStyle name="60% - 輔色3 9 4" xfId="26551"/>
    <cellStyle name="60% - 輔色3 9 5" xfId="29017"/>
    <cellStyle name="60% - 輔色3 9 6" xfId="30802"/>
    <cellStyle name="60% - 輔色3 9 7" xfId="32575"/>
    <cellStyle name="60% - 輔色3 9 8" xfId="34317"/>
    <cellStyle name="60% - 輔色3 9 9" xfId="36007"/>
    <cellStyle name="60% - 輔色4 10" xfId="12152"/>
    <cellStyle name="60% - 輔色4 10 10" xfId="37768"/>
    <cellStyle name="60% - 輔色4 10 11" xfId="39271"/>
    <cellStyle name="60% - 輔色4 10 2" xfId="24628"/>
    <cellStyle name="60% - 輔色4 10 3" xfId="28014"/>
    <cellStyle name="60% - 輔色4 10 4" xfId="26560"/>
    <cellStyle name="60% - 輔色4 10 5" xfId="29192"/>
    <cellStyle name="60% - 輔色4 10 6" xfId="30975"/>
    <cellStyle name="60% - 輔色4 10 7" xfId="32745"/>
    <cellStyle name="60% - 輔色4 10 8" xfId="34481"/>
    <cellStyle name="60% - 輔色4 10 9" xfId="36161"/>
    <cellStyle name="60% - 輔色4 11" xfId="12284"/>
    <cellStyle name="60% - 輔色4 11 10" xfId="37857"/>
    <cellStyle name="60% - 輔色4 11 11" xfId="39344"/>
    <cellStyle name="60% - 輔色4 11 2" xfId="24629"/>
    <cellStyle name="60% - 輔色4 11 3" xfId="28015"/>
    <cellStyle name="60% - 輔色4 11 4" xfId="23215"/>
    <cellStyle name="60% - 輔色4 11 5" xfId="29316"/>
    <cellStyle name="60% - 輔色4 11 6" xfId="31097"/>
    <cellStyle name="60% - 輔色4 11 7" xfId="32866"/>
    <cellStyle name="60% - 輔色4 11 8" xfId="34595"/>
    <cellStyle name="60% - 輔色4 11 9" xfId="36264"/>
    <cellStyle name="60% - 輔色4 12" xfId="11361"/>
    <cellStyle name="60% - 輔色4 12 10" xfId="34379"/>
    <cellStyle name="60% - 輔色4 12 11" xfId="36067"/>
    <cellStyle name="60% - 輔色4 12 2" xfId="24630"/>
    <cellStyle name="60% - 輔色4 12 3" xfId="28016"/>
    <cellStyle name="60% - 輔色4 12 4" xfId="23149"/>
    <cellStyle name="60% - 輔色4 12 5" xfId="28597"/>
    <cellStyle name="60% - 輔色4 12 6" xfId="23609"/>
    <cellStyle name="60% - 輔色4 12 7" xfId="29083"/>
    <cellStyle name="60% - 輔色4 12 8" xfId="30868"/>
    <cellStyle name="60% - 輔色4 12 9" xfId="32639"/>
    <cellStyle name="60% - 輔色4 13" xfId="12942"/>
    <cellStyle name="60% - 輔色4 13 10" xfId="32999"/>
    <cellStyle name="60% - 輔色4 13 11" xfId="34720"/>
    <cellStyle name="60% - 輔色4 13 2" xfId="24631"/>
    <cellStyle name="60% - 輔色4 13 3" xfId="28017"/>
    <cellStyle name="60% - 輔色4 13 4" xfId="27071"/>
    <cellStyle name="60% - 輔色4 13 5" xfId="27080"/>
    <cellStyle name="60% - 輔色4 13 6" xfId="27079"/>
    <cellStyle name="60% - 輔色4 13 7" xfId="23173"/>
    <cellStyle name="60% - 輔色4 13 8" xfId="29457"/>
    <cellStyle name="60% - 輔色4 13 9" xfId="31234"/>
    <cellStyle name="60% - 輔色4 14" xfId="12476"/>
    <cellStyle name="60% - 輔色4 14 10" xfId="38158"/>
    <cellStyle name="60% - 輔色4 14 11" xfId="39611"/>
    <cellStyle name="60% - 輔色4 14 2" xfId="24632"/>
    <cellStyle name="60% - 輔色4 14 3" xfId="28018"/>
    <cellStyle name="60% - 輔色4 14 4" xfId="23664"/>
    <cellStyle name="60% - 輔色4 14 5" xfId="29676"/>
    <cellStyle name="60% - 輔色4 14 6" xfId="31451"/>
    <cellStyle name="60% - 輔色4 14 7" xfId="33213"/>
    <cellStyle name="60% - 輔色4 14 8" xfId="34931"/>
    <cellStyle name="60% - 輔色4 14 9" xfId="36584"/>
    <cellStyle name="60% - 輔色4 15" xfId="12218"/>
    <cellStyle name="60% - 輔色4 15 10" xfId="35175"/>
    <cellStyle name="60% - 輔色4 15 11" xfId="36822"/>
    <cellStyle name="60% - 輔色4 15 2" xfId="24633"/>
    <cellStyle name="60% - 輔色4 15 3" xfId="28019"/>
    <cellStyle name="60% - 輔色4 15 4" xfId="23093"/>
    <cellStyle name="60% - 輔色4 15 5" xfId="28527"/>
    <cellStyle name="60% - 輔色4 15 6" xfId="27164"/>
    <cellStyle name="60% - 輔色4 15 7" xfId="29927"/>
    <cellStyle name="60% - 輔色4 15 8" xfId="31702"/>
    <cellStyle name="60% - 輔色4 15 9" xfId="33461"/>
    <cellStyle name="60% - 輔色4 16" xfId="12408"/>
    <cellStyle name="60% - 輔色4 16 10" xfId="38065"/>
    <cellStyle name="60% - 輔色4 16 11" xfId="39522"/>
    <cellStyle name="60% - 輔色4 16 2" xfId="24634"/>
    <cellStyle name="60% - 輔色4 16 3" xfId="28020"/>
    <cellStyle name="60% - 輔色4 16 4" xfId="22968"/>
    <cellStyle name="60% - 輔色4 16 5" xfId="29570"/>
    <cellStyle name="60% - 輔色4 16 6" xfId="31346"/>
    <cellStyle name="60% - 輔色4 16 7" xfId="33110"/>
    <cellStyle name="60% - 輔色4 16 8" xfId="34828"/>
    <cellStyle name="60% - 輔色4 16 9" xfId="36483"/>
    <cellStyle name="60% - 輔色4 17" xfId="16730"/>
    <cellStyle name="60% - 輔色4 17 10" xfId="37626"/>
    <cellStyle name="60% - 輔色4 17 11" xfId="39150"/>
    <cellStyle name="60% - 輔色4 17 2" xfId="24635"/>
    <cellStyle name="60% - 輔色4 17 3" xfId="28021"/>
    <cellStyle name="60% - 輔色4 17 4" xfId="24822"/>
    <cellStyle name="60% - 輔色4 17 5" xfId="29016"/>
    <cellStyle name="60% - 輔色4 17 6" xfId="30801"/>
    <cellStyle name="60% - 輔色4 17 7" xfId="32574"/>
    <cellStyle name="60% - 輔色4 17 8" xfId="34316"/>
    <cellStyle name="60% - 輔色4 17 9" xfId="36006"/>
    <cellStyle name="60% - 輔色4 18" xfId="17645"/>
    <cellStyle name="60% - 輔色4 18 10" xfId="37766"/>
    <cellStyle name="60% - 輔色4 18 11" xfId="39269"/>
    <cellStyle name="60% - 輔色4 18 2" xfId="24636"/>
    <cellStyle name="60% - 輔色4 18 3" xfId="28022"/>
    <cellStyle name="60% - 輔色4 18 4" xfId="24832"/>
    <cellStyle name="60% - 輔色4 18 5" xfId="29190"/>
    <cellStyle name="60% - 輔色4 18 6" xfId="30973"/>
    <cellStyle name="60% - 輔色4 18 7" xfId="32743"/>
    <cellStyle name="60% - 輔色4 18 8" xfId="34479"/>
    <cellStyle name="60% - 輔色4 18 9" xfId="36159"/>
    <cellStyle name="60% - 輔色4 19" xfId="18547"/>
    <cellStyle name="60% - 輔色4 19 10" xfId="37856"/>
    <cellStyle name="60% - 輔色4 19 11" xfId="39343"/>
    <cellStyle name="60% - 輔色4 19 2" xfId="24637"/>
    <cellStyle name="60% - 輔色4 19 3" xfId="28023"/>
    <cellStyle name="60% - 輔色4 19 4" xfId="23129"/>
    <cellStyle name="60% - 輔色4 19 5" xfId="29315"/>
    <cellStyle name="60% - 輔色4 19 6" xfId="31096"/>
    <cellStyle name="60% - 輔色4 19 7" xfId="32865"/>
    <cellStyle name="60% - 輔色4 19 8" xfId="34594"/>
    <cellStyle name="60% - 輔色4 19 9" xfId="36263"/>
    <cellStyle name="60% - 輔色4 2" xfId="8584"/>
    <cellStyle name="60% - 輔色4 2 10" xfId="34378"/>
    <cellStyle name="60% - 輔色4 2 11" xfId="36066"/>
    <cellStyle name="60% - 輔色4 2 12" xfId="9190"/>
    <cellStyle name="60% - 輔色4 2 2" xfId="9389"/>
    <cellStyle name="60% - 輔色4 2 2 2" xfId="24638"/>
    <cellStyle name="60% - 輔色4 2 3" xfId="28024"/>
    <cellStyle name="60% - 輔色4 2 4" xfId="26415"/>
    <cellStyle name="60% - 輔色4 2 5" xfId="28596"/>
    <cellStyle name="60% - 輔色4 2 6" xfId="23537"/>
    <cellStyle name="60% - 輔色4 2 7" xfId="29082"/>
    <cellStyle name="60% - 輔色4 2 8" xfId="30867"/>
    <cellStyle name="60% - 輔色4 2 9" xfId="32638"/>
    <cellStyle name="60% - 輔色4 20" xfId="19452"/>
    <cellStyle name="60% - 輔色4 20 10" xfId="35873"/>
    <cellStyle name="60% - 輔色4 20 11" xfId="37500"/>
    <cellStyle name="60% - 輔色4 20 2" xfId="24639"/>
    <cellStyle name="60% - 輔色4 20 3" xfId="28025"/>
    <cellStyle name="60% - 輔色4 20 4" xfId="27072"/>
    <cellStyle name="60% - 輔色4 20 5" xfId="23604"/>
    <cellStyle name="60% - 輔色4 20 6" xfId="28862"/>
    <cellStyle name="60% - 輔色4 20 7" xfId="30648"/>
    <cellStyle name="60% - 輔色4 20 8" xfId="32421"/>
    <cellStyle name="60% - 輔色4 20 9" xfId="34172"/>
    <cellStyle name="60% - 輔色4 21" xfId="20315"/>
    <cellStyle name="60% - 輔色4 21 10" xfId="38634"/>
    <cellStyle name="60% - 輔色4 21 11" xfId="40068"/>
    <cellStyle name="60% - 輔色4 21 2" xfId="24640"/>
    <cellStyle name="60% - 輔色4 21 3" xfId="28026"/>
    <cellStyle name="60% - 輔色4 21 4" xfId="22780"/>
    <cellStyle name="60% - 輔色4 21 5" xfId="30190"/>
    <cellStyle name="60% - 輔色4 21 6" xfId="31965"/>
    <cellStyle name="60% - 輔色4 21 7" xfId="33720"/>
    <cellStyle name="60% - 輔色4 21 8" xfId="35433"/>
    <cellStyle name="60% - 輔色4 21 9" xfId="37078"/>
    <cellStyle name="60% - 輔色4 22" xfId="16737"/>
    <cellStyle name="60% - 輔色4 22 10" xfId="28771"/>
    <cellStyle name="60% - 輔色4 22 11" xfId="30559"/>
    <cellStyle name="60% - 輔色4 22 2" xfId="24641"/>
    <cellStyle name="60% - 輔色4 22 3" xfId="28027"/>
    <cellStyle name="60% - 輔色4 22 4" xfId="23648"/>
    <cellStyle name="60% - 輔色4 22 5" xfId="28526"/>
    <cellStyle name="60% - 輔色4 22 6" xfId="27165"/>
    <cellStyle name="60% - 輔色4 22 7" xfId="28245"/>
    <cellStyle name="60% - 輔色4 22 8" xfId="27530"/>
    <cellStyle name="60% - 輔色4 22 9" xfId="22886"/>
    <cellStyle name="60% - 輔色4 23" xfId="22818"/>
    <cellStyle name="60% - 輔色4 23 10" xfId="38064"/>
    <cellStyle name="60% - 輔色4 23 11" xfId="39521"/>
    <cellStyle name="60% - 輔色4 23 2" xfId="24642"/>
    <cellStyle name="60% - 輔色4 23 3" xfId="28028"/>
    <cellStyle name="60% - 輔色4 23 4" xfId="23143"/>
    <cellStyle name="60% - 輔色4 23 5" xfId="29569"/>
    <cellStyle name="60% - 輔色4 23 6" xfId="31345"/>
    <cellStyle name="60% - 輔色4 23 7" xfId="33109"/>
    <cellStyle name="60% - 輔色4 23 8" xfId="34827"/>
    <cellStyle name="60% - 輔色4 23 9" xfId="36482"/>
    <cellStyle name="60% - 輔色4 24" xfId="24643"/>
    <cellStyle name="60% - 輔色4 25" xfId="24644"/>
    <cellStyle name="60% - 輔色4 26" xfId="24645"/>
    <cellStyle name="60% - 輔色4 27" xfId="24646"/>
    <cellStyle name="60% - 輔色4 28" xfId="24647"/>
    <cellStyle name="60% - 輔色4 29" xfId="24648"/>
    <cellStyle name="60% - 輔色4 3" xfId="9232"/>
    <cellStyle name="60% - 輔色4 3 10" xfId="32182"/>
    <cellStyle name="60% - 輔色4 3 11" xfId="33937"/>
    <cellStyle name="60% - 輔色4 3 2" xfId="9453"/>
    <cellStyle name="60% - 輔色4 3 2 2" xfId="24649"/>
    <cellStyle name="60% - 輔色4 3 3" xfId="28034"/>
    <cellStyle name="60% - 輔色4 3 4" xfId="23504"/>
    <cellStyle name="60% - 輔色4 3 5" xfId="28447"/>
    <cellStyle name="60% - 輔色4 3 6" xfId="27289"/>
    <cellStyle name="60% - 輔色4 3 7" xfId="24846"/>
    <cellStyle name="60% - 輔色4 3 8" xfId="28615"/>
    <cellStyle name="60% - 輔色4 3 9" xfId="30407"/>
    <cellStyle name="60% - 輔色4 30" xfId="24650"/>
    <cellStyle name="60% - 輔色4 31" xfId="24651"/>
    <cellStyle name="60% - 輔色4 32" xfId="24652"/>
    <cellStyle name="60% - 輔色4 33" xfId="24653"/>
    <cellStyle name="60% - 輔色4 34" xfId="24654"/>
    <cellStyle name="60% - 輔色4 35" xfId="24655"/>
    <cellStyle name="60% - 輔色4 36" xfId="24656"/>
    <cellStyle name="60% - 輔色4 37" xfId="24657"/>
    <cellStyle name="60% - 輔色4 38" xfId="24658"/>
    <cellStyle name="60% - 輔色4 39" xfId="24659"/>
    <cellStyle name="60% - 輔色4 4" xfId="11024"/>
    <cellStyle name="60% - 輔色4 4 10" xfId="32231"/>
    <cellStyle name="60% - 輔色4 4 11" xfId="33985"/>
    <cellStyle name="60% - 輔色4 4 2" xfId="24660"/>
    <cellStyle name="60% - 輔色4 4 3" xfId="28044"/>
    <cellStyle name="60% - 輔色4 4 4" xfId="27841"/>
    <cellStyle name="60% - 輔色4 4 5" xfId="28105"/>
    <cellStyle name="60% - 輔色4 4 6" xfId="27756"/>
    <cellStyle name="60% - 輔色4 4 7" xfId="26587"/>
    <cellStyle name="60% - 輔色4 4 8" xfId="28666"/>
    <cellStyle name="60% - 輔色4 4 9" xfId="30456"/>
    <cellStyle name="60% - 輔色4 40" xfId="24661"/>
    <cellStyle name="60% - 輔色4 41" xfId="24662"/>
    <cellStyle name="60% - 輔色4 42" xfId="24663"/>
    <cellStyle name="60% - 輔色4 43" xfId="24664"/>
    <cellStyle name="60% - 輔色4 44" xfId="24665"/>
    <cellStyle name="60% - 輔色4 45" xfId="24666"/>
    <cellStyle name="60% - 輔色4 46" xfId="24667"/>
    <cellStyle name="60% - 輔色4 47" xfId="24668"/>
    <cellStyle name="60% - 輔色4 48" xfId="24669"/>
    <cellStyle name="60% - 輔色4 49" xfId="24670"/>
    <cellStyle name="60% - 輔色4 5" xfId="11173"/>
    <cellStyle name="60% - 輔色4 5 10" xfId="30114"/>
    <cellStyle name="60% - 輔色4 5 11" xfId="31889"/>
    <cellStyle name="60% - 輔色4 5 2" xfId="24671"/>
    <cellStyle name="60% - 輔色4 5 3" xfId="28055"/>
    <cellStyle name="60% - 輔色4 5 4" xfId="27829"/>
    <cellStyle name="60% - 輔色4 5 5" xfId="28118"/>
    <cellStyle name="60% - 輔色4 5 6" xfId="27723"/>
    <cellStyle name="60% - 輔色4 5 7" xfId="23206"/>
    <cellStyle name="60% - 輔色4 5 8" xfId="28369"/>
    <cellStyle name="60% - 輔色4 5 9" xfId="27411"/>
    <cellStyle name="60% - 輔色4 50" xfId="24672"/>
    <cellStyle name="60% - 輔色4 51" xfId="24673"/>
    <cellStyle name="60% - 輔色4 52" xfId="24674"/>
    <cellStyle name="60% - 輔色4 53" xfId="24675"/>
    <cellStyle name="60% - 輔色4 54" xfId="24676"/>
    <cellStyle name="60% - 輔色4 55" xfId="24677"/>
    <cellStyle name="60% - 輔色4 56" xfId="24678"/>
    <cellStyle name="60% - 輔色4 57" xfId="24679"/>
    <cellStyle name="60% - 輔色4 58" xfId="24680"/>
    <cellStyle name="60% - 輔色4 59" xfId="24681"/>
    <cellStyle name="60% - 輔色4 6" xfId="11366"/>
    <cellStyle name="60% - 輔色4 6 10" xfId="32505"/>
    <cellStyle name="60% - 輔色4 6 11" xfId="34250"/>
    <cellStyle name="60% - 輔色4 6 2" xfId="24682"/>
    <cellStyle name="60% - 輔色4 6 3" xfId="28066"/>
    <cellStyle name="60% - 輔色4 6 4" xfId="27817"/>
    <cellStyle name="60% - 輔色4 6 5" xfId="28149"/>
    <cellStyle name="60% - 輔色4 6 6" xfId="27689"/>
    <cellStyle name="60% - 輔色4 6 7" xfId="23056"/>
    <cellStyle name="60% - 輔色4 6 8" xfId="28946"/>
    <cellStyle name="60% - 輔色4 6 9" xfId="30732"/>
    <cellStyle name="60% - 輔色4 60" xfId="24683"/>
    <cellStyle name="60% - 輔色4 61" xfId="24684"/>
    <cellStyle name="60% - 輔色4 62" xfId="23352"/>
    <cellStyle name="60% - 輔色4 63" xfId="28477"/>
    <cellStyle name="60% - 輔色4 64" xfId="27238"/>
    <cellStyle name="60% - 輔色4 65" xfId="23502"/>
    <cellStyle name="60% - 輔色4 66" xfId="28540"/>
    <cellStyle name="60% - 輔色4 67" xfId="22937"/>
    <cellStyle name="60% - 輔色4 68" xfId="29065"/>
    <cellStyle name="60% - 輔色4 69" xfId="30850"/>
    <cellStyle name="60% - 輔色4 7" xfId="11556"/>
    <cellStyle name="60% - 輔色4 7 10" xfId="35126"/>
    <cellStyle name="60% - 輔色4 7 11" xfId="36776"/>
    <cellStyle name="60% - 輔色4 7 2" xfId="24685"/>
    <cellStyle name="60% - 輔色4 7 3" xfId="28069"/>
    <cellStyle name="60% - 輔色4 7 4" xfId="27814"/>
    <cellStyle name="60% - 輔色4 7 5" xfId="28152"/>
    <cellStyle name="60% - 輔色4 7 6" xfId="27686"/>
    <cellStyle name="60% - 輔色4 7 7" xfId="29878"/>
    <cellStyle name="60% - 輔色4 7 8" xfId="31653"/>
    <cellStyle name="60% - 輔色4 7 9" xfId="33412"/>
    <cellStyle name="60% - 輔色4 70" xfId="32623"/>
    <cellStyle name="60% - 輔色4 71" xfId="8641"/>
    <cellStyle name="60% - 輔色4 72" xfId="8014"/>
    <cellStyle name="60% - 輔色4 73" xfId="7954"/>
    <cellStyle name="60% - 輔色4 8" xfId="11736"/>
    <cellStyle name="60% - 輔色4 8 10" xfId="23376"/>
    <cellStyle name="60% - 輔色4 8 11" xfId="28358"/>
    <cellStyle name="60% - 輔色4 8 2" xfId="24686"/>
    <cellStyle name="60% - 輔色4 8 3" xfId="28070"/>
    <cellStyle name="60% - 輔色4 8 4" xfId="27813"/>
    <cellStyle name="60% - 輔色4 8 5" xfId="28154"/>
    <cellStyle name="60% - 輔色4 8 6" xfId="27666"/>
    <cellStyle name="60% - 輔色4 8 7" xfId="23449"/>
    <cellStyle name="60% - 輔色4 8 8" xfId="28384"/>
    <cellStyle name="60% - 輔色4 8 9" xfId="27395"/>
    <cellStyle name="60% - 輔色4 9" xfId="11922"/>
    <cellStyle name="60% - 輔色4 9 10" xfId="32519"/>
    <cellStyle name="60% - 輔色4 9 11" xfId="34262"/>
    <cellStyle name="60% - 輔色4 9 2" xfId="24687"/>
    <cellStyle name="60% - 輔色4 9 3" xfId="28071"/>
    <cellStyle name="60% - 輔色4 9 4" xfId="27812"/>
    <cellStyle name="60% - 輔色4 9 5" xfId="28155"/>
    <cellStyle name="60% - 輔色4 9 6" xfId="27665"/>
    <cellStyle name="60% - 輔色4 9 7" xfId="23485"/>
    <cellStyle name="60% - 輔色4 9 8" xfId="28960"/>
    <cellStyle name="60% - 輔色4 9 9" xfId="30746"/>
    <cellStyle name="60% - 輔色5 10" xfId="11214"/>
    <cellStyle name="60% - 輔色5 10 10" xfId="35128"/>
    <cellStyle name="60% - 輔色5 10 11" xfId="36778"/>
    <cellStyle name="60% - 輔色5 10 2" xfId="24688"/>
    <cellStyle name="60% - 輔色5 10 3" xfId="28072"/>
    <cellStyle name="60% - 輔色5 10 4" xfId="27810"/>
    <cellStyle name="60% - 輔色5 10 5" xfId="28157"/>
    <cellStyle name="60% - 輔色5 10 6" xfId="27662"/>
    <cellStyle name="60% - 輔色5 10 7" xfId="29880"/>
    <cellStyle name="60% - 輔色5 10 8" xfId="31655"/>
    <cellStyle name="60% - 輔色5 10 9" xfId="33414"/>
    <cellStyle name="60% - 輔色5 11" xfId="11291"/>
    <cellStyle name="60% - 輔色5 11 10" xfId="35382"/>
    <cellStyle name="60% - 輔色5 11 11" xfId="37027"/>
    <cellStyle name="60% - 輔色5 11 2" xfId="24689"/>
    <cellStyle name="60% - 輔色5 11 3" xfId="28073"/>
    <cellStyle name="60% - 輔色5 11 4" xfId="27809"/>
    <cellStyle name="60% - 輔色5 11 5" xfId="28158"/>
    <cellStyle name="60% - 輔色5 11 6" xfId="27661"/>
    <cellStyle name="60% - 輔色5 11 7" xfId="30139"/>
    <cellStyle name="60% - 輔色5 11 8" xfId="31914"/>
    <cellStyle name="60% - 輔色5 11 9" xfId="33669"/>
    <cellStyle name="60% - 輔色5 12" xfId="11376"/>
    <cellStyle name="60% - 輔色5 12 10" xfId="34967"/>
    <cellStyle name="60% - 輔色5 12 11" xfId="36620"/>
    <cellStyle name="60% - 輔色5 12 2" xfId="24690"/>
    <cellStyle name="60% - 輔色5 12 3" xfId="28074"/>
    <cellStyle name="60% - 輔色5 12 4" xfId="27808"/>
    <cellStyle name="60% - 輔色5 12 5" xfId="28159"/>
    <cellStyle name="60% - 輔色5 12 6" xfId="27660"/>
    <cellStyle name="60% - 輔色5 12 7" xfId="29713"/>
    <cellStyle name="60% - 輔色5 12 8" xfId="31488"/>
    <cellStyle name="60% - 輔色5 12 9" xfId="33249"/>
    <cellStyle name="60% - 輔色5 13" xfId="12873"/>
    <cellStyle name="60% - 輔色5 13 10" xfId="32254"/>
    <cellStyle name="60% - 輔色5 13 11" xfId="34007"/>
    <cellStyle name="60% - 輔色5 13 2" xfId="24691"/>
    <cellStyle name="60% - 輔色5 13 3" xfId="28075"/>
    <cellStyle name="60% - 輔色5 13 4" xfId="27807"/>
    <cellStyle name="60% - 輔色5 13 5" xfId="28160"/>
    <cellStyle name="60% - 輔色5 13 6" xfId="27659"/>
    <cellStyle name="60% - 輔色5 13 7" xfId="23073"/>
    <cellStyle name="60% - 輔色5 13 8" xfId="28690"/>
    <cellStyle name="60% - 輔色5 13 9" xfId="30479"/>
    <cellStyle name="60% - 輔色5 14" xfId="12133"/>
    <cellStyle name="60% - 輔色5 14 10" xfId="32360"/>
    <cellStyle name="60% - 輔色5 14 11" xfId="34112"/>
    <cellStyle name="60% - 輔色5 14 2" xfId="24692"/>
    <cellStyle name="60% - 輔色5 14 3" xfId="28076"/>
    <cellStyle name="60% - 輔色5 14 4" xfId="27806"/>
    <cellStyle name="60% - 輔色5 14 5" xfId="28161"/>
    <cellStyle name="60% - 輔色5 14 6" xfId="27658"/>
    <cellStyle name="60% - 輔色5 14 7" xfId="23568"/>
    <cellStyle name="60% - 輔色5 14 8" xfId="28798"/>
    <cellStyle name="60% - 輔色5 14 9" xfId="30586"/>
    <cellStyle name="60% - 輔色5 15" xfId="12750"/>
    <cellStyle name="60% - 輔色5 15 10" xfId="32965"/>
    <cellStyle name="60% - 輔色5 15 11" xfId="34688"/>
    <cellStyle name="60% - 輔色5 15 2" xfId="24693"/>
    <cellStyle name="60% - 輔色5 15 3" xfId="28077"/>
    <cellStyle name="60% - 輔色5 15 4" xfId="27805"/>
    <cellStyle name="60% - 輔色5 15 5" xfId="28162"/>
    <cellStyle name="60% - 輔色5 15 6" xfId="27657"/>
    <cellStyle name="60% - 輔色5 15 7" xfId="26785"/>
    <cellStyle name="60% - 輔色5 15 8" xfId="29422"/>
    <cellStyle name="60% - 輔色5 15 9" xfId="31199"/>
    <cellStyle name="60% - 輔色5 16" xfId="10369"/>
    <cellStyle name="60% - 輔色5 16 10" xfId="32356"/>
    <cellStyle name="60% - 輔色5 16 11" xfId="34108"/>
    <cellStyle name="60% - 輔色5 16 2" xfId="24694"/>
    <cellStyle name="60% - 輔色5 16 3" xfId="28078"/>
    <cellStyle name="60% - 輔色5 16 4" xfId="27786"/>
    <cellStyle name="60% - 輔色5 16 5" xfId="28183"/>
    <cellStyle name="60% - 輔色5 16 6" xfId="27634"/>
    <cellStyle name="60% - 輔色5 16 7" xfId="23246"/>
    <cellStyle name="60% - 輔色5 16 8" xfId="28794"/>
    <cellStyle name="60% - 輔色5 16 9" xfId="30582"/>
    <cellStyle name="60% - 輔色5 17" xfId="16764"/>
    <cellStyle name="60% - 輔色5 17 10" xfId="28417"/>
    <cellStyle name="60% - 輔色5 17 11" xfId="27340"/>
    <cellStyle name="60% - 輔色5 17 2" xfId="24695"/>
    <cellStyle name="60% - 輔色5 17 3" xfId="28079"/>
    <cellStyle name="60% - 輔色5 17 4" xfId="27785"/>
    <cellStyle name="60% - 輔色5 17 5" xfId="28184"/>
    <cellStyle name="60% - 輔色5 17 6" xfId="27633"/>
    <cellStyle name="60% - 輔色5 17 7" xfId="23308"/>
    <cellStyle name="60% - 輔色5 17 8" xfId="28586"/>
    <cellStyle name="60% - 輔色5 17 9" xfId="23520"/>
    <cellStyle name="60% - 輔色5 18" xfId="17674"/>
    <cellStyle name="60% - 輔色5 18 10" xfId="33114"/>
    <cellStyle name="60% - 輔色5 18 11" xfId="34832"/>
    <cellStyle name="60% - 輔色5 18 2" xfId="24696"/>
    <cellStyle name="60% - 輔色5 18 3" xfId="28080"/>
    <cellStyle name="60% - 輔色5 18 4" xfId="27783"/>
    <cellStyle name="60% - 輔色5 18 5" xfId="28187"/>
    <cellStyle name="60% - 輔色5 18 6" xfId="27629"/>
    <cellStyle name="60% - 輔色5 18 7" xfId="23464"/>
    <cellStyle name="60% - 輔色5 18 8" xfId="29574"/>
    <cellStyle name="60% - 輔色5 18 9" xfId="31350"/>
    <cellStyle name="60% - 輔色5 19" xfId="18574"/>
    <cellStyle name="60% - 輔色5 19 10" xfId="23698"/>
    <cellStyle name="60% - 輔色5 19 11" xfId="29518"/>
    <cellStyle name="60% - 輔色5 19 2" xfId="24697"/>
    <cellStyle name="60% - 輔色5 19 3" xfId="28081"/>
    <cellStyle name="60% - 輔色5 19 4" xfId="27782"/>
    <cellStyle name="60% - 輔色5 19 5" xfId="28188"/>
    <cellStyle name="60% - 輔色5 19 6" xfId="27628"/>
    <cellStyle name="60% - 輔色5 19 7" xfId="23425"/>
    <cellStyle name="60% - 輔色5 19 8" xfId="28445"/>
    <cellStyle name="60% - 輔色5 19 9" xfId="27291"/>
    <cellStyle name="60% - 輔色5 2" xfId="8585"/>
    <cellStyle name="60% - 輔色5 2 10" xfId="34157"/>
    <cellStyle name="60% - 輔色5 2 11" xfId="35862"/>
    <cellStyle name="60% - 輔色5 2 12" xfId="9194"/>
    <cellStyle name="60% - 輔色5 2 2" xfId="9390"/>
    <cellStyle name="60% - 輔色5 2 2 2" xfId="24698"/>
    <cellStyle name="60% - 輔色5 2 3" xfId="28082"/>
    <cellStyle name="60% - 輔色5 2 4" xfId="27781"/>
    <cellStyle name="60% - 輔色5 2 5" xfId="22766"/>
    <cellStyle name="60% - 輔色5 2 6" xfId="23640"/>
    <cellStyle name="60% - 輔色5 2 7" xfId="28846"/>
    <cellStyle name="60% - 輔色5 2 8" xfId="30632"/>
    <cellStyle name="60% - 輔色5 2 9" xfId="32406"/>
    <cellStyle name="60% - 輔色5 20" xfId="16654"/>
    <cellStyle name="60% - 輔色5 20 10" xfId="35694"/>
    <cellStyle name="60% - 輔色5 20 11" xfId="37336"/>
    <cellStyle name="60% - 輔色5 20 2" xfId="24699"/>
    <cellStyle name="60% - 輔色5 20 3" xfId="28083"/>
    <cellStyle name="60% - 輔色5 20 4" xfId="27780"/>
    <cellStyle name="60% - 輔色5 20 5" xfId="23624"/>
    <cellStyle name="60% - 輔色5 20 6" xfId="28663"/>
    <cellStyle name="60% - 輔色5 20 7" xfId="30453"/>
    <cellStyle name="60% - 輔色5 20 8" xfId="32228"/>
    <cellStyle name="60% - 輔色5 20 9" xfId="33982"/>
    <cellStyle name="60% - 輔色5 21" xfId="17582"/>
    <cellStyle name="60% - 輔色5 21 10" xfId="36300"/>
    <cellStyle name="60% - 輔色5 21 11" xfId="37888"/>
    <cellStyle name="60% - 輔色5 21 2" xfId="24700"/>
    <cellStyle name="60% - 輔色5 21 3" xfId="28084"/>
    <cellStyle name="60% - 輔色5 21 4" xfId="27779"/>
    <cellStyle name="60% - 輔色5 21 5" xfId="22868"/>
    <cellStyle name="60% - 輔色5 21 6" xfId="29354"/>
    <cellStyle name="60% - 輔色5 21 7" xfId="31135"/>
    <cellStyle name="60% - 輔色5 21 8" xfId="32903"/>
    <cellStyle name="60% - 輔色5 21 9" xfId="34632"/>
    <cellStyle name="60% - 輔色5 22" xfId="20375"/>
    <cellStyle name="60% - 輔色5 22 10" xfId="36195"/>
    <cellStyle name="60% - 輔色5 22 11" xfId="37798"/>
    <cellStyle name="60% - 輔色5 22 2" xfId="24701"/>
    <cellStyle name="60% - 輔色5 22 3" xfId="28085"/>
    <cellStyle name="60% - 輔色5 22 4" xfId="27778"/>
    <cellStyle name="60% - 輔色5 22 5" xfId="23274"/>
    <cellStyle name="60% - 輔色5 22 6" xfId="29230"/>
    <cellStyle name="60% - 輔色5 22 7" xfId="31013"/>
    <cellStyle name="60% - 輔色5 22 8" xfId="32783"/>
    <cellStyle name="60% - 輔色5 22 9" xfId="34517"/>
    <cellStyle name="60% - 輔色5 23" xfId="22819"/>
    <cellStyle name="60% - 輔色5 23 10" xfId="36093"/>
    <cellStyle name="60% - 輔色5 23 11" xfId="37707"/>
    <cellStyle name="60% - 輔色5 23 2" xfId="24702"/>
    <cellStyle name="60% - 輔色5 23 3" xfId="28086"/>
    <cellStyle name="60% - 輔色5 23 4" xfId="27777"/>
    <cellStyle name="60% - 輔色5 23 5" xfId="23166"/>
    <cellStyle name="60% - 輔色5 23 6" xfId="29110"/>
    <cellStyle name="60% - 輔色5 23 7" xfId="30895"/>
    <cellStyle name="60% - 輔色5 23 8" xfId="32666"/>
    <cellStyle name="60% - 輔色5 23 9" xfId="34406"/>
    <cellStyle name="60% - 輔色5 24" xfId="24703"/>
    <cellStyle name="60% - 輔色5 25" xfId="24704"/>
    <cellStyle name="60% - 輔色5 26" xfId="24705"/>
    <cellStyle name="60% - 輔色5 27" xfId="24706"/>
    <cellStyle name="60% - 輔色5 28" xfId="24707"/>
    <cellStyle name="60% - 輔色5 29" xfId="24708"/>
    <cellStyle name="60% - 輔色5 3" xfId="9236"/>
    <cellStyle name="60% - 輔色5 3 10" xfId="36094"/>
    <cellStyle name="60% - 輔色5 3 11" xfId="37708"/>
    <cellStyle name="60% - 輔色5 3 2" xfId="9452"/>
    <cellStyle name="60% - 輔色5 3 2 2" xfId="24709"/>
    <cellStyle name="60% - 輔色5 3 3" xfId="28093"/>
    <cellStyle name="60% - 輔色5 3 4" xfId="27769"/>
    <cellStyle name="60% - 輔色5 3 5" xfId="23266"/>
    <cellStyle name="60% - 輔色5 3 6" xfId="29111"/>
    <cellStyle name="60% - 輔色5 3 7" xfId="30896"/>
    <cellStyle name="60% - 輔色5 3 8" xfId="32667"/>
    <cellStyle name="60% - 輔色5 3 9" xfId="34407"/>
    <cellStyle name="60% - 輔色5 30" xfId="24710"/>
    <cellStyle name="60% - 輔色5 31" xfId="24711"/>
    <cellStyle name="60% - 輔色5 32" xfId="24712"/>
    <cellStyle name="60% - 輔色5 33" xfId="24713"/>
    <cellStyle name="60% - 輔色5 34" xfId="24714"/>
    <cellStyle name="60% - 輔色5 35" xfId="24715"/>
    <cellStyle name="60% - 輔色5 36" xfId="24716"/>
    <cellStyle name="60% - 輔色5 37" xfId="24717"/>
    <cellStyle name="60% - 輔色5 38" xfId="24718"/>
    <cellStyle name="60% - 輔色5 39" xfId="24719"/>
    <cellStyle name="60% - 輔色5 4" xfId="10946"/>
    <cellStyle name="60% - 輔色5 4 10" xfId="34153"/>
    <cellStyle name="60% - 輔色5 4 11" xfId="35859"/>
    <cellStyle name="60% - 輔色5 4 2" xfId="24720"/>
    <cellStyle name="60% - 輔色5 4 3" xfId="28104"/>
    <cellStyle name="60% - 輔色5 4 4" xfId="27757"/>
    <cellStyle name="60% - 輔色5 4 5" xfId="23670"/>
    <cellStyle name="60% - 輔色5 4 6" xfId="23414"/>
    <cellStyle name="60% - 輔色5 4 7" xfId="28842"/>
    <cellStyle name="60% - 輔色5 4 8" xfId="30628"/>
    <cellStyle name="60% - 輔色5 4 9" xfId="32402"/>
    <cellStyle name="60% - 輔色5 40" xfId="24721"/>
    <cellStyle name="60% - 輔色5 41" xfId="24722"/>
    <cellStyle name="60% - 輔色5 42" xfId="24723"/>
    <cellStyle name="60% - 輔色5 43" xfId="24724"/>
    <cellStyle name="60% - 輔色5 44" xfId="24725"/>
    <cellStyle name="60% - 輔色5 45" xfId="24726"/>
    <cellStyle name="60% - 輔色5 46" xfId="24727"/>
    <cellStyle name="60% - 輔色5 47" xfId="24728"/>
    <cellStyle name="60% - 輔色5 48" xfId="24729"/>
    <cellStyle name="60% - 輔色5 49" xfId="24730"/>
    <cellStyle name="60% - 輔色5 5" xfId="10951"/>
    <cellStyle name="60% - 輔色5 5 10" xfId="36211"/>
    <cellStyle name="60% - 輔色5 5 11" xfId="37813"/>
    <cellStyle name="60% - 輔色5 5 2" xfId="24731"/>
    <cellStyle name="60% - 輔色5 5 3" xfId="28115"/>
    <cellStyle name="60% - 輔色5 5 4" xfId="27745"/>
    <cellStyle name="60% - 輔色5 5 5" xfId="23101"/>
    <cellStyle name="60% - 輔色5 5 6" xfId="29253"/>
    <cellStyle name="60% - 輔色5 5 7" xfId="31035"/>
    <cellStyle name="60% - 輔色5 5 8" xfId="32804"/>
    <cellStyle name="60% - 輔色5 5 9" xfId="34538"/>
    <cellStyle name="60% - 輔色5 50" xfId="24732"/>
    <cellStyle name="60% - 輔色5 51" xfId="24733"/>
    <cellStyle name="60% - 輔色5 52" xfId="24734"/>
    <cellStyle name="60% - 輔色5 53" xfId="24735"/>
    <cellStyle name="60% - 輔色5 54" xfId="24736"/>
    <cellStyle name="60% - 輔色5 55" xfId="24737"/>
    <cellStyle name="60% - 輔色5 56" xfId="24738"/>
    <cellStyle name="60% - 輔色5 57" xfId="24739"/>
    <cellStyle name="60% - 輔色5 58" xfId="24740"/>
    <cellStyle name="60% - 輔色5 59" xfId="24741"/>
    <cellStyle name="60% - 輔色5 6" xfId="10579"/>
    <cellStyle name="60% - 輔色5 6 10" xfId="31151"/>
    <cellStyle name="60% - 輔色5 6 11" xfId="32918"/>
    <cellStyle name="60% - 輔色5 6 2" xfId="24742"/>
    <cellStyle name="60% - 輔色5 6 3" xfId="28126"/>
    <cellStyle name="60% - 輔色5 6 4" xfId="27715"/>
    <cellStyle name="60% - 輔色5 6 5" xfId="23375"/>
    <cellStyle name="60% - 輔色5 6 6" xfId="28371"/>
    <cellStyle name="60% - 輔色5 6 7" xfId="27409"/>
    <cellStyle name="60% - 輔色5 6 8" xfId="23467"/>
    <cellStyle name="60% - 輔色5 6 9" xfId="29373"/>
    <cellStyle name="60% - 輔色5 60" xfId="24743"/>
    <cellStyle name="60% - 輔色5 61" xfId="24744"/>
    <cellStyle name="60% - 輔色5 62" xfId="23272"/>
    <cellStyle name="60% - 輔色5 63" xfId="28476"/>
    <cellStyle name="60% - 輔色5 64" xfId="27239"/>
    <cellStyle name="60% - 輔色5 65" xfId="22829"/>
    <cellStyle name="60% - 輔色5 66" xfId="29584"/>
    <cellStyle name="60% - 輔色5 67" xfId="31360"/>
    <cellStyle name="60% - 輔色5 68" xfId="33123"/>
    <cellStyle name="60% - 輔色5 69" xfId="34841"/>
    <cellStyle name="60% - 輔色5 7" xfId="11111"/>
    <cellStyle name="60% - 輔色5 7 10" xfId="35376"/>
    <cellStyle name="60% - 輔色5 7 11" xfId="37021"/>
    <cellStyle name="60% - 輔色5 7 2" xfId="24745"/>
    <cellStyle name="60% - 輔色5 7 3" xfId="28129"/>
    <cellStyle name="60% - 輔色5 7 4" xfId="27711"/>
    <cellStyle name="60% - 輔色5 7 5" xfId="28200"/>
    <cellStyle name="60% - 輔色5 7 6" xfId="27597"/>
    <cellStyle name="60% - 輔色5 7 7" xfId="30133"/>
    <cellStyle name="60% - 輔色5 7 8" xfId="31908"/>
    <cellStyle name="60% - 輔色5 7 9" xfId="33663"/>
    <cellStyle name="60% - 輔色5 70" xfId="36494"/>
    <cellStyle name="60% - 輔色5 71" xfId="8018"/>
    <cellStyle name="60% - 輔色5 72" xfId="7955"/>
    <cellStyle name="60% - 輔色5 8" xfId="11305"/>
    <cellStyle name="60% - 輔色5 8 10" xfId="38342"/>
    <cellStyle name="60% - 輔色5 8 11" xfId="39788"/>
    <cellStyle name="60% - 輔色5 8 2" xfId="24746"/>
    <cellStyle name="60% - 輔色5 8 3" xfId="28130"/>
    <cellStyle name="60% - 輔色5 8 4" xfId="27710"/>
    <cellStyle name="60% - 輔色5 8 5" xfId="29876"/>
    <cellStyle name="60% - 輔色5 8 6" xfId="31651"/>
    <cellStyle name="60% - 輔色5 8 7" xfId="33410"/>
    <cellStyle name="60% - 輔色5 8 8" xfId="35124"/>
    <cellStyle name="60% - 輔色5 8 9" xfId="36774"/>
    <cellStyle name="60% - 輔色5 9" xfId="11497"/>
    <cellStyle name="60% - 輔色5 9 10" xfId="38700"/>
    <cellStyle name="60% - 輔色5 9 11" xfId="40134"/>
    <cellStyle name="60% - 輔色5 9 2" xfId="24747"/>
    <cellStyle name="60% - 輔色5 9 3" xfId="28131"/>
    <cellStyle name="60% - 輔色5 9 4" xfId="27709"/>
    <cellStyle name="60% - 輔色5 9 5" xfId="30257"/>
    <cellStyle name="60% - 輔色5 9 6" xfId="32032"/>
    <cellStyle name="60% - 輔色5 9 7" xfId="33787"/>
    <cellStyle name="60% - 輔色5 9 8" xfId="35500"/>
    <cellStyle name="60% - 輔色5 9 9" xfId="37144"/>
    <cellStyle name="60% - 輔色6 10" xfId="11114"/>
    <cellStyle name="60% - 輔色6 10 10" xfId="38722"/>
    <cellStyle name="60% - 輔色6 10 11" xfId="40156"/>
    <cellStyle name="60% - 輔色6 10 2" xfId="24748"/>
    <cellStyle name="60% - 輔色6 10 3" xfId="28132"/>
    <cellStyle name="60% - 輔色6 10 4" xfId="27708"/>
    <cellStyle name="60% - 輔色6 10 5" xfId="30279"/>
    <cellStyle name="60% - 輔色6 10 6" xfId="32054"/>
    <cellStyle name="60% - 輔色6 10 7" xfId="33809"/>
    <cellStyle name="60% - 輔色6 10 8" xfId="35522"/>
    <cellStyle name="60% - 輔色6 10 9" xfId="37166"/>
    <cellStyle name="60% - 輔色6 11" xfId="10750"/>
    <cellStyle name="60% - 輔色6 11 10" xfId="35713"/>
    <cellStyle name="60% - 輔色6 11 11" xfId="37353"/>
    <cellStyle name="60% - 輔色6 11 2" xfId="24749"/>
    <cellStyle name="60% - 輔色6 11 3" xfId="28133"/>
    <cellStyle name="60% - 輔色6 11 4" xfId="27707"/>
    <cellStyle name="60% - 輔色6 11 5" xfId="23478"/>
    <cellStyle name="60% - 輔色6 11 6" xfId="28685"/>
    <cellStyle name="60% - 輔色6 11 7" xfId="30474"/>
    <cellStyle name="60% - 輔色6 11 8" xfId="32249"/>
    <cellStyle name="60% - 輔色6 11 9" xfId="34002"/>
    <cellStyle name="60% - 輔色6 12" xfId="10475"/>
    <cellStyle name="60% - 輔色6 12 10" xfId="36336"/>
    <cellStyle name="60% - 輔色6 12 11" xfId="37922"/>
    <cellStyle name="60% - 輔色6 12 2" xfId="24750"/>
    <cellStyle name="60% - 輔色6 12 3" xfId="28134"/>
    <cellStyle name="60% - 輔色6 12 4" xfId="27706"/>
    <cellStyle name="60% - 輔色6 12 5" xfId="23145"/>
    <cellStyle name="60% - 輔色6 12 6" xfId="29400"/>
    <cellStyle name="60% - 輔色6 12 7" xfId="31177"/>
    <cellStyle name="60% - 輔色6 12 8" xfId="32944"/>
    <cellStyle name="60% - 輔色6 12 9" xfId="34670"/>
    <cellStyle name="60% - 輔色6 13" xfId="12812"/>
    <cellStyle name="60% - 輔色6 13 10" xfId="36343"/>
    <cellStyle name="60% - 輔色6 13 11" xfId="37929"/>
    <cellStyle name="60% - 輔色6 13 2" xfId="24751"/>
    <cellStyle name="60% - 輔色6 13 3" xfId="28135"/>
    <cellStyle name="60% - 輔色6 13 4" xfId="27705"/>
    <cellStyle name="60% - 輔色6 13 5" xfId="24841"/>
    <cellStyle name="60% - 輔色6 13 6" xfId="29409"/>
    <cellStyle name="60% - 輔色6 13 7" xfId="31186"/>
    <cellStyle name="60% - 輔色6 13 8" xfId="32953"/>
    <cellStyle name="60% - 輔色6 13 9" xfId="34677"/>
    <cellStyle name="60% - 輔色6 14" xfId="12156"/>
    <cellStyle name="60% - 輔色6 14 10" xfId="36215"/>
    <cellStyle name="60% - 輔色6 14 11" xfId="37817"/>
    <cellStyle name="60% - 輔色6 14 2" xfId="24752"/>
    <cellStyle name="60% - 輔色6 14 3" xfId="28136"/>
    <cellStyle name="60% - 輔色6 14 4" xfId="27704"/>
    <cellStyle name="60% - 輔色6 14 5" xfId="22852"/>
    <cellStyle name="60% - 輔色6 14 6" xfId="29259"/>
    <cellStyle name="60% - 輔色6 14 7" xfId="31041"/>
    <cellStyle name="60% - 輔色6 14 8" xfId="32810"/>
    <cellStyle name="60% - 輔色6 14 9" xfId="34542"/>
    <cellStyle name="60% - 輔色6 15" xfId="12644"/>
    <cellStyle name="60% - 輔色6 15 10" xfId="36109"/>
    <cellStyle name="60% - 輔色6 15 11" xfId="37722"/>
    <cellStyle name="60% - 輔色6 15 2" xfId="24753"/>
    <cellStyle name="60% - 輔色6 15 3" xfId="28137"/>
    <cellStyle name="60% - 輔色6 15 4" xfId="27703"/>
    <cellStyle name="60% - 輔色6 15 5" xfId="26555"/>
    <cellStyle name="60% - 輔色6 15 6" xfId="29133"/>
    <cellStyle name="60% - 輔色6 15 7" xfId="30917"/>
    <cellStyle name="60% - 輔色6 15 8" xfId="32688"/>
    <cellStyle name="60% - 輔色6 15 9" xfId="34426"/>
    <cellStyle name="60% - 輔色6 16" xfId="14982"/>
    <cellStyle name="60% - 輔色6 16 10" xfId="28272"/>
    <cellStyle name="60% - 輔色6 16 11" xfId="23665"/>
    <cellStyle name="60% - 輔色6 16 2" xfId="24754"/>
    <cellStyle name="60% - 輔色6 16 3" xfId="28138"/>
    <cellStyle name="60% - 輔色6 16 4" xfId="27701"/>
    <cellStyle name="60% - 輔色6 16 5" xfId="23131"/>
    <cellStyle name="60% - 輔色6 16 6" xfId="28367"/>
    <cellStyle name="60% - 輔色6 16 7" xfId="27414"/>
    <cellStyle name="60% - 輔色6 16 8" xfId="27095"/>
    <cellStyle name="60% - 輔色6 16 9" xfId="23289"/>
    <cellStyle name="60% - 輔色6 17" xfId="15821"/>
    <cellStyle name="60% - 輔色6 17 10" xfId="33451"/>
    <cellStyle name="60% - 輔色6 17 11" xfId="35165"/>
    <cellStyle name="60% - 輔色6 17 2" xfId="24755"/>
    <cellStyle name="60% - 輔色6 17 3" xfId="28139"/>
    <cellStyle name="60% - 輔色6 17 4" xfId="27700"/>
    <cellStyle name="60% - 輔色6 17 5" xfId="23659"/>
    <cellStyle name="60% - 輔色6 17 6" xfId="28410"/>
    <cellStyle name="60% - 輔色6 17 7" xfId="27348"/>
    <cellStyle name="60% - 輔色6 17 8" xfId="29917"/>
    <cellStyle name="60% - 輔色6 17 9" xfId="31692"/>
    <cellStyle name="60% - 輔色6 18" xfId="10569"/>
    <cellStyle name="60% - 輔色6 18 10" xfId="34973"/>
    <cellStyle name="60% - 輔色6 18 11" xfId="36626"/>
    <cellStyle name="60% - 輔色6 18 2" xfId="24756"/>
    <cellStyle name="60% - 輔色6 18 3" xfId="28140"/>
    <cellStyle name="60% - 輔色6 18 4" xfId="27699"/>
    <cellStyle name="60% - 輔色6 18 5" xfId="28201"/>
    <cellStyle name="60% - 輔色6 18 6" xfId="27596"/>
    <cellStyle name="60% - 輔色6 18 7" xfId="29719"/>
    <cellStyle name="60% - 輔色6 18 8" xfId="31494"/>
    <cellStyle name="60% - 輔色6 18 9" xfId="33255"/>
    <cellStyle name="60% - 輔色6 19" xfId="13841"/>
    <cellStyle name="60% - 輔色6 19 10" xfId="38343"/>
    <cellStyle name="60% - 輔色6 19 11" xfId="39789"/>
    <cellStyle name="60% - 輔色6 19 2" xfId="24757"/>
    <cellStyle name="60% - 輔色6 19 3" xfId="28141"/>
    <cellStyle name="60% - 輔色6 19 4" xfId="27698"/>
    <cellStyle name="60% - 輔色6 19 5" xfId="29877"/>
    <cellStyle name="60% - 輔色6 19 6" xfId="31652"/>
    <cellStyle name="60% - 輔色6 19 7" xfId="33411"/>
    <cellStyle name="60% - 輔色6 19 8" xfId="35125"/>
    <cellStyle name="60% - 輔色6 19 9" xfId="36775"/>
    <cellStyle name="60% - 輔色6 2" xfId="8586"/>
    <cellStyle name="60% - 輔色6 2 10" xfId="38699"/>
    <cellStyle name="60% - 輔色6 2 11" xfId="40133"/>
    <cellStyle name="60% - 輔色6 2 12" xfId="9198"/>
    <cellStyle name="60% - 輔色6 2 2" xfId="9391"/>
    <cellStyle name="60% - 輔色6 2 2 2" xfId="24758"/>
    <cellStyle name="60% - 輔色6 2 3" xfId="28142"/>
    <cellStyle name="60% - 輔色6 2 4" xfId="27697"/>
    <cellStyle name="60% - 輔色6 2 5" xfId="30256"/>
    <cellStyle name="60% - 輔色6 2 6" xfId="32031"/>
    <cellStyle name="60% - 輔色6 2 7" xfId="33786"/>
    <cellStyle name="60% - 輔色6 2 8" xfId="35499"/>
    <cellStyle name="60% - 輔色6 2 9" xfId="37143"/>
    <cellStyle name="60% - 輔色6 20" xfId="15816"/>
    <cellStyle name="60% - 輔色6 20 10" xfId="38721"/>
    <cellStyle name="60% - 輔色6 20 11" xfId="40155"/>
    <cellStyle name="60% - 輔色6 20 2" xfId="24759"/>
    <cellStyle name="60% - 輔色6 20 3" xfId="28143"/>
    <cellStyle name="60% - 輔色6 20 4" xfId="27696"/>
    <cellStyle name="60% - 輔色6 20 5" xfId="30278"/>
    <cellStyle name="60% - 輔色6 20 6" xfId="32053"/>
    <cellStyle name="60% - 輔色6 20 7" xfId="33808"/>
    <cellStyle name="60% - 輔色6 20 8" xfId="35521"/>
    <cellStyle name="60% - 輔色6 20 9" xfId="37165"/>
    <cellStyle name="60% - 輔色6 21" xfId="11857"/>
    <cellStyle name="60% - 輔色6 21 10" xfId="35714"/>
    <cellStyle name="60% - 輔色6 21 11" xfId="37354"/>
    <cellStyle name="60% - 輔色6 21 2" xfId="24760"/>
    <cellStyle name="60% - 輔色6 21 3" xfId="28144"/>
    <cellStyle name="60% - 輔色6 21 4" xfId="27695"/>
    <cellStyle name="60% - 輔色6 21 5" xfId="23557"/>
    <cellStyle name="60% - 輔色6 21 6" xfId="28686"/>
    <cellStyle name="60% - 輔色6 21 7" xfId="30475"/>
    <cellStyle name="60% - 輔色6 21 8" xfId="32250"/>
    <cellStyle name="60% - 輔色6 21 9" xfId="34003"/>
    <cellStyle name="60% - 輔色6 22" xfId="21141"/>
    <cellStyle name="60% - 輔色6 22 10" xfId="36337"/>
    <cellStyle name="60% - 輔色6 22 11" xfId="37923"/>
    <cellStyle name="60% - 輔色6 22 2" xfId="24761"/>
    <cellStyle name="60% - 輔色6 22 3" xfId="28145"/>
    <cellStyle name="60% - 輔色6 22 4" xfId="27694"/>
    <cellStyle name="60% - 輔色6 22 5" xfId="23225"/>
    <cellStyle name="60% - 輔色6 22 6" xfId="29401"/>
    <cellStyle name="60% - 輔色6 22 7" xfId="31178"/>
    <cellStyle name="60% - 輔色6 22 8" xfId="32945"/>
    <cellStyle name="60% - 輔色6 22 9" xfId="34671"/>
    <cellStyle name="60% - 輔色6 23" xfId="22820"/>
    <cellStyle name="60% - 輔色6 23 10" xfId="36341"/>
    <cellStyle name="60% - 輔色6 23 11" xfId="37927"/>
    <cellStyle name="60% - 輔色6 23 2" xfId="24762"/>
    <cellStyle name="60% - 輔色6 23 3" xfId="28146"/>
    <cellStyle name="60% - 輔色6 23 4" xfId="27693"/>
    <cellStyle name="60% - 輔色6 23 5" xfId="23468"/>
    <cellStyle name="60% - 輔色6 23 6" xfId="29405"/>
    <cellStyle name="60% - 輔色6 23 7" xfId="31182"/>
    <cellStyle name="60% - 輔色6 23 8" xfId="32949"/>
    <cellStyle name="60% - 輔色6 23 9" xfId="34675"/>
    <cellStyle name="60% - 輔色6 24" xfId="24763"/>
    <cellStyle name="60% - 輔色6 25" xfId="24764"/>
    <cellStyle name="60% - 輔色6 26" xfId="24765"/>
    <cellStyle name="60% - 輔色6 27" xfId="24766"/>
    <cellStyle name="60% - 輔色6 28" xfId="24767"/>
    <cellStyle name="60% - 輔色6 29" xfId="24768"/>
    <cellStyle name="60% - 輔色6 3" xfId="9240"/>
    <cellStyle name="60% - 輔色6 3 10" xfId="38586"/>
    <cellStyle name="60% - 輔色6 3 11" xfId="40020"/>
    <cellStyle name="60% - 輔色6 3 2" xfId="9449"/>
    <cellStyle name="60% - 輔色6 3 2 2" xfId="24769"/>
    <cellStyle name="60% - 輔色6 3 3" xfId="28153"/>
    <cellStyle name="60% - 輔色6 3 4" xfId="27685"/>
    <cellStyle name="60% - 輔色6 3 5" xfId="30141"/>
    <cellStyle name="60% - 輔色6 3 6" xfId="31916"/>
    <cellStyle name="60% - 輔色6 3 7" xfId="33671"/>
    <cellStyle name="60% - 輔色6 3 8" xfId="35384"/>
    <cellStyle name="60% - 輔色6 3 9" xfId="37029"/>
    <cellStyle name="60% - 輔色6 30" xfId="24770"/>
    <cellStyle name="60% - 輔色6 31" xfId="24771"/>
    <cellStyle name="60% - 輔色6 32" xfId="24772"/>
    <cellStyle name="60% - 輔色6 33" xfId="24773"/>
    <cellStyle name="60% - 輔色6 34" xfId="24774"/>
    <cellStyle name="60% - 輔色6 35" xfId="24775"/>
    <cellStyle name="60% - 輔色6 36" xfId="24776"/>
    <cellStyle name="60% - 輔色6 37" xfId="24777"/>
    <cellStyle name="60% - 輔色6 38" xfId="24778"/>
    <cellStyle name="60% - 輔色6 39" xfId="24779"/>
    <cellStyle name="60% - 輔色6 4" xfId="10871"/>
    <cellStyle name="60% - 輔色6 4 10" xfId="36120"/>
    <cellStyle name="60% - 輔色6 4 11" xfId="37732"/>
    <cellStyle name="60% - 輔色6 4 2" xfId="24780"/>
    <cellStyle name="60% - 輔色6 4 3" xfId="28164"/>
    <cellStyle name="60% - 輔色6 4 4" xfId="27655"/>
    <cellStyle name="60% - 輔色6 4 5" xfId="24828"/>
    <cellStyle name="60% - 輔色6 4 6" xfId="29146"/>
    <cellStyle name="60% - 輔色6 4 7" xfId="30930"/>
    <cellStyle name="60% - 輔色6 4 8" xfId="32701"/>
    <cellStyle name="60% - 輔色6 4 9" xfId="34438"/>
    <cellStyle name="60% - 輔色6 40" xfId="24781"/>
    <cellStyle name="60% - 輔色6 41" xfId="24782"/>
    <cellStyle name="60% - 輔色6 42" xfId="24783"/>
    <cellStyle name="60% - 輔色6 43" xfId="24784"/>
    <cellStyle name="60% - 輔色6 44" xfId="24785"/>
    <cellStyle name="60% - 輔色6 45" xfId="24786"/>
    <cellStyle name="60% - 輔色6 46" xfId="24787"/>
    <cellStyle name="60% - 輔色6 47" xfId="24788"/>
    <cellStyle name="60% - 輔色6 48" xfId="24789"/>
    <cellStyle name="60% - 輔色6 49" xfId="24790"/>
    <cellStyle name="60% - 輔色6 5" xfId="10560"/>
    <cellStyle name="60% - 輔色6 5 10" xfId="36121"/>
    <cellStyle name="60% - 輔色6 5 11" xfId="37733"/>
    <cellStyle name="60% - 輔色6 5 2" xfId="24791"/>
    <cellStyle name="60% - 輔色6 5 3" xfId="28175"/>
    <cellStyle name="60% - 輔色6 5 4" xfId="27643"/>
    <cellStyle name="60% - 輔色6 5 5" xfId="26558"/>
    <cellStyle name="60% - 輔色6 5 6" xfId="29147"/>
    <cellStyle name="60% - 輔色6 5 7" xfId="30931"/>
    <cellStyle name="60% - 輔色6 5 8" xfId="32702"/>
    <cellStyle name="60% - 輔色6 5 9" xfId="34439"/>
    <cellStyle name="60% - 輔色6 50" xfId="24792"/>
    <cellStyle name="60% - 輔色6 51" xfId="24793"/>
    <cellStyle name="60% - 輔色6 52" xfId="24794"/>
    <cellStyle name="60% - 輔色6 53" xfId="24795"/>
    <cellStyle name="60% - 輔色6 54" xfId="24796"/>
    <cellStyle name="60% - 輔色6 55" xfId="24797"/>
    <cellStyle name="60% - 輔色6 56" xfId="24798"/>
    <cellStyle name="60% - 輔色6 57" xfId="24799"/>
    <cellStyle name="60% - 輔色6 58" xfId="24800"/>
    <cellStyle name="60% - 輔色6 59" xfId="24801"/>
    <cellStyle name="60% - 輔色6 6" xfId="10594"/>
    <cellStyle name="60% - 輔色6 6 10" xfId="35996"/>
    <cellStyle name="60% - 輔色6 6 11" xfId="37619"/>
    <cellStyle name="60% - 輔色6 6 2" xfId="24802"/>
    <cellStyle name="60% - 輔色6 6 3" xfId="28186"/>
    <cellStyle name="60% - 輔色6 6 4" xfId="27630"/>
    <cellStyle name="60% - 輔色6 6 5" xfId="26810"/>
    <cellStyle name="60% - 輔色6 6 6" xfId="29005"/>
    <cellStyle name="60% - 輔色6 6 7" xfId="30790"/>
    <cellStyle name="60% - 輔色6 6 8" xfId="32563"/>
    <cellStyle name="60% - 輔色6 6 9" xfId="34305"/>
    <cellStyle name="60% - 輔色6 60" xfId="24803"/>
    <cellStyle name="60% - 輔色6 61" xfId="24804"/>
    <cellStyle name="60% - 輔色6 62" xfId="23193"/>
    <cellStyle name="60% - 輔色6 63" xfId="28475"/>
    <cellStyle name="60% - 輔色6 64" xfId="27240"/>
    <cellStyle name="60% - 輔色6 65" xfId="26552"/>
    <cellStyle name="60% - 輔色6 66" xfId="29029"/>
    <cellStyle name="60% - 輔色6 67" xfId="30814"/>
    <cellStyle name="60% - 輔色6 68" xfId="32587"/>
    <cellStyle name="60% - 輔色6 69" xfId="34329"/>
    <cellStyle name="60% - 輔色6 7" xfId="10648"/>
    <cellStyle name="60% - 輔色6 7 10" xfId="32781"/>
    <cellStyle name="60% - 輔色6 7 11" xfId="34515"/>
    <cellStyle name="60% - 輔色6 7 2" xfId="24805"/>
    <cellStyle name="60% - 輔色6 7 3" xfId="28189"/>
    <cellStyle name="60% - 輔色6 7 4" xfId="27627"/>
    <cellStyle name="60% - 輔色6 7 5" xfId="28207"/>
    <cellStyle name="60% - 輔色6 7 6" xfId="27589"/>
    <cellStyle name="60% - 輔色6 7 7" xfId="23189"/>
    <cellStyle name="60% - 輔色6 7 8" xfId="29228"/>
    <cellStyle name="60% - 輔色6 7 9" xfId="31011"/>
    <cellStyle name="60% - 輔色6 70" xfId="36019"/>
    <cellStyle name="60% - 輔色6 71" xfId="8642"/>
    <cellStyle name="60% - 輔色6 72" xfId="8022"/>
    <cellStyle name="60% - 輔色6 73" xfId="7956"/>
    <cellStyle name="60% - 輔色6 8" xfId="10948"/>
    <cellStyle name="60% - 輔色6 8 10" xfId="38347"/>
    <cellStyle name="60% - 輔色6 8 11" xfId="39791"/>
    <cellStyle name="60% - 輔色6 8 2" xfId="24806"/>
    <cellStyle name="60% - 輔色6 8 3" xfId="28190"/>
    <cellStyle name="60% - 輔色6 8 4" xfId="27626"/>
    <cellStyle name="60% - 輔色6 8 5" xfId="29883"/>
    <cellStyle name="60% - 輔色6 8 6" xfId="31658"/>
    <cellStyle name="60% - 輔色6 8 7" xfId="33417"/>
    <cellStyle name="60% - 輔色6 8 8" xfId="35131"/>
    <cellStyle name="60% - 輔色6 8 9" xfId="36781"/>
    <cellStyle name="60% - 輔色6 9" xfId="10805"/>
    <cellStyle name="60% - 輔色6 9 10" xfId="38582"/>
    <cellStyle name="60% - 輔色6 9 11" xfId="40018"/>
    <cellStyle name="60% - 輔色6 9 2" xfId="24807"/>
    <cellStyle name="60% - 輔色6 9 3" xfId="28191"/>
    <cellStyle name="60% - 輔色6 9 4" xfId="27625"/>
    <cellStyle name="60% - 輔色6 9 5" xfId="30136"/>
    <cellStyle name="60% - 輔色6 9 6" xfId="31911"/>
    <cellStyle name="60% - 輔色6 9 7" xfId="33666"/>
    <cellStyle name="60% - 輔色6 9 8" xfId="35379"/>
    <cellStyle name="60% - 輔色6 9 9" xfId="37024"/>
    <cellStyle name="a" xfId="3654"/>
    <cellStyle name="a 2" xfId="7694"/>
    <cellStyle name="Äåíåæíûé [0]_laroux" xfId="3655"/>
    <cellStyle name="Äåíåæíûé_laroux" xfId="3656"/>
    <cellStyle name="Accent1" xfId="19" builtinId="29" customBuiltin="1"/>
    <cellStyle name="Accent1 10" xfId="9787"/>
    <cellStyle name="Accent1 11" xfId="9868"/>
    <cellStyle name="Accent1 11 10" xfId="35780"/>
    <cellStyle name="Accent1 11 11" xfId="37417"/>
    <cellStyle name="Accent1 11 2" xfId="24808"/>
    <cellStyle name="Accent1 11 3" xfId="28192"/>
    <cellStyle name="Accent1 11 4" xfId="27606"/>
    <cellStyle name="Accent1 11 5" xfId="23561"/>
    <cellStyle name="Accent1 11 6" xfId="28755"/>
    <cellStyle name="Accent1 11 7" xfId="30543"/>
    <cellStyle name="Accent1 11 8" xfId="32318"/>
    <cellStyle name="Accent1 11 9" xfId="34070"/>
    <cellStyle name="Accent1 12" xfId="9850"/>
    <cellStyle name="Accent1 12 10" xfId="41046"/>
    <cellStyle name="Accent1 12 11" xfId="42117"/>
    <cellStyle name="Accent1 12 2" xfId="26537"/>
    <cellStyle name="Accent1 12 3" xfId="29868"/>
    <cellStyle name="Accent1 12 4" xfId="31643"/>
    <cellStyle name="Accent1 12 5" xfId="33402"/>
    <cellStyle name="Accent1 12 6" xfId="35116"/>
    <cellStyle name="Accent1 12 7" xfId="36766"/>
    <cellStyle name="Accent1 12 8" xfId="38334"/>
    <cellStyle name="Accent1 12 9" xfId="39780"/>
    <cellStyle name="Accent1 13" xfId="10015"/>
    <cellStyle name="Accent1 13 10" xfId="41387"/>
    <cellStyle name="Accent1 13 11" xfId="42437"/>
    <cellStyle name="Accent1 13 2" xfId="26937"/>
    <cellStyle name="Accent1 13 3" xfId="30265"/>
    <cellStyle name="Accent1 13 4" xfId="32040"/>
    <cellStyle name="Accent1 13 5" xfId="33795"/>
    <cellStyle name="Accent1 13 6" xfId="35508"/>
    <cellStyle name="Accent1 13 7" xfId="37152"/>
    <cellStyle name="Accent1 13 8" xfId="38708"/>
    <cellStyle name="Accent1 13 9" xfId="40142"/>
    <cellStyle name="Accent1 14" xfId="10089"/>
    <cellStyle name="Accent1 14 10" xfId="41407"/>
    <cellStyle name="Accent1 14 11" xfId="42456"/>
    <cellStyle name="Accent1 14 2" xfId="26958"/>
    <cellStyle name="Accent1 14 3" xfId="30287"/>
    <cellStyle name="Accent1 14 4" xfId="32062"/>
    <cellStyle name="Accent1 14 5" xfId="33817"/>
    <cellStyle name="Accent1 14 6" xfId="35530"/>
    <cellStyle name="Accent1 14 7" xfId="37174"/>
    <cellStyle name="Accent1 14 8" xfId="38730"/>
    <cellStyle name="Accent1 14 9" xfId="40164"/>
    <cellStyle name="Accent1 15" xfId="9440"/>
    <cellStyle name="Accent1 15 10" xfId="20359"/>
    <cellStyle name="Accent1 15 11" xfId="21202"/>
    <cellStyle name="Accent1 15 12" xfId="22008"/>
    <cellStyle name="Accent1 15 13" xfId="26980"/>
    <cellStyle name="Accent1 15 14" xfId="30309"/>
    <cellStyle name="Accent1 15 15" xfId="32084"/>
    <cellStyle name="Accent1 15 16" xfId="33839"/>
    <cellStyle name="Accent1 15 17" xfId="35552"/>
    <cellStyle name="Accent1 15 18" xfId="37196"/>
    <cellStyle name="Accent1 15 19" xfId="38752"/>
    <cellStyle name="Accent1 15 2" xfId="12908"/>
    <cellStyle name="Accent1 15 20" xfId="40186"/>
    <cellStyle name="Accent1 15 21" xfId="41429"/>
    <cellStyle name="Accent1 15 22" xfId="42478"/>
    <cellStyle name="Accent1 15 3" xfId="14036"/>
    <cellStyle name="Accent1 15 4" xfId="14964"/>
    <cellStyle name="Accent1 15 5" xfId="15893"/>
    <cellStyle name="Accent1 15 6" xfId="16822"/>
    <cellStyle name="Accent1 15 7" xfId="17732"/>
    <cellStyle name="Accent1 15 8" xfId="18624"/>
    <cellStyle name="Accent1 15 9" xfId="19501"/>
    <cellStyle name="Accent1 16" xfId="10802"/>
    <cellStyle name="Accent1 16 10" xfId="20434"/>
    <cellStyle name="Accent1 16 11" xfId="21270"/>
    <cellStyle name="Accent1 16 12" xfId="22067"/>
    <cellStyle name="Accent1 16 13" xfId="26994"/>
    <cellStyle name="Accent1 16 14" xfId="30323"/>
    <cellStyle name="Accent1 16 15" xfId="32098"/>
    <cellStyle name="Accent1 16 16" xfId="33853"/>
    <cellStyle name="Accent1 16 17" xfId="35566"/>
    <cellStyle name="Accent1 16 18" xfId="37210"/>
    <cellStyle name="Accent1 16 19" xfId="38766"/>
    <cellStyle name="Accent1 16 2" xfId="12984"/>
    <cellStyle name="Accent1 16 20" xfId="40199"/>
    <cellStyle name="Accent1 16 21" xfId="41442"/>
    <cellStyle name="Accent1 16 22" xfId="42491"/>
    <cellStyle name="Accent1 16 3" xfId="14110"/>
    <cellStyle name="Accent1 16 4" xfId="15040"/>
    <cellStyle name="Accent1 16 5" xfId="15967"/>
    <cellStyle name="Accent1 16 6" xfId="16897"/>
    <cellStyle name="Accent1 16 7" xfId="17805"/>
    <cellStyle name="Accent1 16 8" xfId="18695"/>
    <cellStyle name="Accent1 16 9" xfId="19573"/>
    <cellStyle name="Accent1 17" xfId="10959"/>
    <cellStyle name="Accent1 17 10" xfId="20515"/>
    <cellStyle name="Accent1 17 11" xfId="21351"/>
    <cellStyle name="Accent1 17 12" xfId="22145"/>
    <cellStyle name="Accent1 17 13" xfId="27015"/>
    <cellStyle name="Accent1 17 14" xfId="30344"/>
    <cellStyle name="Accent1 17 15" xfId="32119"/>
    <cellStyle name="Accent1 17 16" xfId="33874"/>
    <cellStyle name="Accent1 17 17" xfId="35587"/>
    <cellStyle name="Accent1 17 18" xfId="37231"/>
    <cellStyle name="Accent1 17 19" xfId="38787"/>
    <cellStyle name="Accent1 17 2" xfId="13065"/>
    <cellStyle name="Accent1 17 20" xfId="40220"/>
    <cellStyle name="Accent1 17 21" xfId="41463"/>
    <cellStyle name="Accent1 17 22" xfId="42512"/>
    <cellStyle name="Accent1 17 3" xfId="14191"/>
    <cellStyle name="Accent1 17 4" xfId="15120"/>
    <cellStyle name="Accent1 17 5" xfId="16048"/>
    <cellStyle name="Accent1 17 6" xfId="16978"/>
    <cellStyle name="Accent1 17 7" xfId="17886"/>
    <cellStyle name="Accent1 17 8" xfId="18776"/>
    <cellStyle name="Accent1 17 9" xfId="19654"/>
    <cellStyle name="Accent1 18" xfId="10806"/>
    <cellStyle name="Accent1 18 10" xfId="20594"/>
    <cellStyle name="Accent1 18 11" xfId="21431"/>
    <cellStyle name="Accent1 18 12" xfId="22222"/>
    <cellStyle name="Accent1 18 13" xfId="27025"/>
    <cellStyle name="Accent1 18 14" xfId="30354"/>
    <cellStyle name="Accent1 18 15" xfId="32129"/>
    <cellStyle name="Accent1 18 16" xfId="33884"/>
    <cellStyle name="Accent1 18 17" xfId="35597"/>
    <cellStyle name="Accent1 18 18" xfId="37241"/>
    <cellStyle name="Accent1 18 19" xfId="38797"/>
    <cellStyle name="Accent1 18 2" xfId="13145"/>
    <cellStyle name="Accent1 18 20" xfId="40230"/>
    <cellStyle name="Accent1 18 21" xfId="41473"/>
    <cellStyle name="Accent1 18 22" xfId="42522"/>
    <cellStyle name="Accent1 18 3" xfId="14271"/>
    <cellStyle name="Accent1 18 4" xfId="15199"/>
    <cellStyle name="Accent1 18 5" xfId="16128"/>
    <cellStyle name="Accent1 18 6" xfId="17058"/>
    <cellStyle name="Accent1 18 7" xfId="17966"/>
    <cellStyle name="Accent1 18 8" xfId="18856"/>
    <cellStyle name="Accent1 18 9" xfId="19734"/>
    <cellStyle name="Accent1 19" xfId="10536"/>
    <cellStyle name="Accent1 19 10" xfId="20672"/>
    <cellStyle name="Accent1 19 11" xfId="21510"/>
    <cellStyle name="Accent1 19 12" xfId="22298"/>
    <cellStyle name="Accent1 19 13" xfId="27035"/>
    <cellStyle name="Accent1 19 14" xfId="30364"/>
    <cellStyle name="Accent1 19 15" xfId="32139"/>
    <cellStyle name="Accent1 19 16" xfId="33894"/>
    <cellStyle name="Accent1 19 17" xfId="35607"/>
    <cellStyle name="Accent1 19 18" xfId="37251"/>
    <cellStyle name="Accent1 19 19" xfId="38807"/>
    <cellStyle name="Accent1 19 2" xfId="13224"/>
    <cellStyle name="Accent1 19 20" xfId="40240"/>
    <cellStyle name="Accent1 19 21" xfId="41483"/>
    <cellStyle name="Accent1 19 22" xfId="42532"/>
    <cellStyle name="Accent1 19 3" xfId="14349"/>
    <cellStyle name="Accent1 19 4" xfId="15277"/>
    <cellStyle name="Accent1 19 5" xfId="16207"/>
    <cellStyle name="Accent1 19 6" xfId="17137"/>
    <cellStyle name="Accent1 19 7" xfId="18045"/>
    <cellStyle name="Accent1 19 8" xfId="18935"/>
    <cellStyle name="Accent1 19 9" xfId="19812"/>
    <cellStyle name="Accent1 2" xfId="3968"/>
    <cellStyle name="Accent1 2 10" xfId="10820"/>
    <cellStyle name="Accent1 2 11" xfId="10201"/>
    <cellStyle name="Accent1 2 12" xfId="11255"/>
    <cellStyle name="Accent1 2 13" xfId="12699"/>
    <cellStyle name="Accent1 2 14" xfId="12420"/>
    <cellStyle name="Accent1 2 15" xfId="12654"/>
    <cellStyle name="Accent1 2 16" xfId="13916"/>
    <cellStyle name="Accent1 2 17" xfId="16569"/>
    <cellStyle name="Accent1 2 18" xfId="17497"/>
    <cellStyle name="Accent1 2 19" xfId="18403"/>
    <cellStyle name="Accent1 2 2" xfId="9392"/>
    <cellStyle name="Accent1 2 2 2" xfId="9561"/>
    <cellStyle name="Accent1 2 20" xfId="14859"/>
    <cellStyle name="Accent1 2 21" xfId="12393"/>
    <cellStyle name="Accent1 2 22" xfId="16698"/>
    <cellStyle name="Accent1 2 23" xfId="23012"/>
    <cellStyle name="Accent1 2 24" xfId="23158"/>
    <cellStyle name="Accent1 2 25" xfId="28738"/>
    <cellStyle name="Accent1 2 26" xfId="30527"/>
    <cellStyle name="Accent1 2 27" xfId="32302"/>
    <cellStyle name="Accent1 2 28" xfId="34055"/>
    <cellStyle name="Accent1 2 29" xfId="35765"/>
    <cellStyle name="Accent1 2 3" xfId="10326"/>
    <cellStyle name="Accent1 2 30" xfId="37403"/>
    <cellStyle name="Accent1 2 31" xfId="38954"/>
    <cellStyle name="Accent1 2 32" xfId="40378"/>
    <cellStyle name="Accent1 2 33" xfId="8720"/>
    <cellStyle name="Accent1 2 4" xfId="10542"/>
    <cellStyle name="Accent1 2 5" xfId="10288"/>
    <cellStyle name="Accent1 2 6" xfId="10627"/>
    <cellStyle name="Accent1 2 7" xfId="10866"/>
    <cellStyle name="Accent1 2 8" xfId="9460"/>
    <cellStyle name="Accent1 2 9" xfId="10724"/>
    <cellStyle name="Accent1 20" xfId="10972"/>
    <cellStyle name="Accent1 20 10" xfId="20752"/>
    <cellStyle name="Accent1 20 11" xfId="21590"/>
    <cellStyle name="Accent1 20 12" xfId="22376"/>
    <cellStyle name="Accent1 20 13" xfId="27045"/>
    <cellStyle name="Accent1 20 14" xfId="30374"/>
    <cellStyle name="Accent1 20 15" xfId="32149"/>
    <cellStyle name="Accent1 20 16" xfId="33904"/>
    <cellStyle name="Accent1 20 17" xfId="35617"/>
    <cellStyle name="Accent1 20 18" xfId="37261"/>
    <cellStyle name="Accent1 20 19" xfId="38817"/>
    <cellStyle name="Accent1 20 2" xfId="13305"/>
    <cellStyle name="Accent1 20 20" xfId="40250"/>
    <cellStyle name="Accent1 20 21" xfId="41493"/>
    <cellStyle name="Accent1 20 22" xfId="42542"/>
    <cellStyle name="Accent1 20 3" xfId="14429"/>
    <cellStyle name="Accent1 20 4" xfId="15358"/>
    <cellStyle name="Accent1 20 5" xfId="16287"/>
    <cellStyle name="Accent1 20 6" xfId="17217"/>
    <cellStyle name="Accent1 20 7" xfId="18125"/>
    <cellStyle name="Accent1 20 8" xfId="19015"/>
    <cellStyle name="Accent1 20 9" xfId="19892"/>
    <cellStyle name="Accent1 21" xfId="10504"/>
    <cellStyle name="Accent1 21 10" xfId="20831"/>
    <cellStyle name="Accent1 21 11" xfId="21670"/>
    <cellStyle name="Accent1 21 12" xfId="22454"/>
    <cellStyle name="Accent1 21 13" xfId="27055"/>
    <cellStyle name="Accent1 21 14" xfId="30384"/>
    <cellStyle name="Accent1 21 15" xfId="32159"/>
    <cellStyle name="Accent1 21 16" xfId="33914"/>
    <cellStyle name="Accent1 21 17" xfId="35627"/>
    <cellStyle name="Accent1 21 18" xfId="37271"/>
    <cellStyle name="Accent1 21 19" xfId="38827"/>
    <cellStyle name="Accent1 21 2" xfId="13385"/>
    <cellStyle name="Accent1 21 20" xfId="40260"/>
    <cellStyle name="Accent1 21 21" xfId="41503"/>
    <cellStyle name="Accent1 21 22" xfId="42552"/>
    <cellStyle name="Accent1 21 3" xfId="14509"/>
    <cellStyle name="Accent1 21 4" xfId="15436"/>
    <cellStyle name="Accent1 21 5" xfId="16367"/>
    <cellStyle name="Accent1 21 6" xfId="17297"/>
    <cellStyle name="Accent1 21 7" xfId="18205"/>
    <cellStyle name="Accent1 21 8" xfId="19095"/>
    <cellStyle name="Accent1 21 9" xfId="19972"/>
    <cellStyle name="Accent1 22" xfId="11488"/>
    <cellStyle name="Accent1 22 10" xfId="20909"/>
    <cellStyle name="Accent1 22 11" xfId="21750"/>
    <cellStyle name="Accent1 22 12" xfId="22532"/>
    <cellStyle name="Accent1 22 13" xfId="27065"/>
    <cellStyle name="Accent1 22 14" xfId="30394"/>
    <cellStyle name="Accent1 22 15" xfId="32169"/>
    <cellStyle name="Accent1 22 16" xfId="33924"/>
    <cellStyle name="Accent1 22 17" xfId="35637"/>
    <cellStyle name="Accent1 22 18" xfId="37281"/>
    <cellStyle name="Accent1 22 19" xfId="38837"/>
    <cellStyle name="Accent1 22 2" xfId="13465"/>
    <cellStyle name="Accent1 22 20" xfId="40270"/>
    <cellStyle name="Accent1 22 21" xfId="41513"/>
    <cellStyle name="Accent1 22 22" xfId="42562"/>
    <cellStyle name="Accent1 22 3" xfId="14588"/>
    <cellStyle name="Accent1 22 4" xfId="15516"/>
    <cellStyle name="Accent1 22 5" xfId="16447"/>
    <cellStyle name="Accent1 22 6" xfId="17377"/>
    <cellStyle name="Accent1 22 7" xfId="18285"/>
    <cellStyle name="Accent1 22 8" xfId="19175"/>
    <cellStyle name="Accent1 22 9" xfId="20051"/>
    <cellStyle name="Accent1 23" xfId="11036"/>
    <cellStyle name="Accent1 23 10" xfId="20987"/>
    <cellStyle name="Accent1 23 11" xfId="21827"/>
    <cellStyle name="Accent1 23 12" xfId="22608"/>
    <cellStyle name="Accent1 23 2" xfId="13545"/>
    <cellStyle name="Accent1 23 3" xfId="14667"/>
    <cellStyle name="Accent1 23 4" xfId="15595"/>
    <cellStyle name="Accent1 23 5" xfId="16526"/>
    <cellStyle name="Accent1 23 6" xfId="17455"/>
    <cellStyle name="Accent1 23 7" xfId="18364"/>
    <cellStyle name="Accent1 23 8" xfId="19253"/>
    <cellStyle name="Accent1 23 9" xfId="20127"/>
    <cellStyle name="Accent1 24" xfId="11502"/>
    <cellStyle name="Accent1 24 10" xfId="21055"/>
    <cellStyle name="Accent1 24 11" xfId="21891"/>
    <cellStyle name="Accent1 24 12" xfId="22672"/>
    <cellStyle name="Accent1 24 2" xfId="13625"/>
    <cellStyle name="Accent1 24 3" xfId="14743"/>
    <cellStyle name="Accent1 24 4" xfId="15670"/>
    <cellStyle name="Accent1 24 5" xfId="16600"/>
    <cellStyle name="Accent1 24 6" xfId="17529"/>
    <cellStyle name="Accent1 24 7" xfId="18433"/>
    <cellStyle name="Accent1 24 8" xfId="19321"/>
    <cellStyle name="Accent1 24 9" xfId="20196"/>
    <cellStyle name="Accent1 25" xfId="13703"/>
    <cellStyle name="Accent1 26" xfId="13769"/>
    <cellStyle name="Accent1 27" xfId="12744"/>
    <cellStyle name="Accent1 28" xfId="12398"/>
    <cellStyle name="Accent1 29" xfId="12651"/>
    <cellStyle name="Accent1 3" xfId="8762"/>
    <cellStyle name="Accent1 30" xfId="15796"/>
    <cellStyle name="Accent1 31" xfId="15779"/>
    <cellStyle name="Accent1 32" xfId="12164"/>
    <cellStyle name="Accent1 33" xfId="15782"/>
    <cellStyle name="Accent1 34" xfId="12678"/>
    <cellStyle name="Accent1 35" xfId="12821"/>
    <cellStyle name="Accent1 36" xfId="21161"/>
    <cellStyle name="Accent1 37" xfId="22821"/>
    <cellStyle name="Accent1 38" xfId="23703"/>
    <cellStyle name="Accent1 39" xfId="28474"/>
    <cellStyle name="Accent1 4" xfId="8870"/>
    <cellStyle name="Accent1 40" xfId="27241"/>
    <cellStyle name="Accent1 41" xfId="26561"/>
    <cellStyle name="Accent1 42" xfId="29223"/>
    <cellStyle name="Accent1 43" xfId="31006"/>
    <cellStyle name="Accent1 44" xfId="32776"/>
    <cellStyle name="Accent1 45" xfId="34511"/>
    <cellStyle name="Accent1 46" xfId="36190"/>
    <cellStyle name="Accent1 47" xfId="42604"/>
    <cellStyle name="Accent1 48" xfId="42669"/>
    <cellStyle name="Accent1 49" xfId="42563"/>
    <cellStyle name="Accent1 5" xfId="8948"/>
    <cellStyle name="Accent1 50" xfId="42711"/>
    <cellStyle name="Accent1 51" xfId="42755"/>
    <cellStyle name="Accent1 52" xfId="42797"/>
    <cellStyle name="Accent1 53" xfId="42838"/>
    <cellStyle name="Accent1 54" xfId="42879"/>
    <cellStyle name="Accent1 55" xfId="42919"/>
    <cellStyle name="Accent1 56" xfId="42959"/>
    <cellStyle name="Accent1 57" xfId="42996"/>
    <cellStyle name="Accent1 58" xfId="43032"/>
    <cellStyle name="Accent1 59" xfId="43066"/>
    <cellStyle name="Accent1 6" xfId="9026"/>
    <cellStyle name="Accent1 60" xfId="43144"/>
    <cellStyle name="Accent1 61" xfId="43179"/>
    <cellStyle name="Accent1 62" xfId="8643"/>
    <cellStyle name="Accent1 63" xfId="7695"/>
    <cellStyle name="Accent1 64" xfId="3657"/>
    <cellStyle name="Accent1 7" xfId="9094"/>
    <cellStyle name="Accent1 8" xfId="9259"/>
    <cellStyle name="Accent1 9" xfId="9718"/>
    <cellStyle name="Accent2" xfId="23" builtinId="33" customBuiltin="1"/>
    <cellStyle name="Accent2 10" xfId="9786"/>
    <cellStyle name="Accent2 11" xfId="9859"/>
    <cellStyle name="Accent2 11 10" xfId="35654"/>
    <cellStyle name="Accent2 11 11" xfId="37296"/>
    <cellStyle name="Accent2 11 2" xfId="24809"/>
    <cellStyle name="Accent2 11 3" xfId="28193"/>
    <cellStyle name="Accent2 11 4" xfId="27605"/>
    <cellStyle name="Accent2 11 5" xfId="23474"/>
    <cellStyle name="Accent2 11 6" xfId="28623"/>
    <cellStyle name="Accent2 11 7" xfId="30413"/>
    <cellStyle name="Accent2 11 8" xfId="32188"/>
    <cellStyle name="Accent2 11 9" xfId="33942"/>
    <cellStyle name="Accent2 12" xfId="9849"/>
    <cellStyle name="Accent2 12 10" xfId="41047"/>
    <cellStyle name="Accent2 12 11" xfId="42118"/>
    <cellStyle name="Accent2 12 2" xfId="26538"/>
    <cellStyle name="Accent2 12 3" xfId="29869"/>
    <cellStyle name="Accent2 12 4" xfId="31644"/>
    <cellStyle name="Accent2 12 5" xfId="33403"/>
    <cellStyle name="Accent2 12 6" xfId="35117"/>
    <cellStyle name="Accent2 12 7" xfId="36767"/>
    <cellStyle name="Accent2 12 8" xfId="38335"/>
    <cellStyle name="Accent2 12 9" xfId="39781"/>
    <cellStyle name="Accent2 13" xfId="10014"/>
    <cellStyle name="Accent2 13 10" xfId="41386"/>
    <cellStyle name="Accent2 13 11" xfId="42436"/>
    <cellStyle name="Accent2 13 2" xfId="26936"/>
    <cellStyle name="Accent2 13 3" xfId="30264"/>
    <cellStyle name="Accent2 13 4" xfId="32039"/>
    <cellStyle name="Accent2 13 5" xfId="33794"/>
    <cellStyle name="Accent2 13 6" xfId="35507"/>
    <cellStyle name="Accent2 13 7" xfId="37151"/>
    <cellStyle name="Accent2 13 8" xfId="38707"/>
    <cellStyle name="Accent2 13 9" xfId="40141"/>
    <cellStyle name="Accent2 14" xfId="10088"/>
    <cellStyle name="Accent2 14 10" xfId="41406"/>
    <cellStyle name="Accent2 14 11" xfId="42455"/>
    <cellStyle name="Accent2 14 2" xfId="26957"/>
    <cellStyle name="Accent2 14 3" xfId="30286"/>
    <cellStyle name="Accent2 14 4" xfId="32061"/>
    <cellStyle name="Accent2 14 5" xfId="33816"/>
    <cellStyle name="Accent2 14 6" xfId="35529"/>
    <cellStyle name="Accent2 14 7" xfId="37173"/>
    <cellStyle name="Accent2 14 8" xfId="38729"/>
    <cellStyle name="Accent2 14 9" xfId="40163"/>
    <cellStyle name="Accent2 15" xfId="9438"/>
    <cellStyle name="Accent2 15 10" xfId="20358"/>
    <cellStyle name="Accent2 15 11" xfId="21201"/>
    <cellStyle name="Accent2 15 12" xfId="22007"/>
    <cellStyle name="Accent2 15 13" xfId="26979"/>
    <cellStyle name="Accent2 15 14" xfId="30308"/>
    <cellStyle name="Accent2 15 15" xfId="32083"/>
    <cellStyle name="Accent2 15 16" xfId="33838"/>
    <cellStyle name="Accent2 15 17" xfId="35551"/>
    <cellStyle name="Accent2 15 18" xfId="37195"/>
    <cellStyle name="Accent2 15 19" xfId="38751"/>
    <cellStyle name="Accent2 15 2" xfId="12907"/>
    <cellStyle name="Accent2 15 20" xfId="40185"/>
    <cellStyle name="Accent2 15 21" xfId="41428"/>
    <cellStyle name="Accent2 15 22" xfId="42477"/>
    <cellStyle name="Accent2 15 3" xfId="14035"/>
    <cellStyle name="Accent2 15 4" xfId="14963"/>
    <cellStyle name="Accent2 15 5" xfId="15892"/>
    <cellStyle name="Accent2 15 6" xfId="16821"/>
    <cellStyle name="Accent2 15 7" xfId="17731"/>
    <cellStyle name="Accent2 15 8" xfId="18623"/>
    <cellStyle name="Accent2 15 9" xfId="19500"/>
    <cellStyle name="Accent2 16" xfId="10723"/>
    <cellStyle name="Accent2 16 10" xfId="20431"/>
    <cellStyle name="Accent2 16 11" xfId="21267"/>
    <cellStyle name="Accent2 16 12" xfId="22064"/>
    <cellStyle name="Accent2 16 13" xfId="26993"/>
    <cellStyle name="Accent2 16 14" xfId="30322"/>
    <cellStyle name="Accent2 16 15" xfId="32097"/>
    <cellStyle name="Accent2 16 16" xfId="33852"/>
    <cellStyle name="Accent2 16 17" xfId="35565"/>
    <cellStyle name="Accent2 16 18" xfId="37209"/>
    <cellStyle name="Accent2 16 19" xfId="38765"/>
    <cellStyle name="Accent2 16 2" xfId="12981"/>
    <cellStyle name="Accent2 16 20" xfId="40198"/>
    <cellStyle name="Accent2 16 21" xfId="41441"/>
    <cellStyle name="Accent2 16 22" xfId="42490"/>
    <cellStyle name="Accent2 16 3" xfId="14107"/>
    <cellStyle name="Accent2 16 4" xfId="15037"/>
    <cellStyle name="Accent2 16 5" xfId="15964"/>
    <cellStyle name="Accent2 16 6" xfId="16894"/>
    <cellStyle name="Accent2 16 7" xfId="17802"/>
    <cellStyle name="Accent2 16 8" xfId="18692"/>
    <cellStyle name="Accent2 16 9" xfId="19570"/>
    <cellStyle name="Accent2 17" xfId="10991"/>
    <cellStyle name="Accent2 17 10" xfId="20514"/>
    <cellStyle name="Accent2 17 11" xfId="21350"/>
    <cellStyle name="Accent2 17 12" xfId="22144"/>
    <cellStyle name="Accent2 17 13" xfId="27014"/>
    <cellStyle name="Accent2 17 14" xfId="30343"/>
    <cellStyle name="Accent2 17 15" xfId="32118"/>
    <cellStyle name="Accent2 17 16" xfId="33873"/>
    <cellStyle name="Accent2 17 17" xfId="35586"/>
    <cellStyle name="Accent2 17 18" xfId="37230"/>
    <cellStyle name="Accent2 17 19" xfId="38786"/>
    <cellStyle name="Accent2 17 2" xfId="13064"/>
    <cellStyle name="Accent2 17 20" xfId="40219"/>
    <cellStyle name="Accent2 17 21" xfId="41462"/>
    <cellStyle name="Accent2 17 22" xfId="42511"/>
    <cellStyle name="Accent2 17 3" xfId="14190"/>
    <cellStyle name="Accent2 17 4" xfId="15119"/>
    <cellStyle name="Accent2 17 5" xfId="16047"/>
    <cellStyle name="Accent2 17 6" xfId="16977"/>
    <cellStyle name="Accent2 17 7" xfId="17885"/>
    <cellStyle name="Accent2 17 8" xfId="18775"/>
    <cellStyle name="Accent2 17 9" xfId="19653"/>
    <cellStyle name="Accent2 18" xfId="10657"/>
    <cellStyle name="Accent2 18 10" xfId="20593"/>
    <cellStyle name="Accent2 18 11" xfId="21430"/>
    <cellStyle name="Accent2 18 12" xfId="22221"/>
    <cellStyle name="Accent2 18 13" xfId="27024"/>
    <cellStyle name="Accent2 18 14" xfId="30353"/>
    <cellStyle name="Accent2 18 15" xfId="32128"/>
    <cellStyle name="Accent2 18 16" xfId="33883"/>
    <cellStyle name="Accent2 18 17" xfId="35596"/>
    <cellStyle name="Accent2 18 18" xfId="37240"/>
    <cellStyle name="Accent2 18 19" xfId="38796"/>
    <cellStyle name="Accent2 18 2" xfId="13144"/>
    <cellStyle name="Accent2 18 20" xfId="40229"/>
    <cellStyle name="Accent2 18 21" xfId="41472"/>
    <cellStyle name="Accent2 18 22" xfId="42521"/>
    <cellStyle name="Accent2 18 3" xfId="14270"/>
    <cellStyle name="Accent2 18 4" xfId="15198"/>
    <cellStyle name="Accent2 18 5" xfId="16127"/>
    <cellStyle name="Accent2 18 6" xfId="17057"/>
    <cellStyle name="Accent2 18 7" xfId="17965"/>
    <cellStyle name="Accent2 18 8" xfId="18855"/>
    <cellStyle name="Accent2 18 9" xfId="19733"/>
    <cellStyle name="Accent2 19" xfId="11156"/>
    <cellStyle name="Accent2 19 10" xfId="20669"/>
    <cellStyle name="Accent2 19 11" xfId="21507"/>
    <cellStyle name="Accent2 19 12" xfId="22295"/>
    <cellStyle name="Accent2 19 13" xfId="27034"/>
    <cellStyle name="Accent2 19 14" xfId="30363"/>
    <cellStyle name="Accent2 19 15" xfId="32138"/>
    <cellStyle name="Accent2 19 16" xfId="33893"/>
    <cellStyle name="Accent2 19 17" xfId="35606"/>
    <cellStyle name="Accent2 19 18" xfId="37250"/>
    <cellStyle name="Accent2 19 19" xfId="38806"/>
    <cellStyle name="Accent2 19 2" xfId="13221"/>
    <cellStyle name="Accent2 19 20" xfId="40239"/>
    <cellStyle name="Accent2 19 21" xfId="41482"/>
    <cellStyle name="Accent2 19 22" xfId="42531"/>
    <cellStyle name="Accent2 19 3" xfId="14346"/>
    <cellStyle name="Accent2 19 4" xfId="15274"/>
    <cellStyle name="Accent2 19 5" xfId="16204"/>
    <cellStyle name="Accent2 19 6" xfId="17134"/>
    <cellStyle name="Accent2 19 7" xfId="18042"/>
    <cellStyle name="Accent2 19 8" xfId="18932"/>
    <cellStyle name="Accent2 19 9" xfId="19809"/>
    <cellStyle name="Accent2 2" xfId="3969"/>
    <cellStyle name="Accent2 2 10" xfId="11919"/>
    <cellStyle name="Accent2 2 11" xfId="11689"/>
    <cellStyle name="Accent2 2 12" xfId="12714"/>
    <cellStyle name="Accent2 2 13" xfId="11737"/>
    <cellStyle name="Accent2 2 14" xfId="12733"/>
    <cellStyle name="Accent2 2 15" xfId="11574"/>
    <cellStyle name="Accent2 2 16" xfId="12881"/>
    <cellStyle name="Accent2 2 17" xfId="14789"/>
    <cellStyle name="Accent2 2 18" xfId="11981"/>
    <cellStyle name="Accent2 2 19" xfId="12693"/>
    <cellStyle name="Accent2 2 2" xfId="9393"/>
    <cellStyle name="Accent2 2 2 2" xfId="9562"/>
    <cellStyle name="Accent2 2 20" xfId="16527"/>
    <cellStyle name="Accent2 2 21" xfId="17641"/>
    <cellStyle name="Accent2 2 22" xfId="20198"/>
    <cellStyle name="Accent2 2 23" xfId="23013"/>
    <cellStyle name="Accent2 2 24" xfId="23075"/>
    <cellStyle name="Accent2 2 25" xfId="28737"/>
    <cellStyle name="Accent2 2 26" xfId="30526"/>
    <cellStyle name="Accent2 2 27" xfId="32301"/>
    <cellStyle name="Accent2 2 28" xfId="34054"/>
    <cellStyle name="Accent2 2 29" xfId="35764"/>
    <cellStyle name="Accent2 2 3" xfId="10327"/>
    <cellStyle name="Accent2 2 30" xfId="37402"/>
    <cellStyle name="Accent2 2 31" xfId="38953"/>
    <cellStyle name="Accent2 2 32" xfId="40377"/>
    <cellStyle name="Accent2 2 33" xfId="8721"/>
    <cellStyle name="Accent2 2 4" xfId="10466"/>
    <cellStyle name="Accent2 2 5" xfId="10978"/>
    <cellStyle name="Accent2 2 6" xfId="10808"/>
    <cellStyle name="Accent2 2 7" xfId="10362"/>
    <cellStyle name="Accent2 2 8" xfId="10915"/>
    <cellStyle name="Accent2 2 9" xfId="10641"/>
    <cellStyle name="Accent2 20" xfId="11349"/>
    <cellStyle name="Accent2 20 10" xfId="20751"/>
    <cellStyle name="Accent2 20 11" xfId="21589"/>
    <cellStyle name="Accent2 20 12" xfId="22375"/>
    <cellStyle name="Accent2 20 13" xfId="27044"/>
    <cellStyle name="Accent2 20 14" xfId="30373"/>
    <cellStyle name="Accent2 20 15" xfId="32148"/>
    <cellStyle name="Accent2 20 16" xfId="33903"/>
    <cellStyle name="Accent2 20 17" xfId="35616"/>
    <cellStyle name="Accent2 20 18" xfId="37260"/>
    <cellStyle name="Accent2 20 19" xfId="38816"/>
    <cellStyle name="Accent2 20 2" xfId="13304"/>
    <cellStyle name="Accent2 20 20" xfId="40249"/>
    <cellStyle name="Accent2 20 21" xfId="41492"/>
    <cellStyle name="Accent2 20 22" xfId="42541"/>
    <cellStyle name="Accent2 20 3" xfId="14428"/>
    <cellStyle name="Accent2 20 4" xfId="15357"/>
    <cellStyle name="Accent2 20 5" xfId="16286"/>
    <cellStyle name="Accent2 20 6" xfId="17216"/>
    <cellStyle name="Accent2 20 7" xfId="18124"/>
    <cellStyle name="Accent2 20 8" xfId="19014"/>
    <cellStyle name="Accent2 20 9" xfId="19891"/>
    <cellStyle name="Accent2 21" xfId="11540"/>
    <cellStyle name="Accent2 21 10" xfId="20830"/>
    <cellStyle name="Accent2 21 11" xfId="21669"/>
    <cellStyle name="Accent2 21 12" xfId="22453"/>
    <cellStyle name="Accent2 21 13" xfId="27054"/>
    <cellStyle name="Accent2 21 14" xfId="30383"/>
    <cellStyle name="Accent2 21 15" xfId="32158"/>
    <cellStyle name="Accent2 21 16" xfId="33913"/>
    <cellStyle name="Accent2 21 17" xfId="35626"/>
    <cellStyle name="Accent2 21 18" xfId="37270"/>
    <cellStyle name="Accent2 21 19" xfId="38826"/>
    <cellStyle name="Accent2 21 2" xfId="13384"/>
    <cellStyle name="Accent2 21 20" xfId="40259"/>
    <cellStyle name="Accent2 21 21" xfId="41502"/>
    <cellStyle name="Accent2 21 22" xfId="42551"/>
    <cellStyle name="Accent2 21 3" xfId="14508"/>
    <cellStyle name="Accent2 21 4" xfId="15435"/>
    <cellStyle name="Accent2 21 5" xfId="16366"/>
    <cellStyle name="Accent2 21 6" xfId="17296"/>
    <cellStyle name="Accent2 21 7" xfId="18204"/>
    <cellStyle name="Accent2 21 8" xfId="19094"/>
    <cellStyle name="Accent2 21 9" xfId="19971"/>
    <cellStyle name="Accent2 22" xfId="11358"/>
    <cellStyle name="Accent2 22 10" xfId="20908"/>
    <cellStyle name="Accent2 22 11" xfId="21749"/>
    <cellStyle name="Accent2 22 12" xfId="22531"/>
    <cellStyle name="Accent2 22 13" xfId="27064"/>
    <cellStyle name="Accent2 22 14" xfId="30393"/>
    <cellStyle name="Accent2 22 15" xfId="32168"/>
    <cellStyle name="Accent2 22 16" xfId="33923"/>
    <cellStyle name="Accent2 22 17" xfId="35636"/>
    <cellStyle name="Accent2 22 18" xfId="37280"/>
    <cellStyle name="Accent2 22 19" xfId="38836"/>
    <cellStyle name="Accent2 22 2" xfId="13464"/>
    <cellStyle name="Accent2 22 20" xfId="40269"/>
    <cellStyle name="Accent2 22 21" xfId="41512"/>
    <cellStyle name="Accent2 22 22" xfId="42561"/>
    <cellStyle name="Accent2 22 3" xfId="14587"/>
    <cellStyle name="Accent2 22 4" xfId="15515"/>
    <cellStyle name="Accent2 22 5" xfId="16446"/>
    <cellStyle name="Accent2 22 6" xfId="17376"/>
    <cellStyle name="Accent2 22 7" xfId="18284"/>
    <cellStyle name="Accent2 22 8" xfId="19174"/>
    <cellStyle name="Accent2 22 9" xfId="20050"/>
    <cellStyle name="Accent2 23" xfId="10603"/>
    <cellStyle name="Accent2 23 10" xfId="20986"/>
    <cellStyle name="Accent2 23 11" xfId="21826"/>
    <cellStyle name="Accent2 23 12" xfId="22607"/>
    <cellStyle name="Accent2 23 2" xfId="13544"/>
    <cellStyle name="Accent2 23 3" xfId="14666"/>
    <cellStyle name="Accent2 23 4" xfId="15594"/>
    <cellStyle name="Accent2 23 5" xfId="16525"/>
    <cellStyle name="Accent2 23 6" xfId="17454"/>
    <cellStyle name="Accent2 23 7" xfId="18363"/>
    <cellStyle name="Accent2 23 8" xfId="19252"/>
    <cellStyle name="Accent2 23 9" xfId="20126"/>
    <cellStyle name="Accent2 24" xfId="11650"/>
    <cellStyle name="Accent2 24 10" xfId="21054"/>
    <cellStyle name="Accent2 24 11" xfId="21890"/>
    <cellStyle name="Accent2 24 12" xfId="22671"/>
    <cellStyle name="Accent2 24 2" xfId="13624"/>
    <cellStyle name="Accent2 24 3" xfId="14742"/>
    <cellStyle name="Accent2 24 4" xfId="15669"/>
    <cellStyle name="Accent2 24 5" xfId="16599"/>
    <cellStyle name="Accent2 24 6" xfId="17528"/>
    <cellStyle name="Accent2 24 7" xfId="18432"/>
    <cellStyle name="Accent2 24 8" xfId="19320"/>
    <cellStyle name="Accent2 24 9" xfId="20195"/>
    <cellStyle name="Accent2 25" xfId="13702"/>
    <cellStyle name="Accent2 26" xfId="13768"/>
    <cellStyle name="Accent2 27" xfId="11193"/>
    <cellStyle name="Accent2 28" xfId="12597"/>
    <cellStyle name="Accent2 29" xfId="12479"/>
    <cellStyle name="Accent2 3" xfId="8761"/>
    <cellStyle name="Accent2 30" xfId="15834"/>
    <cellStyle name="Accent2 31" xfId="11953"/>
    <cellStyle name="Accent2 32" xfId="12281"/>
    <cellStyle name="Accent2 33" xfId="13914"/>
    <cellStyle name="Accent2 34" xfId="16576"/>
    <cellStyle name="Accent2 35" xfId="17504"/>
    <cellStyle name="Accent2 36" xfId="16546"/>
    <cellStyle name="Accent2 37" xfId="22822"/>
    <cellStyle name="Accent2 38" xfId="23655"/>
    <cellStyle name="Accent2 39" xfId="28472"/>
    <cellStyle name="Accent2 4" xfId="8869"/>
    <cellStyle name="Accent2 40" xfId="27243"/>
    <cellStyle name="Accent2 41" xfId="29834"/>
    <cellStyle name="Accent2 42" xfId="31609"/>
    <cellStyle name="Accent2 43" xfId="33368"/>
    <cellStyle name="Accent2 44" xfId="35084"/>
    <cellStyle name="Accent2 45" xfId="36735"/>
    <cellStyle name="Accent2 46" xfId="38304"/>
    <cellStyle name="Accent2 47" xfId="42605"/>
    <cellStyle name="Accent2 48" xfId="42668"/>
    <cellStyle name="Accent2 49" xfId="42564"/>
    <cellStyle name="Accent2 5" xfId="8947"/>
    <cellStyle name="Accent2 50" xfId="42709"/>
    <cellStyle name="Accent2 51" xfId="42754"/>
    <cellStyle name="Accent2 52" xfId="42796"/>
    <cellStyle name="Accent2 53" xfId="42837"/>
    <cellStyle name="Accent2 54" xfId="42878"/>
    <cellStyle name="Accent2 55" xfId="42918"/>
    <cellStyle name="Accent2 56" xfId="42958"/>
    <cellStyle name="Accent2 57" xfId="42995"/>
    <cellStyle name="Accent2 58" xfId="43031"/>
    <cellStyle name="Accent2 59" xfId="43065"/>
    <cellStyle name="Accent2 6" xfId="9025"/>
    <cellStyle name="Accent2 60" xfId="43145"/>
    <cellStyle name="Accent2 61" xfId="43178"/>
    <cellStyle name="Accent2 62" xfId="8644"/>
    <cellStyle name="Accent2 63" xfId="7696"/>
    <cellStyle name="Accent2 64" xfId="3658"/>
    <cellStyle name="Accent2 7" xfId="9093"/>
    <cellStyle name="Accent2 8" xfId="9260"/>
    <cellStyle name="Accent2 9" xfId="9717"/>
    <cellStyle name="Accent3" xfId="27" builtinId="37" customBuiltin="1"/>
    <cellStyle name="Accent3 10" xfId="9785"/>
    <cellStyle name="Accent3 11" xfId="9762"/>
    <cellStyle name="Accent3 11 10" xfId="36164"/>
    <cellStyle name="Accent3 11 11" xfId="37770"/>
    <cellStyle name="Accent3 11 2" xfId="24810"/>
    <cellStyle name="Accent3 11 3" xfId="28194"/>
    <cellStyle name="Accent3 11 4" xfId="27603"/>
    <cellStyle name="Accent3 11 5" xfId="22987"/>
    <cellStyle name="Accent3 11 6" xfId="29195"/>
    <cellStyle name="Accent3 11 7" xfId="30978"/>
    <cellStyle name="Accent3 11 8" xfId="32748"/>
    <cellStyle name="Accent3 11 9" xfId="34484"/>
    <cellStyle name="Accent3 12" xfId="9848"/>
    <cellStyle name="Accent3 12 10" xfId="41048"/>
    <cellStyle name="Accent3 12 11" xfId="42119"/>
    <cellStyle name="Accent3 12 2" xfId="26539"/>
    <cellStyle name="Accent3 12 3" xfId="29870"/>
    <cellStyle name="Accent3 12 4" xfId="31645"/>
    <cellStyle name="Accent3 12 5" xfId="33404"/>
    <cellStyle name="Accent3 12 6" xfId="35118"/>
    <cellStyle name="Accent3 12 7" xfId="36768"/>
    <cellStyle name="Accent3 12 8" xfId="38336"/>
    <cellStyle name="Accent3 12 9" xfId="39782"/>
    <cellStyle name="Accent3 13" xfId="10013"/>
    <cellStyle name="Accent3 13 10" xfId="41385"/>
    <cellStyle name="Accent3 13 11" xfId="42435"/>
    <cellStyle name="Accent3 13 2" xfId="26935"/>
    <cellStyle name="Accent3 13 3" xfId="30263"/>
    <cellStyle name="Accent3 13 4" xfId="32038"/>
    <cellStyle name="Accent3 13 5" xfId="33793"/>
    <cellStyle name="Accent3 13 6" xfId="35506"/>
    <cellStyle name="Accent3 13 7" xfId="37150"/>
    <cellStyle name="Accent3 13 8" xfId="38706"/>
    <cellStyle name="Accent3 13 9" xfId="40140"/>
    <cellStyle name="Accent3 14" xfId="10087"/>
    <cellStyle name="Accent3 14 10" xfId="41405"/>
    <cellStyle name="Accent3 14 11" xfId="42454"/>
    <cellStyle name="Accent3 14 2" xfId="26956"/>
    <cellStyle name="Accent3 14 3" xfId="30285"/>
    <cellStyle name="Accent3 14 4" xfId="32060"/>
    <cellStyle name="Accent3 14 5" xfId="33815"/>
    <cellStyle name="Accent3 14 6" xfId="35528"/>
    <cellStyle name="Accent3 14 7" xfId="37172"/>
    <cellStyle name="Accent3 14 8" xfId="38728"/>
    <cellStyle name="Accent3 14 9" xfId="40162"/>
    <cellStyle name="Accent3 15" xfId="9437"/>
    <cellStyle name="Accent3 15 10" xfId="20357"/>
    <cellStyle name="Accent3 15 11" xfId="21200"/>
    <cellStyle name="Accent3 15 12" xfId="22006"/>
    <cellStyle name="Accent3 15 13" xfId="26978"/>
    <cellStyle name="Accent3 15 14" xfId="30307"/>
    <cellStyle name="Accent3 15 15" xfId="32082"/>
    <cellStyle name="Accent3 15 16" xfId="33837"/>
    <cellStyle name="Accent3 15 17" xfId="35550"/>
    <cellStyle name="Accent3 15 18" xfId="37194"/>
    <cellStyle name="Accent3 15 19" xfId="38750"/>
    <cellStyle name="Accent3 15 2" xfId="12904"/>
    <cellStyle name="Accent3 15 20" xfId="40184"/>
    <cellStyle name="Accent3 15 21" xfId="41427"/>
    <cellStyle name="Accent3 15 22" xfId="42476"/>
    <cellStyle name="Accent3 15 3" xfId="14032"/>
    <cellStyle name="Accent3 15 4" xfId="14962"/>
    <cellStyle name="Accent3 15 5" xfId="15891"/>
    <cellStyle name="Accent3 15 6" xfId="16819"/>
    <cellStyle name="Accent3 15 7" xfId="17729"/>
    <cellStyle name="Accent3 15 8" xfId="18621"/>
    <cellStyle name="Accent3 15 9" xfId="19499"/>
    <cellStyle name="Accent3 16" xfId="10651"/>
    <cellStyle name="Accent3 16 10" xfId="20422"/>
    <cellStyle name="Accent3 16 11" xfId="21258"/>
    <cellStyle name="Accent3 16 12" xfId="22055"/>
    <cellStyle name="Accent3 16 13" xfId="26487"/>
    <cellStyle name="Accent3 16 14" xfId="29818"/>
    <cellStyle name="Accent3 16 15" xfId="31593"/>
    <cellStyle name="Accent3 16 16" xfId="33352"/>
    <cellStyle name="Accent3 16 17" xfId="35068"/>
    <cellStyle name="Accent3 16 18" xfId="36719"/>
    <cellStyle name="Accent3 16 19" xfId="38288"/>
    <cellStyle name="Accent3 16 2" xfId="12972"/>
    <cellStyle name="Accent3 16 20" xfId="39738"/>
    <cellStyle name="Accent3 16 21" xfId="41005"/>
    <cellStyle name="Accent3 16 22" xfId="42079"/>
    <cellStyle name="Accent3 16 3" xfId="14098"/>
    <cellStyle name="Accent3 16 4" xfId="15028"/>
    <cellStyle name="Accent3 16 5" xfId="15955"/>
    <cellStyle name="Accent3 16 6" xfId="16885"/>
    <cellStyle name="Accent3 16 7" xfId="17793"/>
    <cellStyle name="Accent3 16 8" xfId="18683"/>
    <cellStyle name="Accent3 16 9" xfId="19561"/>
    <cellStyle name="Accent3 17" xfId="9366"/>
    <cellStyle name="Accent3 17 10" xfId="20511"/>
    <cellStyle name="Accent3 17 11" xfId="21347"/>
    <cellStyle name="Accent3 17 12" xfId="22141"/>
    <cellStyle name="Accent3 17 13" xfId="27013"/>
    <cellStyle name="Accent3 17 14" xfId="30342"/>
    <cellStyle name="Accent3 17 15" xfId="32117"/>
    <cellStyle name="Accent3 17 16" xfId="33872"/>
    <cellStyle name="Accent3 17 17" xfId="35585"/>
    <cellStyle name="Accent3 17 18" xfId="37229"/>
    <cellStyle name="Accent3 17 19" xfId="38785"/>
    <cellStyle name="Accent3 17 2" xfId="13061"/>
    <cellStyle name="Accent3 17 20" xfId="40218"/>
    <cellStyle name="Accent3 17 21" xfId="41461"/>
    <cellStyle name="Accent3 17 22" xfId="42510"/>
    <cellStyle name="Accent3 17 3" xfId="14187"/>
    <cellStyle name="Accent3 17 4" xfId="15116"/>
    <cellStyle name="Accent3 17 5" xfId="16044"/>
    <cellStyle name="Accent3 17 6" xfId="16974"/>
    <cellStyle name="Accent3 17 7" xfId="17882"/>
    <cellStyle name="Accent3 17 8" xfId="18772"/>
    <cellStyle name="Accent3 17 9" xfId="19650"/>
    <cellStyle name="Accent3 18" xfId="10800"/>
    <cellStyle name="Accent3 18 10" xfId="20590"/>
    <cellStyle name="Accent3 18 11" xfId="21427"/>
    <cellStyle name="Accent3 18 12" xfId="22218"/>
    <cellStyle name="Accent3 18 13" xfId="27023"/>
    <cellStyle name="Accent3 18 14" xfId="30352"/>
    <cellStyle name="Accent3 18 15" xfId="32127"/>
    <cellStyle name="Accent3 18 16" xfId="33882"/>
    <cellStyle name="Accent3 18 17" xfId="35595"/>
    <cellStyle name="Accent3 18 18" xfId="37239"/>
    <cellStyle name="Accent3 18 19" xfId="38795"/>
    <cellStyle name="Accent3 18 2" xfId="13141"/>
    <cellStyle name="Accent3 18 20" xfId="40228"/>
    <cellStyle name="Accent3 18 21" xfId="41471"/>
    <cellStyle name="Accent3 18 22" xfId="42520"/>
    <cellStyle name="Accent3 18 3" xfId="14267"/>
    <cellStyle name="Accent3 18 4" xfId="15195"/>
    <cellStyle name="Accent3 18 5" xfId="16124"/>
    <cellStyle name="Accent3 18 6" xfId="17054"/>
    <cellStyle name="Accent3 18 7" xfId="17962"/>
    <cellStyle name="Accent3 18 8" xfId="18852"/>
    <cellStyle name="Accent3 18 9" xfId="19730"/>
    <cellStyle name="Accent3 19" xfId="11108"/>
    <cellStyle name="Accent3 19 10" xfId="20660"/>
    <cellStyle name="Accent3 19 11" xfId="21498"/>
    <cellStyle name="Accent3 19 12" xfId="22286"/>
    <cellStyle name="Accent3 19 13" xfId="27033"/>
    <cellStyle name="Accent3 19 14" xfId="30362"/>
    <cellStyle name="Accent3 19 15" xfId="32137"/>
    <cellStyle name="Accent3 19 16" xfId="33892"/>
    <cellStyle name="Accent3 19 17" xfId="35605"/>
    <cellStyle name="Accent3 19 18" xfId="37249"/>
    <cellStyle name="Accent3 19 19" xfId="38805"/>
    <cellStyle name="Accent3 19 2" xfId="13212"/>
    <cellStyle name="Accent3 19 20" xfId="40238"/>
    <cellStyle name="Accent3 19 21" xfId="41481"/>
    <cellStyle name="Accent3 19 22" xfId="42530"/>
    <cellStyle name="Accent3 19 3" xfId="14337"/>
    <cellStyle name="Accent3 19 4" xfId="15265"/>
    <cellStyle name="Accent3 19 5" xfId="16195"/>
    <cellStyle name="Accent3 19 6" xfId="17125"/>
    <cellStyle name="Accent3 19 7" xfId="18033"/>
    <cellStyle name="Accent3 19 8" xfId="18923"/>
    <cellStyle name="Accent3 19 9" xfId="19800"/>
    <cellStyle name="Accent3 2" xfId="3970"/>
    <cellStyle name="Accent3 2 10" xfId="11301"/>
    <cellStyle name="Accent3 2 11" xfId="12098"/>
    <cellStyle name="Accent3 2 12" xfId="12669"/>
    <cellStyle name="Accent3 2 13" xfId="11332"/>
    <cellStyle name="Accent3 2 14" xfId="12646"/>
    <cellStyle name="Accent3 2 15" xfId="13840"/>
    <cellStyle name="Accent3 2 16" xfId="11803"/>
    <cellStyle name="Accent3 2 17" xfId="15777"/>
    <cellStyle name="Accent3 2 18" xfId="13956"/>
    <cellStyle name="Accent3 2 19" xfId="12784"/>
    <cellStyle name="Accent3 2 2" xfId="9394"/>
    <cellStyle name="Accent3 2 2 2" xfId="9563"/>
    <cellStyle name="Accent3 2 20" xfId="17727"/>
    <cellStyle name="Accent3 2 21" xfId="12608"/>
    <cellStyle name="Accent3 2 22" xfId="12283"/>
    <cellStyle name="Accent3 2 23" xfId="23014"/>
    <cellStyle name="Accent3 2 24" xfId="23685"/>
    <cellStyle name="Accent3 2 25" xfId="28736"/>
    <cellStyle name="Accent3 2 26" xfId="30525"/>
    <cellStyle name="Accent3 2 27" xfId="32300"/>
    <cellStyle name="Accent3 2 28" xfId="34053"/>
    <cellStyle name="Accent3 2 29" xfId="35763"/>
    <cellStyle name="Accent3 2 3" xfId="10328"/>
    <cellStyle name="Accent3 2 30" xfId="37401"/>
    <cellStyle name="Accent3 2 31" xfId="38952"/>
    <cellStyle name="Accent3 2 32" xfId="40376"/>
    <cellStyle name="Accent3 2 33" xfId="8722"/>
    <cellStyle name="Accent3 2 4" xfId="10389"/>
    <cellStyle name="Accent3 2 5" xfId="10913"/>
    <cellStyle name="Accent3 2 6" xfId="10792"/>
    <cellStyle name="Accent3 2 7" xfId="10827"/>
    <cellStyle name="Accent3 2 8" xfId="10468"/>
    <cellStyle name="Accent3 2 9" xfId="10832"/>
    <cellStyle name="Accent3 20" xfId="11302"/>
    <cellStyle name="Accent3 20 10" xfId="20748"/>
    <cellStyle name="Accent3 20 11" xfId="21586"/>
    <cellStyle name="Accent3 20 12" xfId="22372"/>
    <cellStyle name="Accent3 20 13" xfId="27043"/>
    <cellStyle name="Accent3 20 14" xfId="30372"/>
    <cellStyle name="Accent3 20 15" xfId="32147"/>
    <cellStyle name="Accent3 20 16" xfId="33902"/>
    <cellStyle name="Accent3 20 17" xfId="35615"/>
    <cellStyle name="Accent3 20 18" xfId="37259"/>
    <cellStyle name="Accent3 20 19" xfId="38815"/>
    <cellStyle name="Accent3 20 2" xfId="13301"/>
    <cellStyle name="Accent3 20 20" xfId="40248"/>
    <cellStyle name="Accent3 20 21" xfId="41491"/>
    <cellStyle name="Accent3 20 22" xfId="42540"/>
    <cellStyle name="Accent3 20 3" xfId="14425"/>
    <cellStyle name="Accent3 20 4" xfId="15354"/>
    <cellStyle name="Accent3 20 5" xfId="16283"/>
    <cellStyle name="Accent3 20 6" xfId="17213"/>
    <cellStyle name="Accent3 20 7" xfId="18121"/>
    <cellStyle name="Accent3 20 8" xfId="19011"/>
    <cellStyle name="Accent3 20 9" xfId="19888"/>
    <cellStyle name="Accent3 21" xfId="11494"/>
    <cellStyle name="Accent3 21 10" xfId="20827"/>
    <cellStyle name="Accent3 21 11" xfId="21666"/>
    <cellStyle name="Accent3 21 12" xfId="22450"/>
    <cellStyle name="Accent3 21 13" xfId="27053"/>
    <cellStyle name="Accent3 21 14" xfId="30382"/>
    <cellStyle name="Accent3 21 15" xfId="32157"/>
    <cellStyle name="Accent3 21 16" xfId="33912"/>
    <cellStyle name="Accent3 21 17" xfId="35625"/>
    <cellStyle name="Accent3 21 18" xfId="37269"/>
    <cellStyle name="Accent3 21 19" xfId="38825"/>
    <cellStyle name="Accent3 21 2" xfId="13381"/>
    <cellStyle name="Accent3 21 20" xfId="40258"/>
    <cellStyle name="Accent3 21 21" xfId="41501"/>
    <cellStyle name="Accent3 21 22" xfId="42550"/>
    <cellStyle name="Accent3 21 3" xfId="14505"/>
    <cellStyle name="Accent3 21 4" xfId="15432"/>
    <cellStyle name="Accent3 21 5" xfId="16363"/>
    <cellStyle name="Accent3 21 6" xfId="17293"/>
    <cellStyle name="Accent3 21 7" xfId="18201"/>
    <cellStyle name="Accent3 21 8" xfId="19091"/>
    <cellStyle name="Accent3 21 9" xfId="19968"/>
    <cellStyle name="Accent3 22" xfId="10670"/>
    <cellStyle name="Accent3 22 10" xfId="20905"/>
    <cellStyle name="Accent3 22 11" xfId="21746"/>
    <cellStyle name="Accent3 22 12" xfId="22528"/>
    <cellStyle name="Accent3 22 13" xfId="27063"/>
    <cellStyle name="Accent3 22 14" xfId="30392"/>
    <cellStyle name="Accent3 22 15" xfId="32167"/>
    <cellStyle name="Accent3 22 16" xfId="33922"/>
    <cellStyle name="Accent3 22 17" xfId="35635"/>
    <cellStyle name="Accent3 22 18" xfId="37279"/>
    <cellStyle name="Accent3 22 19" xfId="38835"/>
    <cellStyle name="Accent3 22 2" xfId="13461"/>
    <cellStyle name="Accent3 22 20" xfId="40268"/>
    <cellStyle name="Accent3 22 21" xfId="41511"/>
    <cellStyle name="Accent3 22 22" xfId="42560"/>
    <cellStyle name="Accent3 22 3" xfId="14584"/>
    <cellStyle name="Accent3 22 4" xfId="15512"/>
    <cellStyle name="Accent3 22 5" xfId="16443"/>
    <cellStyle name="Accent3 22 6" xfId="17373"/>
    <cellStyle name="Accent3 22 7" xfId="18281"/>
    <cellStyle name="Accent3 22 8" xfId="19171"/>
    <cellStyle name="Accent3 22 9" xfId="20047"/>
    <cellStyle name="Accent3 23" xfId="10471"/>
    <cellStyle name="Accent3 23 10" xfId="20983"/>
    <cellStyle name="Accent3 23 11" xfId="21823"/>
    <cellStyle name="Accent3 23 12" xfId="22604"/>
    <cellStyle name="Accent3 23 2" xfId="13541"/>
    <cellStyle name="Accent3 23 3" xfId="14663"/>
    <cellStyle name="Accent3 23 4" xfId="15591"/>
    <cellStyle name="Accent3 23 5" xfId="16522"/>
    <cellStyle name="Accent3 23 6" xfId="17451"/>
    <cellStyle name="Accent3 23 7" xfId="18360"/>
    <cellStyle name="Accent3 23 8" xfId="19249"/>
    <cellStyle name="Accent3 23 9" xfId="20123"/>
    <cellStyle name="Accent3 24" xfId="12113"/>
    <cellStyle name="Accent3 24 10" xfId="21051"/>
    <cellStyle name="Accent3 24 11" xfId="21887"/>
    <cellStyle name="Accent3 24 12" xfId="22668"/>
    <cellStyle name="Accent3 24 2" xfId="13621"/>
    <cellStyle name="Accent3 24 3" xfId="14739"/>
    <cellStyle name="Accent3 24 4" xfId="15666"/>
    <cellStyle name="Accent3 24 5" xfId="16596"/>
    <cellStyle name="Accent3 24 6" xfId="17525"/>
    <cellStyle name="Accent3 24 7" xfId="18429"/>
    <cellStyle name="Accent3 24 8" xfId="19317"/>
    <cellStyle name="Accent3 24 9" xfId="20192"/>
    <cellStyle name="Accent3 25" xfId="13699"/>
    <cellStyle name="Accent3 26" xfId="13765"/>
    <cellStyle name="Accent3 27" xfId="11977"/>
    <cellStyle name="Accent3 28" xfId="11880"/>
    <cellStyle name="Accent3 29" xfId="11619"/>
    <cellStyle name="Accent3 3" xfId="8756"/>
    <cellStyle name="Accent3 30" xfId="12824"/>
    <cellStyle name="Accent3 31" xfId="12565"/>
    <cellStyle name="Accent3 32" xfId="11965"/>
    <cellStyle name="Accent3 33" xfId="10348"/>
    <cellStyle name="Accent3 34" xfId="15654"/>
    <cellStyle name="Accent3 35" xfId="14782"/>
    <cellStyle name="Accent3 36" xfId="12510"/>
    <cellStyle name="Accent3 37" xfId="22823"/>
    <cellStyle name="Accent3 38" xfId="23590"/>
    <cellStyle name="Accent3 39" xfId="28471"/>
    <cellStyle name="Accent3 4" xfId="8868"/>
    <cellStyle name="Accent3 40" xfId="27244"/>
    <cellStyle name="Accent3 41" xfId="30026"/>
    <cellStyle name="Accent3 42" xfId="31801"/>
    <cellStyle name="Accent3 43" xfId="33557"/>
    <cellStyle name="Accent3 44" xfId="35270"/>
    <cellStyle name="Accent3 45" xfId="36916"/>
    <cellStyle name="Accent3 46" xfId="38477"/>
    <cellStyle name="Accent3 47" xfId="42606"/>
    <cellStyle name="Accent3 48" xfId="42667"/>
    <cellStyle name="Accent3 49" xfId="42565"/>
    <cellStyle name="Accent3 5" xfId="8946"/>
    <cellStyle name="Accent3 50" xfId="42708"/>
    <cellStyle name="Accent3 51" xfId="42753"/>
    <cellStyle name="Accent3 52" xfId="42795"/>
    <cellStyle name="Accent3 53" xfId="42836"/>
    <cellStyle name="Accent3 54" xfId="42877"/>
    <cellStyle name="Accent3 55" xfId="42917"/>
    <cellStyle name="Accent3 56" xfId="42957"/>
    <cellStyle name="Accent3 57" xfId="42994"/>
    <cellStyle name="Accent3 58" xfId="43030"/>
    <cellStyle name="Accent3 59" xfId="43064"/>
    <cellStyle name="Accent3 6" xfId="9024"/>
    <cellStyle name="Accent3 60" xfId="43146"/>
    <cellStyle name="Accent3 61" xfId="43177"/>
    <cellStyle name="Accent3 62" xfId="8645"/>
    <cellStyle name="Accent3 63" xfId="7697"/>
    <cellStyle name="Accent3 64" xfId="3659"/>
    <cellStyle name="Accent3 7" xfId="9092"/>
    <cellStyle name="Accent3 8" xfId="9261"/>
    <cellStyle name="Accent3 9" xfId="9716"/>
    <cellStyle name="Accent4" xfId="31" builtinId="41" customBuiltin="1"/>
    <cellStyle name="Accent4 10" xfId="9784"/>
    <cellStyle name="Accent4 11" xfId="9760"/>
    <cellStyle name="Accent4 11 10" xfId="36024"/>
    <cellStyle name="Accent4 11 11" xfId="37642"/>
    <cellStyle name="Accent4 11 2" xfId="24811"/>
    <cellStyle name="Accent4 11 3" xfId="28195"/>
    <cellStyle name="Accent4 11 4" xfId="27602"/>
    <cellStyle name="Accent4 11 5" xfId="22989"/>
    <cellStyle name="Accent4 11 6" xfId="29034"/>
    <cellStyle name="Accent4 11 7" xfId="30819"/>
    <cellStyle name="Accent4 11 8" xfId="32592"/>
    <cellStyle name="Accent4 11 9" xfId="34334"/>
    <cellStyle name="Accent4 12" xfId="9843"/>
    <cellStyle name="Accent4 12 10" xfId="41049"/>
    <cellStyle name="Accent4 12 11" xfId="42120"/>
    <cellStyle name="Accent4 12 2" xfId="26540"/>
    <cellStyle name="Accent4 12 3" xfId="29871"/>
    <cellStyle name="Accent4 12 4" xfId="31646"/>
    <cellStyle name="Accent4 12 5" xfId="33405"/>
    <cellStyle name="Accent4 12 6" xfId="35119"/>
    <cellStyle name="Accent4 12 7" xfId="36769"/>
    <cellStyle name="Accent4 12 8" xfId="38337"/>
    <cellStyle name="Accent4 12 9" xfId="39783"/>
    <cellStyle name="Accent4 13" xfId="9927"/>
    <cellStyle name="Accent4 13 10" xfId="41384"/>
    <cellStyle name="Accent4 13 11" xfId="42434"/>
    <cellStyle name="Accent4 13 2" xfId="26934"/>
    <cellStyle name="Accent4 13 3" xfId="30262"/>
    <cellStyle name="Accent4 13 4" xfId="32037"/>
    <cellStyle name="Accent4 13 5" xfId="33792"/>
    <cellStyle name="Accent4 13 6" xfId="35505"/>
    <cellStyle name="Accent4 13 7" xfId="37149"/>
    <cellStyle name="Accent4 13 8" xfId="38705"/>
    <cellStyle name="Accent4 13 9" xfId="40139"/>
    <cellStyle name="Accent4 14" xfId="10008"/>
    <cellStyle name="Accent4 14 10" xfId="41404"/>
    <cellStyle name="Accent4 14 11" xfId="42453"/>
    <cellStyle name="Accent4 14 2" xfId="26955"/>
    <cellStyle name="Accent4 14 3" xfId="30284"/>
    <cellStyle name="Accent4 14 4" xfId="32059"/>
    <cellStyle name="Accent4 14 5" xfId="33814"/>
    <cellStyle name="Accent4 14 6" xfId="35527"/>
    <cellStyle name="Accent4 14 7" xfId="37171"/>
    <cellStyle name="Accent4 14 8" xfId="38727"/>
    <cellStyle name="Accent4 14 9" xfId="40161"/>
    <cellStyle name="Accent4 15" xfId="9436"/>
    <cellStyle name="Accent4 15 10" xfId="20356"/>
    <cellStyle name="Accent4 15 11" xfId="21199"/>
    <cellStyle name="Accent4 15 12" xfId="22005"/>
    <cellStyle name="Accent4 15 13" xfId="26977"/>
    <cellStyle name="Accent4 15 14" xfId="30306"/>
    <cellStyle name="Accent4 15 15" xfId="32081"/>
    <cellStyle name="Accent4 15 16" xfId="33836"/>
    <cellStyle name="Accent4 15 17" xfId="35549"/>
    <cellStyle name="Accent4 15 18" xfId="37193"/>
    <cellStyle name="Accent4 15 19" xfId="38749"/>
    <cellStyle name="Accent4 15 2" xfId="12897"/>
    <cellStyle name="Accent4 15 20" xfId="40183"/>
    <cellStyle name="Accent4 15 21" xfId="41426"/>
    <cellStyle name="Accent4 15 22" xfId="42475"/>
    <cellStyle name="Accent4 15 3" xfId="14027"/>
    <cellStyle name="Accent4 15 4" xfId="14957"/>
    <cellStyle name="Accent4 15 5" xfId="15885"/>
    <cellStyle name="Accent4 15 6" xfId="16812"/>
    <cellStyle name="Accent4 15 7" xfId="17724"/>
    <cellStyle name="Accent4 15 8" xfId="18617"/>
    <cellStyle name="Accent4 15 9" xfId="19497"/>
    <cellStyle name="Accent4 16" xfId="10573"/>
    <cellStyle name="Accent4 16 10" xfId="20420"/>
    <cellStyle name="Accent4 16 11" xfId="21256"/>
    <cellStyle name="Accent4 16 12" xfId="22053"/>
    <cellStyle name="Accent4 16 13" xfId="26488"/>
    <cellStyle name="Accent4 16 14" xfId="29819"/>
    <cellStyle name="Accent4 16 15" xfId="31594"/>
    <cellStyle name="Accent4 16 16" xfId="33353"/>
    <cellStyle name="Accent4 16 17" xfId="35069"/>
    <cellStyle name="Accent4 16 18" xfId="36720"/>
    <cellStyle name="Accent4 16 19" xfId="38289"/>
    <cellStyle name="Accent4 16 2" xfId="12970"/>
    <cellStyle name="Accent4 16 20" xfId="39739"/>
    <cellStyle name="Accent4 16 21" xfId="41006"/>
    <cellStyle name="Accent4 16 22" xfId="42080"/>
    <cellStyle name="Accent4 16 3" xfId="14096"/>
    <cellStyle name="Accent4 16 4" xfId="15026"/>
    <cellStyle name="Accent4 16 5" xfId="15953"/>
    <cellStyle name="Accent4 16 6" xfId="16883"/>
    <cellStyle name="Accent4 16 7" xfId="17791"/>
    <cellStyle name="Accent4 16 8" xfId="18681"/>
    <cellStyle name="Accent4 16 9" xfId="19559"/>
    <cellStyle name="Accent4 17" xfId="10658"/>
    <cellStyle name="Accent4 17 10" xfId="20502"/>
    <cellStyle name="Accent4 17 11" xfId="21338"/>
    <cellStyle name="Accent4 17 12" xfId="22132"/>
    <cellStyle name="Accent4 17 13" xfId="27012"/>
    <cellStyle name="Accent4 17 14" xfId="30341"/>
    <cellStyle name="Accent4 17 15" xfId="32116"/>
    <cellStyle name="Accent4 17 16" xfId="33871"/>
    <cellStyle name="Accent4 17 17" xfId="35584"/>
    <cellStyle name="Accent4 17 18" xfId="37228"/>
    <cellStyle name="Accent4 17 19" xfId="38784"/>
    <cellStyle name="Accent4 17 2" xfId="13052"/>
    <cellStyle name="Accent4 17 20" xfId="40217"/>
    <cellStyle name="Accent4 17 21" xfId="41460"/>
    <cellStyle name="Accent4 17 22" xfId="42509"/>
    <cellStyle name="Accent4 17 3" xfId="14178"/>
    <cellStyle name="Accent4 17 4" xfId="15107"/>
    <cellStyle name="Accent4 17 5" xfId="16035"/>
    <cellStyle name="Accent4 17 6" xfId="16965"/>
    <cellStyle name="Accent4 17 7" xfId="17873"/>
    <cellStyle name="Accent4 17 8" xfId="18763"/>
    <cellStyle name="Accent4 17 9" xfId="19641"/>
    <cellStyle name="Accent4 18" xfId="11016"/>
    <cellStyle name="Accent4 18 10" xfId="20581"/>
    <cellStyle name="Accent4 18 11" xfId="21418"/>
    <cellStyle name="Accent4 18 12" xfId="22209"/>
    <cellStyle name="Accent4 18 13" xfId="27022"/>
    <cellStyle name="Accent4 18 14" xfId="30351"/>
    <cellStyle name="Accent4 18 15" xfId="32126"/>
    <cellStyle name="Accent4 18 16" xfId="33881"/>
    <cellStyle name="Accent4 18 17" xfId="35594"/>
    <cellStyle name="Accent4 18 18" xfId="37238"/>
    <cellStyle name="Accent4 18 19" xfId="38794"/>
    <cellStyle name="Accent4 18 2" xfId="13132"/>
    <cellStyle name="Accent4 18 20" xfId="40227"/>
    <cellStyle name="Accent4 18 21" xfId="41470"/>
    <cellStyle name="Accent4 18 22" xfId="42519"/>
    <cellStyle name="Accent4 18 3" xfId="14258"/>
    <cellStyle name="Accent4 18 4" xfId="15186"/>
    <cellStyle name="Accent4 18 5" xfId="16115"/>
    <cellStyle name="Accent4 18 6" xfId="17045"/>
    <cellStyle name="Accent4 18 7" xfId="17953"/>
    <cellStyle name="Accent4 18 8" xfId="18843"/>
    <cellStyle name="Accent4 18 9" xfId="19721"/>
    <cellStyle name="Accent4 19" xfId="10888"/>
    <cellStyle name="Accent4 19 10" xfId="20658"/>
    <cellStyle name="Accent4 19 11" xfId="21496"/>
    <cellStyle name="Accent4 19 12" xfId="22284"/>
    <cellStyle name="Accent4 19 13" xfId="27032"/>
    <cellStyle name="Accent4 19 14" xfId="30361"/>
    <cellStyle name="Accent4 19 15" xfId="32136"/>
    <cellStyle name="Accent4 19 16" xfId="33891"/>
    <cellStyle name="Accent4 19 17" xfId="35604"/>
    <cellStyle name="Accent4 19 18" xfId="37248"/>
    <cellStyle name="Accent4 19 19" xfId="38804"/>
    <cellStyle name="Accent4 19 2" xfId="13210"/>
    <cellStyle name="Accent4 19 20" xfId="40237"/>
    <cellStyle name="Accent4 19 21" xfId="41480"/>
    <cellStyle name="Accent4 19 22" xfId="42529"/>
    <cellStyle name="Accent4 19 3" xfId="14335"/>
    <cellStyle name="Accent4 19 4" xfId="15263"/>
    <cellStyle name="Accent4 19 5" xfId="16193"/>
    <cellStyle name="Accent4 19 6" xfId="17123"/>
    <cellStyle name="Accent4 19 7" xfId="18031"/>
    <cellStyle name="Accent4 19 8" xfId="18921"/>
    <cellStyle name="Accent4 19 9" xfId="19798"/>
    <cellStyle name="Accent4 2" xfId="3971"/>
    <cellStyle name="Accent4 2 10" xfId="11923"/>
    <cellStyle name="Accent4 2 11" xfId="12541"/>
    <cellStyle name="Accent4 2 12" xfId="12615"/>
    <cellStyle name="Accent4 2 13" xfId="11930"/>
    <cellStyle name="Accent4 2 14" xfId="10183"/>
    <cellStyle name="Accent4 2 15" xfId="15828"/>
    <cellStyle name="Accent4 2 16" xfId="15770"/>
    <cellStyle name="Accent4 2 17" xfId="12214"/>
    <cellStyle name="Accent4 2 18" xfId="15888"/>
    <cellStyle name="Accent4 2 19" xfId="16816"/>
    <cellStyle name="Accent4 2 2" xfId="9395"/>
    <cellStyle name="Accent4 2 2 2" xfId="9564"/>
    <cellStyle name="Accent4 2 20" xfId="13853"/>
    <cellStyle name="Accent4 2 21" xfId="18582"/>
    <cellStyle name="Accent4 2 22" xfId="17631"/>
    <cellStyle name="Accent4 2 23" xfId="23015"/>
    <cellStyle name="Accent4 2 24" xfId="22883"/>
    <cellStyle name="Accent4 2 25" xfId="28735"/>
    <cellStyle name="Accent4 2 26" xfId="30524"/>
    <cellStyle name="Accent4 2 27" xfId="32299"/>
    <cellStyle name="Accent4 2 28" xfId="34052"/>
    <cellStyle name="Accent4 2 29" xfId="35762"/>
    <cellStyle name="Accent4 2 3" xfId="10329"/>
    <cellStyle name="Accent4 2 30" xfId="37400"/>
    <cellStyle name="Accent4 2 31" xfId="38951"/>
    <cellStyle name="Accent4 2 32" xfId="40375"/>
    <cellStyle name="Accent4 2 33" xfId="8723"/>
    <cellStyle name="Accent4 2 4" xfId="11252"/>
    <cellStyle name="Accent4 2 5" xfId="11443"/>
    <cellStyle name="Accent4 2 6" xfId="11632"/>
    <cellStyle name="Accent4 2 7" xfId="11814"/>
    <cellStyle name="Accent4 2 8" xfId="11996"/>
    <cellStyle name="Accent4 2 9" xfId="12173"/>
    <cellStyle name="Accent4 20" xfId="11078"/>
    <cellStyle name="Accent4 20 10" xfId="20739"/>
    <cellStyle name="Accent4 20 11" xfId="21577"/>
    <cellStyle name="Accent4 20 12" xfId="22363"/>
    <cellStyle name="Accent4 20 13" xfId="27042"/>
    <cellStyle name="Accent4 20 14" xfId="30371"/>
    <cellStyle name="Accent4 20 15" xfId="32146"/>
    <cellStyle name="Accent4 20 16" xfId="33901"/>
    <cellStyle name="Accent4 20 17" xfId="35614"/>
    <cellStyle name="Accent4 20 18" xfId="37258"/>
    <cellStyle name="Accent4 20 19" xfId="38814"/>
    <cellStyle name="Accent4 20 2" xfId="13292"/>
    <cellStyle name="Accent4 20 20" xfId="40247"/>
    <cellStyle name="Accent4 20 21" xfId="41490"/>
    <cellStyle name="Accent4 20 22" xfId="42539"/>
    <cellStyle name="Accent4 20 3" xfId="14416"/>
    <cellStyle name="Accent4 20 4" xfId="15345"/>
    <cellStyle name="Accent4 20 5" xfId="16274"/>
    <cellStyle name="Accent4 20 6" xfId="17204"/>
    <cellStyle name="Accent4 20 7" xfId="18112"/>
    <cellStyle name="Accent4 20 8" xfId="19002"/>
    <cellStyle name="Accent4 20 9" xfId="19879"/>
    <cellStyle name="Accent4 21" xfId="11271"/>
    <cellStyle name="Accent4 21 10" xfId="20818"/>
    <cellStyle name="Accent4 21 11" xfId="21657"/>
    <cellStyle name="Accent4 21 12" xfId="22441"/>
    <cellStyle name="Accent4 21 13" xfId="27052"/>
    <cellStyle name="Accent4 21 14" xfId="30381"/>
    <cellStyle name="Accent4 21 15" xfId="32156"/>
    <cellStyle name="Accent4 21 16" xfId="33911"/>
    <cellStyle name="Accent4 21 17" xfId="35624"/>
    <cellStyle name="Accent4 21 18" xfId="37268"/>
    <cellStyle name="Accent4 21 19" xfId="38824"/>
    <cellStyle name="Accent4 21 2" xfId="13372"/>
    <cellStyle name="Accent4 21 20" xfId="40257"/>
    <cellStyle name="Accent4 21 21" xfId="41500"/>
    <cellStyle name="Accent4 21 22" xfId="42549"/>
    <cellStyle name="Accent4 21 3" xfId="14496"/>
    <cellStyle name="Accent4 21 4" xfId="15423"/>
    <cellStyle name="Accent4 21 5" xfId="16354"/>
    <cellStyle name="Accent4 21 6" xfId="17284"/>
    <cellStyle name="Accent4 21 7" xfId="18192"/>
    <cellStyle name="Accent4 21 8" xfId="19082"/>
    <cellStyle name="Accent4 21 9" xfId="19959"/>
    <cellStyle name="Accent4 22" xfId="10952"/>
    <cellStyle name="Accent4 22 10" xfId="20896"/>
    <cellStyle name="Accent4 22 11" xfId="21737"/>
    <cellStyle name="Accent4 22 12" xfId="22519"/>
    <cellStyle name="Accent4 22 13" xfId="27062"/>
    <cellStyle name="Accent4 22 14" xfId="30391"/>
    <cellStyle name="Accent4 22 15" xfId="32166"/>
    <cellStyle name="Accent4 22 16" xfId="33921"/>
    <cellStyle name="Accent4 22 17" xfId="35634"/>
    <cellStyle name="Accent4 22 18" xfId="37278"/>
    <cellStyle name="Accent4 22 19" xfId="38834"/>
    <cellStyle name="Accent4 22 2" xfId="13452"/>
    <cellStyle name="Accent4 22 20" xfId="40267"/>
    <cellStyle name="Accent4 22 21" xfId="41510"/>
    <cellStyle name="Accent4 22 22" xfId="42559"/>
    <cellStyle name="Accent4 22 3" xfId="14575"/>
    <cellStyle name="Accent4 22 4" xfId="15503"/>
    <cellStyle name="Accent4 22 5" xfId="16434"/>
    <cellStyle name="Accent4 22 6" xfId="17364"/>
    <cellStyle name="Accent4 22 7" xfId="18272"/>
    <cellStyle name="Accent4 22 8" xfId="19162"/>
    <cellStyle name="Accent4 22 9" xfId="20038"/>
    <cellStyle name="Accent4 23" xfId="12022"/>
    <cellStyle name="Accent4 23 10" xfId="20974"/>
    <cellStyle name="Accent4 23 11" xfId="21814"/>
    <cellStyle name="Accent4 23 12" xfId="22595"/>
    <cellStyle name="Accent4 23 2" xfId="13532"/>
    <cellStyle name="Accent4 23 3" xfId="14654"/>
    <cellStyle name="Accent4 23 4" xfId="15582"/>
    <cellStyle name="Accent4 23 5" xfId="16513"/>
    <cellStyle name="Accent4 23 6" xfId="17442"/>
    <cellStyle name="Accent4 23 7" xfId="18351"/>
    <cellStyle name="Accent4 23 8" xfId="19240"/>
    <cellStyle name="Accent4 23 9" xfId="20114"/>
    <cellStyle name="Accent4 24" xfId="12727"/>
    <cellStyle name="Accent4 24 10" xfId="21042"/>
    <cellStyle name="Accent4 24 11" xfId="21878"/>
    <cellStyle name="Accent4 24 12" xfId="22659"/>
    <cellStyle name="Accent4 24 2" xfId="13612"/>
    <cellStyle name="Accent4 24 3" xfId="14730"/>
    <cellStyle name="Accent4 24 4" xfId="15657"/>
    <cellStyle name="Accent4 24 5" xfId="16587"/>
    <cellStyle name="Accent4 24 6" xfId="17516"/>
    <cellStyle name="Accent4 24 7" xfId="18420"/>
    <cellStyle name="Accent4 24 8" xfId="19308"/>
    <cellStyle name="Accent4 24 9" xfId="20183"/>
    <cellStyle name="Accent4 25" xfId="13690"/>
    <cellStyle name="Accent4 26" xfId="13756"/>
    <cellStyle name="Accent4 27" xfId="11484"/>
    <cellStyle name="Accent4 28" xfId="10934"/>
    <cellStyle name="Accent4 29" xfId="12441"/>
    <cellStyle name="Accent4 3" xfId="8755"/>
    <cellStyle name="Accent4 30" xfId="10796"/>
    <cellStyle name="Accent4 31" xfId="15673"/>
    <cellStyle name="Accent4 32" xfId="14067"/>
    <cellStyle name="Accent4 33" xfId="12755"/>
    <cellStyle name="Accent4 34" xfId="17567"/>
    <cellStyle name="Accent4 35" xfId="18470"/>
    <cellStyle name="Accent4 36" xfId="15751"/>
    <cellStyle name="Accent4 37" xfId="22824"/>
    <cellStyle name="Accent4 38" xfId="23514"/>
    <cellStyle name="Accent4 39" xfId="28470"/>
    <cellStyle name="Accent4 4" xfId="8867"/>
    <cellStyle name="Accent4 40" xfId="27245"/>
    <cellStyle name="Accent4 41" xfId="29921"/>
    <cellStyle name="Accent4 42" xfId="31696"/>
    <cellStyle name="Accent4 43" xfId="33455"/>
    <cellStyle name="Accent4 44" xfId="35169"/>
    <cellStyle name="Accent4 45" xfId="36817"/>
    <cellStyle name="Accent4 46" xfId="38381"/>
    <cellStyle name="Accent4 47" xfId="42607"/>
    <cellStyle name="Accent4 48" xfId="42666"/>
    <cellStyle name="Accent4 49" xfId="42566"/>
    <cellStyle name="Accent4 5" xfId="8945"/>
    <cellStyle name="Accent4 50" xfId="42707"/>
    <cellStyle name="Accent4 51" xfId="42751"/>
    <cellStyle name="Accent4 52" xfId="42793"/>
    <cellStyle name="Accent4 53" xfId="42834"/>
    <cellStyle name="Accent4 54" xfId="42875"/>
    <cellStyle name="Accent4 55" xfId="42915"/>
    <cellStyle name="Accent4 56" xfId="42955"/>
    <cellStyle name="Accent4 57" xfId="42992"/>
    <cellStyle name="Accent4 58" xfId="43028"/>
    <cellStyle name="Accent4 59" xfId="43062"/>
    <cellStyle name="Accent4 6" xfId="9023"/>
    <cellStyle name="Accent4 60" xfId="43147"/>
    <cellStyle name="Accent4 61" xfId="43176"/>
    <cellStyle name="Accent4 62" xfId="8646"/>
    <cellStyle name="Accent4 63" xfId="7698"/>
    <cellStyle name="Accent4 64" xfId="3660"/>
    <cellStyle name="Accent4 7" xfId="9091"/>
    <cellStyle name="Accent4 8" xfId="9262"/>
    <cellStyle name="Accent4 9" xfId="9715"/>
    <cellStyle name="Accent5" xfId="35" builtinId="45" customBuiltin="1"/>
    <cellStyle name="Accent5 10" xfId="9783"/>
    <cellStyle name="Accent5 11" xfId="9759"/>
    <cellStyle name="Accent5 11 10" xfId="36108"/>
    <cellStyle name="Accent5 11 11" xfId="37721"/>
    <cellStyle name="Accent5 11 2" xfId="24812"/>
    <cellStyle name="Accent5 11 3" xfId="28196"/>
    <cellStyle name="Accent5 11 4" xfId="27601"/>
    <cellStyle name="Accent5 11 5" xfId="24825"/>
    <cellStyle name="Accent5 11 6" xfId="29132"/>
    <cellStyle name="Accent5 11 7" xfId="30916"/>
    <cellStyle name="Accent5 11 8" xfId="32687"/>
    <cellStyle name="Accent5 11 9" xfId="34425"/>
    <cellStyle name="Accent5 12" xfId="9842"/>
    <cellStyle name="Accent5 12 10" xfId="41050"/>
    <cellStyle name="Accent5 12 11" xfId="42121"/>
    <cellStyle name="Accent5 12 2" xfId="26541"/>
    <cellStyle name="Accent5 12 3" xfId="29872"/>
    <cellStyle name="Accent5 12 4" xfId="31647"/>
    <cellStyle name="Accent5 12 5" xfId="33406"/>
    <cellStyle name="Accent5 12 6" xfId="35120"/>
    <cellStyle name="Accent5 12 7" xfId="36770"/>
    <cellStyle name="Accent5 12 8" xfId="38338"/>
    <cellStyle name="Accent5 12 9" xfId="39784"/>
    <cellStyle name="Accent5 13" xfId="9926"/>
    <cellStyle name="Accent5 13 10" xfId="41383"/>
    <cellStyle name="Accent5 13 11" xfId="42433"/>
    <cellStyle name="Accent5 13 2" xfId="26933"/>
    <cellStyle name="Accent5 13 3" xfId="30261"/>
    <cellStyle name="Accent5 13 4" xfId="32036"/>
    <cellStyle name="Accent5 13 5" xfId="33791"/>
    <cellStyle name="Accent5 13 6" xfId="35504"/>
    <cellStyle name="Accent5 13 7" xfId="37148"/>
    <cellStyle name="Accent5 13 8" xfId="38704"/>
    <cellStyle name="Accent5 13 9" xfId="40138"/>
    <cellStyle name="Accent5 14" xfId="10007"/>
    <cellStyle name="Accent5 14 10" xfId="41403"/>
    <cellStyle name="Accent5 14 11" xfId="42452"/>
    <cellStyle name="Accent5 14 2" xfId="26954"/>
    <cellStyle name="Accent5 14 3" xfId="30283"/>
    <cellStyle name="Accent5 14 4" xfId="32058"/>
    <cellStyle name="Accent5 14 5" xfId="33813"/>
    <cellStyle name="Accent5 14 6" xfId="35526"/>
    <cellStyle name="Accent5 14 7" xfId="37170"/>
    <cellStyle name="Accent5 14 8" xfId="38726"/>
    <cellStyle name="Accent5 14 9" xfId="40160"/>
    <cellStyle name="Accent5 15" xfId="9435"/>
    <cellStyle name="Accent5 15 10" xfId="20354"/>
    <cellStyle name="Accent5 15 11" xfId="21198"/>
    <cellStyle name="Accent5 15 12" xfId="22004"/>
    <cellStyle name="Accent5 15 13" xfId="26976"/>
    <cellStyle name="Accent5 15 14" xfId="30305"/>
    <cellStyle name="Accent5 15 15" xfId="32080"/>
    <cellStyle name="Accent5 15 16" xfId="33835"/>
    <cellStyle name="Accent5 15 17" xfId="35548"/>
    <cellStyle name="Accent5 15 18" xfId="37192"/>
    <cellStyle name="Accent5 15 19" xfId="38748"/>
    <cellStyle name="Accent5 15 2" xfId="12895"/>
    <cellStyle name="Accent5 15 20" xfId="40182"/>
    <cellStyle name="Accent5 15 21" xfId="41425"/>
    <cellStyle name="Accent5 15 22" xfId="42474"/>
    <cellStyle name="Accent5 15 3" xfId="14025"/>
    <cellStyle name="Accent5 15 4" xfId="14955"/>
    <cellStyle name="Accent5 15 5" xfId="15883"/>
    <cellStyle name="Accent5 15 6" xfId="16810"/>
    <cellStyle name="Accent5 15 7" xfId="17722"/>
    <cellStyle name="Accent5 15 8" xfId="18615"/>
    <cellStyle name="Accent5 15 9" xfId="19495"/>
    <cellStyle name="Accent5 16" xfId="10497"/>
    <cellStyle name="Accent5 16 10" xfId="16753"/>
    <cellStyle name="Accent5 16 11" xfId="17653"/>
    <cellStyle name="Accent5 16 12" xfId="19498"/>
    <cellStyle name="Accent5 16 13" xfId="26489"/>
    <cellStyle name="Accent5 16 14" xfId="29820"/>
    <cellStyle name="Accent5 16 15" xfId="31595"/>
    <cellStyle name="Accent5 16 16" xfId="33354"/>
    <cellStyle name="Accent5 16 17" xfId="35070"/>
    <cellStyle name="Accent5 16 18" xfId="36721"/>
    <cellStyle name="Accent5 16 19" xfId="38290"/>
    <cellStyle name="Accent5 16 2" xfId="12833"/>
    <cellStyle name="Accent5 16 20" xfId="39740"/>
    <cellStyle name="Accent5 16 21" xfId="41007"/>
    <cellStyle name="Accent5 16 22" xfId="42081"/>
    <cellStyle name="Accent5 16 3" xfId="13951"/>
    <cellStyle name="Accent5 16 4" xfId="12582"/>
    <cellStyle name="Accent5 16 5" xfId="11750"/>
    <cellStyle name="Accent5 16 6" xfId="13910"/>
    <cellStyle name="Accent5 16 7" xfId="14841"/>
    <cellStyle name="Accent5 16 8" xfId="16751"/>
    <cellStyle name="Accent5 16 9" xfId="17665"/>
    <cellStyle name="Accent5 17" xfId="11050"/>
    <cellStyle name="Accent5 17 10" xfId="20500"/>
    <cellStyle name="Accent5 17 11" xfId="21336"/>
    <cellStyle name="Accent5 17 12" xfId="22130"/>
    <cellStyle name="Accent5 17 13" xfId="27011"/>
    <cellStyle name="Accent5 17 14" xfId="30340"/>
    <cellStyle name="Accent5 17 15" xfId="32115"/>
    <cellStyle name="Accent5 17 16" xfId="33870"/>
    <cellStyle name="Accent5 17 17" xfId="35583"/>
    <cellStyle name="Accent5 17 18" xfId="37227"/>
    <cellStyle name="Accent5 17 19" xfId="38783"/>
    <cellStyle name="Accent5 17 2" xfId="13050"/>
    <cellStyle name="Accent5 17 20" xfId="40216"/>
    <cellStyle name="Accent5 17 21" xfId="41459"/>
    <cellStyle name="Accent5 17 22" xfId="42508"/>
    <cellStyle name="Accent5 17 3" xfId="14176"/>
    <cellStyle name="Accent5 17 4" xfId="15105"/>
    <cellStyle name="Accent5 17 5" xfId="16033"/>
    <cellStyle name="Accent5 17 6" xfId="16963"/>
    <cellStyle name="Accent5 17 7" xfId="17871"/>
    <cellStyle name="Accent5 17 8" xfId="18761"/>
    <cellStyle name="Accent5 17 9" xfId="19639"/>
    <cellStyle name="Accent5 18" xfId="10516"/>
    <cellStyle name="Accent5 18 10" xfId="20579"/>
    <cellStyle name="Accent5 18 11" xfId="21416"/>
    <cellStyle name="Accent5 18 12" xfId="22207"/>
    <cellStyle name="Accent5 18 13" xfId="27021"/>
    <cellStyle name="Accent5 18 14" xfId="30350"/>
    <cellStyle name="Accent5 18 15" xfId="32125"/>
    <cellStyle name="Accent5 18 16" xfId="33880"/>
    <cellStyle name="Accent5 18 17" xfId="35593"/>
    <cellStyle name="Accent5 18 18" xfId="37237"/>
    <cellStyle name="Accent5 18 19" xfId="38793"/>
    <cellStyle name="Accent5 18 2" xfId="13130"/>
    <cellStyle name="Accent5 18 20" xfId="40226"/>
    <cellStyle name="Accent5 18 21" xfId="41469"/>
    <cellStyle name="Accent5 18 22" xfId="42518"/>
    <cellStyle name="Accent5 18 3" xfId="14256"/>
    <cellStyle name="Accent5 18 4" xfId="15184"/>
    <cellStyle name="Accent5 18 5" xfId="16113"/>
    <cellStyle name="Accent5 18 6" xfId="17043"/>
    <cellStyle name="Accent5 18 7" xfId="17951"/>
    <cellStyle name="Accent5 18 8" xfId="18841"/>
    <cellStyle name="Accent5 18 9" xfId="19719"/>
    <cellStyle name="Accent5 19" xfId="11238"/>
    <cellStyle name="Accent5 19 10" xfId="20419"/>
    <cellStyle name="Accent5 19 11" xfId="21255"/>
    <cellStyle name="Accent5 19 12" xfId="22052"/>
    <cellStyle name="Accent5 19 13" xfId="27031"/>
    <cellStyle name="Accent5 19 14" xfId="30360"/>
    <cellStyle name="Accent5 19 15" xfId="32135"/>
    <cellStyle name="Accent5 19 16" xfId="33890"/>
    <cellStyle name="Accent5 19 17" xfId="35603"/>
    <cellStyle name="Accent5 19 18" xfId="37247"/>
    <cellStyle name="Accent5 19 19" xfId="38803"/>
    <cellStyle name="Accent5 19 2" xfId="12969"/>
    <cellStyle name="Accent5 19 20" xfId="40236"/>
    <cellStyle name="Accent5 19 21" xfId="41479"/>
    <cellStyle name="Accent5 19 22" xfId="42528"/>
    <cellStyle name="Accent5 19 3" xfId="14095"/>
    <cellStyle name="Accent5 19 4" xfId="15025"/>
    <cellStyle name="Accent5 19 5" xfId="15952"/>
    <cellStyle name="Accent5 19 6" xfId="16882"/>
    <cellStyle name="Accent5 19 7" xfId="17790"/>
    <cellStyle name="Accent5 19 8" xfId="18680"/>
    <cellStyle name="Accent5 19 9" xfId="19558"/>
    <cellStyle name="Accent5 2" xfId="3972"/>
    <cellStyle name="Accent5 2 10" xfId="10851"/>
    <cellStyle name="Accent5 2 11" xfId="12498"/>
    <cellStyle name="Accent5 2 12" xfId="12477"/>
    <cellStyle name="Accent5 2 13" xfId="12471"/>
    <cellStyle name="Accent5 2 14" xfId="12769"/>
    <cellStyle name="Accent5 2 15" xfId="15789"/>
    <cellStyle name="Accent5 2 16" xfId="11549"/>
    <cellStyle name="Accent5 2 17" xfId="14722"/>
    <cellStyle name="Accent5 2 18" xfId="13911"/>
    <cellStyle name="Accent5 2 19" xfId="12735"/>
    <cellStyle name="Accent5 2 2" xfId="9396"/>
    <cellStyle name="Accent5 2 2 2" xfId="9565"/>
    <cellStyle name="Accent5 2 20" xfId="17697"/>
    <cellStyle name="Accent5 2 21" xfId="21156"/>
    <cellStyle name="Accent5 2 22" xfId="16528"/>
    <cellStyle name="Accent5 2 23" xfId="23016"/>
    <cellStyle name="Accent5 2 24" xfId="23628"/>
    <cellStyle name="Accent5 2 25" xfId="28734"/>
    <cellStyle name="Accent5 2 26" xfId="30523"/>
    <cellStyle name="Accent5 2 27" xfId="32298"/>
    <cellStyle name="Accent5 2 28" xfId="34051"/>
    <cellStyle name="Accent5 2 29" xfId="35761"/>
    <cellStyle name="Accent5 2 3" xfId="10330"/>
    <cellStyle name="Accent5 2 30" xfId="37399"/>
    <cellStyle name="Accent5 2 31" xfId="38950"/>
    <cellStyle name="Accent5 2 32" xfId="40374"/>
    <cellStyle name="Accent5 2 33" xfId="8724"/>
    <cellStyle name="Accent5 2 4" xfId="11202"/>
    <cellStyle name="Accent5 2 5" xfId="11395"/>
    <cellStyle name="Accent5 2 6" xfId="11583"/>
    <cellStyle name="Accent5 2 7" xfId="11765"/>
    <cellStyle name="Accent5 2 8" xfId="11948"/>
    <cellStyle name="Accent5 2 9" xfId="12126"/>
    <cellStyle name="Accent5 20" xfId="11429"/>
    <cellStyle name="Accent5 20 10" xfId="20737"/>
    <cellStyle name="Accent5 20 11" xfId="21575"/>
    <cellStyle name="Accent5 20 12" xfId="22361"/>
    <cellStyle name="Accent5 20 13" xfId="27041"/>
    <cellStyle name="Accent5 20 14" xfId="30370"/>
    <cellStyle name="Accent5 20 15" xfId="32145"/>
    <cellStyle name="Accent5 20 16" xfId="33900"/>
    <cellStyle name="Accent5 20 17" xfId="35613"/>
    <cellStyle name="Accent5 20 18" xfId="37257"/>
    <cellStyle name="Accent5 20 19" xfId="38813"/>
    <cellStyle name="Accent5 20 2" xfId="13290"/>
    <cellStyle name="Accent5 20 20" xfId="40246"/>
    <cellStyle name="Accent5 20 21" xfId="41489"/>
    <cellStyle name="Accent5 20 22" xfId="42538"/>
    <cellStyle name="Accent5 20 3" xfId="14414"/>
    <cellStyle name="Accent5 20 4" xfId="15343"/>
    <cellStyle name="Accent5 20 5" xfId="16272"/>
    <cellStyle name="Accent5 20 6" xfId="17202"/>
    <cellStyle name="Accent5 20 7" xfId="18110"/>
    <cellStyle name="Accent5 20 8" xfId="19000"/>
    <cellStyle name="Accent5 20 9" xfId="19877"/>
    <cellStyle name="Accent5 21" xfId="11618"/>
    <cellStyle name="Accent5 21 10" xfId="20816"/>
    <cellStyle name="Accent5 21 11" xfId="21655"/>
    <cellStyle name="Accent5 21 12" xfId="22439"/>
    <cellStyle name="Accent5 21 13" xfId="27051"/>
    <cellStyle name="Accent5 21 14" xfId="30380"/>
    <cellStyle name="Accent5 21 15" xfId="32155"/>
    <cellStyle name="Accent5 21 16" xfId="33910"/>
    <cellStyle name="Accent5 21 17" xfId="35623"/>
    <cellStyle name="Accent5 21 18" xfId="37267"/>
    <cellStyle name="Accent5 21 19" xfId="38823"/>
    <cellStyle name="Accent5 21 2" xfId="13370"/>
    <cellStyle name="Accent5 21 20" xfId="40256"/>
    <cellStyle name="Accent5 21 21" xfId="41499"/>
    <cellStyle name="Accent5 21 22" xfId="42548"/>
    <cellStyle name="Accent5 21 3" xfId="14494"/>
    <cellStyle name="Accent5 21 4" xfId="15421"/>
    <cellStyle name="Accent5 21 5" xfId="16352"/>
    <cellStyle name="Accent5 21 6" xfId="17282"/>
    <cellStyle name="Accent5 21 7" xfId="18190"/>
    <cellStyle name="Accent5 21 8" xfId="19080"/>
    <cellStyle name="Accent5 21 9" xfId="19957"/>
    <cellStyle name="Accent5 22" xfId="12059"/>
    <cellStyle name="Accent5 22 10" xfId="20894"/>
    <cellStyle name="Accent5 22 11" xfId="21735"/>
    <cellStyle name="Accent5 22 12" xfId="22517"/>
    <cellStyle name="Accent5 22 13" xfId="27061"/>
    <cellStyle name="Accent5 22 14" xfId="30390"/>
    <cellStyle name="Accent5 22 15" xfId="32165"/>
    <cellStyle name="Accent5 22 16" xfId="33920"/>
    <cellStyle name="Accent5 22 17" xfId="35633"/>
    <cellStyle name="Accent5 22 18" xfId="37277"/>
    <cellStyle name="Accent5 22 19" xfId="38833"/>
    <cellStyle name="Accent5 22 2" xfId="13450"/>
    <cellStyle name="Accent5 22 20" xfId="40266"/>
    <cellStyle name="Accent5 22 21" xfId="41509"/>
    <cellStyle name="Accent5 22 22" xfId="42558"/>
    <cellStyle name="Accent5 22 3" xfId="14573"/>
    <cellStyle name="Accent5 22 4" xfId="15501"/>
    <cellStyle name="Accent5 22 5" xfId="16432"/>
    <cellStyle name="Accent5 22 6" xfId="17362"/>
    <cellStyle name="Accent5 22 7" xfId="18270"/>
    <cellStyle name="Accent5 22 8" xfId="19160"/>
    <cellStyle name="Accent5 22 9" xfId="20036"/>
    <cellStyle name="Accent5 23" xfId="10367"/>
    <cellStyle name="Accent5 23 10" xfId="20972"/>
    <cellStyle name="Accent5 23 11" xfId="21812"/>
    <cellStyle name="Accent5 23 12" xfId="22593"/>
    <cellStyle name="Accent5 23 2" xfId="13530"/>
    <cellStyle name="Accent5 23 3" xfId="14652"/>
    <cellStyle name="Accent5 23 4" xfId="15580"/>
    <cellStyle name="Accent5 23 5" xfId="16511"/>
    <cellStyle name="Accent5 23 6" xfId="17440"/>
    <cellStyle name="Accent5 23 7" xfId="18349"/>
    <cellStyle name="Accent5 23 8" xfId="19238"/>
    <cellStyle name="Accent5 23 9" xfId="20112"/>
    <cellStyle name="Accent5 24" xfId="12688"/>
    <cellStyle name="Accent5 24 10" xfId="21040"/>
    <cellStyle name="Accent5 24 11" xfId="21876"/>
    <cellStyle name="Accent5 24 12" xfId="22657"/>
    <cellStyle name="Accent5 24 2" xfId="13610"/>
    <cellStyle name="Accent5 24 3" xfId="14728"/>
    <cellStyle name="Accent5 24 4" xfId="15655"/>
    <cellStyle name="Accent5 24 5" xfId="16585"/>
    <cellStyle name="Accent5 24 6" xfId="17514"/>
    <cellStyle name="Accent5 24 7" xfId="18418"/>
    <cellStyle name="Accent5 24 8" xfId="19306"/>
    <cellStyle name="Accent5 24 9" xfId="20181"/>
    <cellStyle name="Accent5 25" xfId="13688"/>
    <cellStyle name="Accent5 26" xfId="13754"/>
    <cellStyle name="Accent5 27" xfId="11855"/>
    <cellStyle name="Accent5 28" xfId="11971"/>
    <cellStyle name="Accent5 29" xfId="11870"/>
    <cellStyle name="Accent5 3" xfId="8754"/>
    <cellStyle name="Accent5 30" xfId="12601"/>
    <cellStyle name="Accent5 31" xfId="12628"/>
    <cellStyle name="Accent5 32" xfId="13971"/>
    <cellStyle name="Accent5 33" xfId="16637"/>
    <cellStyle name="Accent5 34" xfId="17611"/>
    <cellStyle name="Accent5 35" xfId="18513"/>
    <cellStyle name="Accent5 36" xfId="14851"/>
    <cellStyle name="Accent5 37" xfId="22825"/>
    <cellStyle name="Accent5 38" xfId="23435"/>
    <cellStyle name="Accent5 39" xfId="28469"/>
    <cellStyle name="Accent5 4" xfId="8866"/>
    <cellStyle name="Accent5 40" xfId="27246"/>
    <cellStyle name="Accent5 41" xfId="28239"/>
    <cellStyle name="Accent5 42" xfId="27537"/>
    <cellStyle name="Accent5 43" xfId="23614"/>
    <cellStyle name="Accent5 44" xfId="29563"/>
    <cellStyle name="Accent5 45" xfId="31339"/>
    <cellStyle name="Accent5 46" xfId="33103"/>
    <cellStyle name="Accent5 47" xfId="42608"/>
    <cellStyle name="Accent5 48" xfId="42665"/>
    <cellStyle name="Accent5 49" xfId="42567"/>
    <cellStyle name="Accent5 5" xfId="8944"/>
    <cellStyle name="Accent5 50" xfId="42706"/>
    <cellStyle name="Accent5 51" xfId="42750"/>
    <cellStyle name="Accent5 52" xfId="42792"/>
    <cellStyle name="Accent5 53" xfId="42833"/>
    <cellStyle name="Accent5 54" xfId="42874"/>
    <cellStyle name="Accent5 55" xfId="42914"/>
    <cellStyle name="Accent5 56" xfId="42954"/>
    <cellStyle name="Accent5 57" xfId="42991"/>
    <cellStyle name="Accent5 58" xfId="43027"/>
    <cellStyle name="Accent5 59" xfId="43061"/>
    <cellStyle name="Accent5 6" xfId="9022"/>
    <cellStyle name="Accent5 60" xfId="43148"/>
    <cellStyle name="Accent5 61" xfId="43175"/>
    <cellStyle name="Accent5 62" xfId="8647"/>
    <cellStyle name="Accent5 63" xfId="7699"/>
    <cellStyle name="Accent5 64" xfId="3661"/>
    <cellStyle name="Accent5 7" xfId="9090"/>
    <cellStyle name="Accent5 8" xfId="9263"/>
    <cellStyle name="Accent5 9" xfId="9708"/>
    <cellStyle name="Accent6" xfId="39" builtinId="49" customBuiltin="1"/>
    <cellStyle name="Accent6 10" xfId="9774"/>
    <cellStyle name="Accent6 11" xfId="9702"/>
    <cellStyle name="Accent6 11 10" xfId="23123"/>
    <cellStyle name="Accent6 11 11" xfId="28265"/>
    <cellStyle name="Accent6 11 2" xfId="24813"/>
    <cellStyle name="Accent6 11 3" xfId="28197"/>
    <cellStyle name="Accent6 11 4" xfId="27600"/>
    <cellStyle name="Accent6 11 5" xfId="23258"/>
    <cellStyle name="Accent6 11 6" xfId="28546"/>
    <cellStyle name="Accent6 11 7" xfId="23533"/>
    <cellStyle name="Accent6 11 8" xfId="28263"/>
    <cellStyle name="Accent6 11 9" xfId="27511"/>
    <cellStyle name="Accent6 12" xfId="9841"/>
    <cellStyle name="Accent6 12 10" xfId="41051"/>
    <cellStyle name="Accent6 12 11" xfId="42122"/>
    <cellStyle name="Accent6 12 2" xfId="26542"/>
    <cellStyle name="Accent6 12 3" xfId="29873"/>
    <cellStyle name="Accent6 12 4" xfId="31648"/>
    <cellStyle name="Accent6 12 5" xfId="33407"/>
    <cellStyle name="Accent6 12 6" xfId="35121"/>
    <cellStyle name="Accent6 12 7" xfId="36771"/>
    <cellStyle name="Accent6 12 8" xfId="38339"/>
    <cellStyle name="Accent6 12 9" xfId="39785"/>
    <cellStyle name="Accent6 13" xfId="9925"/>
    <cellStyle name="Accent6 13 10" xfId="41382"/>
    <cellStyle name="Accent6 13 11" xfId="42432"/>
    <cellStyle name="Accent6 13 2" xfId="26932"/>
    <cellStyle name="Accent6 13 3" xfId="30260"/>
    <cellStyle name="Accent6 13 4" xfId="32035"/>
    <cellStyle name="Accent6 13 5" xfId="33790"/>
    <cellStyle name="Accent6 13 6" xfId="35503"/>
    <cellStyle name="Accent6 13 7" xfId="37147"/>
    <cellStyle name="Accent6 13 8" xfId="38703"/>
    <cellStyle name="Accent6 13 9" xfId="40137"/>
    <cellStyle name="Accent6 14" xfId="10006"/>
    <cellStyle name="Accent6 14 10" xfId="41402"/>
    <cellStyle name="Accent6 14 11" xfId="42451"/>
    <cellStyle name="Accent6 14 2" xfId="26953"/>
    <cellStyle name="Accent6 14 3" xfId="30282"/>
    <cellStyle name="Accent6 14 4" xfId="32057"/>
    <cellStyle name="Accent6 14 5" xfId="33812"/>
    <cellStyle name="Accent6 14 6" xfId="35525"/>
    <cellStyle name="Accent6 14 7" xfId="37169"/>
    <cellStyle name="Accent6 14 8" xfId="38725"/>
    <cellStyle name="Accent6 14 9" xfId="40159"/>
    <cellStyle name="Accent6 15" xfId="9434"/>
    <cellStyle name="Accent6 15 10" xfId="12534"/>
    <cellStyle name="Accent6 15 11" xfId="19366"/>
    <cellStyle name="Accent6 15 12" xfId="21939"/>
    <cellStyle name="Accent6 15 13" xfId="26975"/>
    <cellStyle name="Accent6 15 14" xfId="30304"/>
    <cellStyle name="Accent6 15 15" xfId="32079"/>
    <cellStyle name="Accent6 15 16" xfId="33834"/>
    <cellStyle name="Accent6 15 17" xfId="35547"/>
    <cellStyle name="Accent6 15 18" xfId="37191"/>
    <cellStyle name="Accent6 15 19" xfId="38747"/>
    <cellStyle name="Accent6 15 2" xfId="12311"/>
    <cellStyle name="Accent6 15 20" xfId="40181"/>
    <cellStyle name="Accent6 15 21" xfId="41424"/>
    <cellStyle name="Accent6 15 22" xfId="42473"/>
    <cellStyle name="Accent6 15 3" xfId="10950"/>
    <cellStyle name="Accent6 15 4" xfId="13965"/>
    <cellStyle name="Accent6 15 5" xfId="11683"/>
    <cellStyle name="Accent6 15 6" xfId="16669"/>
    <cellStyle name="Accent6 15 7" xfId="17596"/>
    <cellStyle name="Accent6 15 8" xfId="18500"/>
    <cellStyle name="Accent6 15 9" xfId="19383"/>
    <cellStyle name="Accent6 16" xfId="11266"/>
    <cellStyle name="Accent6 16 10" xfId="20352"/>
    <cellStyle name="Accent6 16 11" xfId="21196"/>
    <cellStyle name="Accent6 16 12" xfId="22002"/>
    <cellStyle name="Accent6 16 13" xfId="26490"/>
    <cellStyle name="Accent6 16 14" xfId="29821"/>
    <cellStyle name="Accent6 16 15" xfId="31596"/>
    <cellStyle name="Accent6 16 16" xfId="33355"/>
    <cellStyle name="Accent6 16 17" xfId="35071"/>
    <cellStyle name="Accent6 16 18" xfId="36722"/>
    <cellStyle name="Accent6 16 19" xfId="38291"/>
    <cellStyle name="Accent6 16 2" xfId="12893"/>
    <cellStyle name="Accent6 16 20" xfId="39741"/>
    <cellStyle name="Accent6 16 21" xfId="41008"/>
    <cellStyle name="Accent6 16 22" xfId="42082"/>
    <cellStyle name="Accent6 16 3" xfId="14023"/>
    <cellStyle name="Accent6 16 4" xfId="14953"/>
    <cellStyle name="Accent6 16 5" xfId="15881"/>
    <cellStyle name="Accent6 16 6" xfId="16808"/>
    <cellStyle name="Accent6 16 7" xfId="17720"/>
    <cellStyle name="Accent6 16 8" xfId="18613"/>
    <cellStyle name="Accent6 16 9" xfId="19493"/>
    <cellStyle name="Accent6 17" xfId="11457"/>
    <cellStyle name="Accent6 17 10" xfId="20499"/>
    <cellStyle name="Accent6 17 11" xfId="21335"/>
    <cellStyle name="Accent6 17 12" xfId="22129"/>
    <cellStyle name="Accent6 17 13" xfId="27010"/>
    <cellStyle name="Accent6 17 14" xfId="30339"/>
    <cellStyle name="Accent6 17 15" xfId="32114"/>
    <cellStyle name="Accent6 17 16" xfId="33869"/>
    <cellStyle name="Accent6 17 17" xfId="35582"/>
    <cellStyle name="Accent6 17 18" xfId="37226"/>
    <cellStyle name="Accent6 17 19" xfId="38782"/>
    <cellStyle name="Accent6 17 2" xfId="13049"/>
    <cellStyle name="Accent6 17 20" xfId="40215"/>
    <cellStyle name="Accent6 17 21" xfId="41458"/>
    <cellStyle name="Accent6 17 22" xfId="42507"/>
    <cellStyle name="Accent6 17 3" xfId="14175"/>
    <cellStyle name="Accent6 17 4" xfId="15104"/>
    <cellStyle name="Accent6 17 5" xfId="16032"/>
    <cellStyle name="Accent6 17 6" xfId="16962"/>
    <cellStyle name="Accent6 17 7" xfId="17870"/>
    <cellStyle name="Accent6 17 8" xfId="18760"/>
    <cellStyle name="Accent6 17 9" xfId="19638"/>
    <cellStyle name="Accent6 18" xfId="11644"/>
    <cellStyle name="Accent6 18 10" xfId="20498"/>
    <cellStyle name="Accent6 18 11" xfId="21334"/>
    <cellStyle name="Accent6 18 12" xfId="22128"/>
    <cellStyle name="Accent6 18 13" xfId="27020"/>
    <cellStyle name="Accent6 18 14" xfId="30349"/>
    <cellStyle name="Accent6 18 15" xfId="32124"/>
    <cellStyle name="Accent6 18 16" xfId="33879"/>
    <cellStyle name="Accent6 18 17" xfId="35592"/>
    <cellStyle name="Accent6 18 18" xfId="37236"/>
    <cellStyle name="Accent6 18 19" xfId="38792"/>
    <cellStyle name="Accent6 18 2" xfId="13048"/>
    <cellStyle name="Accent6 18 20" xfId="40225"/>
    <cellStyle name="Accent6 18 21" xfId="41468"/>
    <cellStyle name="Accent6 18 22" xfId="42517"/>
    <cellStyle name="Accent6 18 3" xfId="14174"/>
    <cellStyle name="Accent6 18 4" xfId="15103"/>
    <cellStyle name="Accent6 18 5" xfId="16031"/>
    <cellStyle name="Accent6 18 6" xfId="16961"/>
    <cellStyle name="Accent6 18 7" xfId="17869"/>
    <cellStyle name="Accent6 18 8" xfId="18759"/>
    <cellStyle name="Accent6 18 9" xfId="19637"/>
    <cellStyle name="Accent6 19" xfId="11827"/>
    <cellStyle name="Accent6 19 10" xfId="20577"/>
    <cellStyle name="Accent6 19 11" xfId="21414"/>
    <cellStyle name="Accent6 19 12" xfId="22205"/>
    <cellStyle name="Accent6 19 13" xfId="27030"/>
    <cellStyle name="Accent6 19 14" xfId="30359"/>
    <cellStyle name="Accent6 19 15" xfId="32134"/>
    <cellStyle name="Accent6 19 16" xfId="33889"/>
    <cellStyle name="Accent6 19 17" xfId="35602"/>
    <cellStyle name="Accent6 19 18" xfId="37246"/>
    <cellStyle name="Accent6 19 19" xfId="38802"/>
    <cellStyle name="Accent6 19 2" xfId="13128"/>
    <cellStyle name="Accent6 19 20" xfId="40235"/>
    <cellStyle name="Accent6 19 21" xfId="41478"/>
    <cellStyle name="Accent6 19 22" xfId="42527"/>
    <cellStyle name="Accent6 19 3" xfId="14254"/>
    <cellStyle name="Accent6 19 4" xfId="15182"/>
    <cellStyle name="Accent6 19 5" xfId="16111"/>
    <cellStyle name="Accent6 19 6" xfId="17041"/>
    <cellStyle name="Accent6 19 7" xfId="17949"/>
    <cellStyle name="Accent6 19 8" xfId="18839"/>
    <cellStyle name="Accent6 19 9" xfId="19717"/>
    <cellStyle name="Accent6 2" xfId="3973"/>
    <cellStyle name="Accent6 2 10" xfId="12358"/>
    <cellStyle name="Accent6 2 11" xfId="12438"/>
    <cellStyle name="Accent6 2 12" xfId="12223"/>
    <cellStyle name="Accent6 2 13" xfId="11782"/>
    <cellStyle name="Accent6 2 14" xfId="14900"/>
    <cellStyle name="Accent6 2 15" xfId="14976"/>
    <cellStyle name="Accent6 2 16" xfId="10903"/>
    <cellStyle name="Accent6 2 17" xfId="12820"/>
    <cellStyle name="Accent6 2 18" xfId="15859"/>
    <cellStyle name="Accent6 2 19" xfId="16786"/>
    <cellStyle name="Accent6 2 2" xfId="9397"/>
    <cellStyle name="Accent6 2 2 2" xfId="9566"/>
    <cellStyle name="Accent6 2 20" xfId="20310"/>
    <cellStyle name="Accent6 2 21" xfId="21136"/>
    <cellStyle name="Accent6 2 22" xfId="12899"/>
    <cellStyle name="Accent6 2 23" xfId="23017"/>
    <cellStyle name="Accent6 2 24" xfId="23559"/>
    <cellStyle name="Accent6 2 25" xfId="28733"/>
    <cellStyle name="Accent6 2 26" xfId="30522"/>
    <cellStyle name="Accent6 2 27" xfId="32297"/>
    <cellStyle name="Accent6 2 28" xfId="34050"/>
    <cellStyle name="Accent6 2 29" xfId="35760"/>
    <cellStyle name="Accent6 2 3" xfId="10331"/>
    <cellStyle name="Accent6 2 30" xfId="37398"/>
    <cellStyle name="Accent6 2 31" xfId="38949"/>
    <cellStyle name="Accent6 2 32" xfId="40373"/>
    <cellStyle name="Accent6 2 33" xfId="8725"/>
    <cellStyle name="Accent6 2 4" xfId="11137"/>
    <cellStyle name="Accent6 2 5" xfId="11331"/>
    <cellStyle name="Accent6 2 6" xfId="11523"/>
    <cellStyle name="Accent6 2 7" xfId="11705"/>
    <cellStyle name="Accent6 2 8" xfId="11889"/>
    <cellStyle name="Accent6 2 9" xfId="12073"/>
    <cellStyle name="Accent6 20" xfId="12009"/>
    <cellStyle name="Accent6 20 10" xfId="20736"/>
    <cellStyle name="Accent6 20 11" xfId="21574"/>
    <cellStyle name="Accent6 20 12" xfId="22360"/>
    <cellStyle name="Accent6 20 13" xfId="27040"/>
    <cellStyle name="Accent6 20 14" xfId="30369"/>
    <cellStyle name="Accent6 20 15" xfId="32144"/>
    <cellStyle name="Accent6 20 16" xfId="33899"/>
    <cellStyle name="Accent6 20 17" xfId="35612"/>
    <cellStyle name="Accent6 20 18" xfId="37256"/>
    <cellStyle name="Accent6 20 19" xfId="38812"/>
    <cellStyle name="Accent6 20 2" xfId="13289"/>
    <cellStyle name="Accent6 20 20" xfId="40245"/>
    <cellStyle name="Accent6 20 21" xfId="41488"/>
    <cellStyle name="Accent6 20 22" xfId="42537"/>
    <cellStyle name="Accent6 20 3" xfId="14413"/>
    <cellStyle name="Accent6 20 4" xfId="15342"/>
    <cellStyle name="Accent6 20 5" xfId="16271"/>
    <cellStyle name="Accent6 20 6" xfId="17201"/>
    <cellStyle name="Accent6 20 7" xfId="18109"/>
    <cellStyle name="Accent6 20 8" xfId="18999"/>
    <cellStyle name="Accent6 20 9" xfId="19876"/>
    <cellStyle name="Accent6 21" xfId="12183"/>
    <cellStyle name="Accent6 21 10" xfId="20735"/>
    <cellStyle name="Accent6 21 11" xfId="21573"/>
    <cellStyle name="Accent6 21 12" xfId="22359"/>
    <cellStyle name="Accent6 21 13" xfId="27050"/>
    <cellStyle name="Accent6 21 14" xfId="30379"/>
    <cellStyle name="Accent6 21 15" xfId="32154"/>
    <cellStyle name="Accent6 21 16" xfId="33909"/>
    <cellStyle name="Accent6 21 17" xfId="35622"/>
    <cellStyle name="Accent6 21 18" xfId="37266"/>
    <cellStyle name="Accent6 21 19" xfId="38822"/>
    <cellStyle name="Accent6 21 2" xfId="13288"/>
    <cellStyle name="Accent6 21 20" xfId="40255"/>
    <cellStyle name="Accent6 21 21" xfId="41498"/>
    <cellStyle name="Accent6 21 22" xfId="42547"/>
    <cellStyle name="Accent6 21 3" xfId="14412"/>
    <cellStyle name="Accent6 21 4" xfId="15341"/>
    <cellStyle name="Accent6 21 5" xfId="16270"/>
    <cellStyle name="Accent6 21 6" xfId="17200"/>
    <cellStyle name="Accent6 21 7" xfId="18108"/>
    <cellStyle name="Accent6 21 8" xfId="18998"/>
    <cellStyle name="Accent6 21 9" xfId="19875"/>
    <cellStyle name="Accent6 22" xfId="12370"/>
    <cellStyle name="Accent6 22 10" xfId="20657"/>
    <cellStyle name="Accent6 22 11" xfId="21495"/>
    <cellStyle name="Accent6 22 12" xfId="22283"/>
    <cellStyle name="Accent6 22 13" xfId="27060"/>
    <cellStyle name="Accent6 22 14" xfId="30389"/>
    <cellStyle name="Accent6 22 15" xfId="32164"/>
    <cellStyle name="Accent6 22 16" xfId="33919"/>
    <cellStyle name="Accent6 22 17" xfId="35632"/>
    <cellStyle name="Accent6 22 18" xfId="37276"/>
    <cellStyle name="Accent6 22 19" xfId="38832"/>
    <cellStyle name="Accent6 22 2" xfId="13209"/>
    <cellStyle name="Accent6 22 20" xfId="40265"/>
    <cellStyle name="Accent6 22 21" xfId="41508"/>
    <cellStyle name="Accent6 22 22" xfId="42557"/>
    <cellStyle name="Accent6 22 3" xfId="14334"/>
    <cellStyle name="Accent6 22 4" xfId="15262"/>
    <cellStyle name="Accent6 22 5" xfId="16192"/>
    <cellStyle name="Accent6 22 6" xfId="17122"/>
    <cellStyle name="Accent6 22 7" xfId="18030"/>
    <cellStyle name="Accent6 22 8" xfId="18920"/>
    <cellStyle name="Accent6 22 9" xfId="19797"/>
    <cellStyle name="Accent6 23" xfId="12555"/>
    <cellStyle name="Accent6 23 10" xfId="20815"/>
    <cellStyle name="Accent6 23 11" xfId="21654"/>
    <cellStyle name="Accent6 23 12" xfId="22438"/>
    <cellStyle name="Accent6 23 2" xfId="13369"/>
    <cellStyle name="Accent6 23 3" xfId="14493"/>
    <cellStyle name="Accent6 23 4" xfId="15420"/>
    <cellStyle name="Accent6 23 5" xfId="16351"/>
    <cellStyle name="Accent6 23 6" xfId="17281"/>
    <cellStyle name="Accent6 23 7" xfId="18189"/>
    <cellStyle name="Accent6 23 8" xfId="19079"/>
    <cellStyle name="Accent6 23 9" xfId="19956"/>
    <cellStyle name="Accent6 24" xfId="12638"/>
    <cellStyle name="Accent6 24 10" xfId="20893"/>
    <cellStyle name="Accent6 24 11" xfId="21734"/>
    <cellStyle name="Accent6 24 12" xfId="22516"/>
    <cellStyle name="Accent6 24 2" xfId="13449"/>
    <cellStyle name="Accent6 24 3" xfId="14572"/>
    <cellStyle name="Accent6 24 4" xfId="15500"/>
    <cellStyle name="Accent6 24 5" xfId="16431"/>
    <cellStyle name="Accent6 24 6" xfId="17361"/>
    <cellStyle name="Accent6 24 7" xfId="18269"/>
    <cellStyle name="Accent6 24 8" xfId="19159"/>
    <cellStyle name="Accent6 24 9" xfId="20035"/>
    <cellStyle name="Accent6 25" xfId="13529"/>
    <cellStyle name="Accent6 26" xfId="13609"/>
    <cellStyle name="Accent6 27" xfId="12124"/>
    <cellStyle name="Accent6 28" xfId="12793"/>
    <cellStyle name="Accent6 29" xfId="12645"/>
    <cellStyle name="Accent6 3" xfId="8751"/>
    <cellStyle name="Accent6 30" xfId="12262"/>
    <cellStyle name="Accent6 31" xfId="12150"/>
    <cellStyle name="Accent6 32" xfId="12543"/>
    <cellStyle name="Accent6 33" xfId="16687"/>
    <cellStyle name="Accent6 34" xfId="16690"/>
    <cellStyle name="Accent6 35" xfId="17614"/>
    <cellStyle name="Accent6 36" xfId="13847"/>
    <cellStyle name="Accent6 37" xfId="22826"/>
    <cellStyle name="Accent6 38" xfId="23351"/>
    <cellStyle name="Accent6 39" xfId="28468"/>
    <cellStyle name="Accent6 4" xfId="8865"/>
    <cellStyle name="Accent6 40" xfId="27247"/>
    <cellStyle name="Accent6 41" xfId="27111"/>
    <cellStyle name="Accent6 42" xfId="26392"/>
    <cellStyle name="Accent6 43" xfId="29181"/>
    <cellStyle name="Accent6 44" xfId="30965"/>
    <cellStyle name="Accent6 45" xfId="32735"/>
    <cellStyle name="Accent6 46" xfId="34471"/>
    <cellStyle name="Accent6 47" xfId="42609"/>
    <cellStyle name="Accent6 48" xfId="42662"/>
    <cellStyle name="Accent6 49" xfId="42568"/>
    <cellStyle name="Accent6 5" xfId="8943"/>
    <cellStyle name="Accent6 50" xfId="42705"/>
    <cellStyle name="Accent6 51" xfId="42749"/>
    <cellStyle name="Accent6 52" xfId="42791"/>
    <cellStyle name="Accent6 53" xfId="42832"/>
    <cellStyle name="Accent6 54" xfId="42873"/>
    <cellStyle name="Accent6 55" xfId="42913"/>
    <cellStyle name="Accent6 56" xfId="42953"/>
    <cellStyle name="Accent6 57" xfId="42990"/>
    <cellStyle name="Accent6 58" xfId="43026"/>
    <cellStyle name="Accent6 59" xfId="43060"/>
    <cellStyle name="Accent6 6" xfId="9021"/>
    <cellStyle name="Accent6 60" xfId="43149"/>
    <cellStyle name="Accent6 61" xfId="43172"/>
    <cellStyle name="Accent6 62" xfId="8648"/>
    <cellStyle name="Accent6 63" xfId="7700"/>
    <cellStyle name="Accent6 64" xfId="3662"/>
    <cellStyle name="Accent6 7" xfId="9089"/>
    <cellStyle name="Accent6 8" xfId="9264"/>
    <cellStyle name="Accent6 9" xfId="9673"/>
    <cellStyle name="args.style" xfId="3663"/>
    <cellStyle name="args.style 10" xfId="9765"/>
    <cellStyle name="args.style 11" xfId="9758"/>
    <cellStyle name="args.style 12" xfId="9831"/>
    <cellStyle name="args.style 13" xfId="9930"/>
    <cellStyle name="args.style 14" xfId="10002"/>
    <cellStyle name="args.style 15" xfId="9429"/>
    <cellStyle name="args.style 15 10" xfId="18564"/>
    <cellStyle name="args.style 15 11" xfId="18620"/>
    <cellStyle name="args.style 15 12" xfId="16854"/>
    <cellStyle name="args.style 15 13" xfId="26974"/>
    <cellStyle name="args.style 15 14" xfId="30303"/>
    <cellStyle name="args.style 15 15" xfId="32078"/>
    <cellStyle name="args.style 15 16" xfId="33833"/>
    <cellStyle name="args.style 15 17" xfId="35546"/>
    <cellStyle name="args.style 15 18" xfId="37190"/>
    <cellStyle name="args.style 15 19" xfId="38746"/>
    <cellStyle name="args.style 15 2" xfId="12832"/>
    <cellStyle name="args.style 15 20" xfId="40180"/>
    <cellStyle name="args.style 15 21" xfId="41423"/>
    <cellStyle name="args.style 15 22" xfId="42472"/>
    <cellStyle name="args.style 15 3" xfId="13950"/>
    <cellStyle name="args.style 15 4" xfId="10467"/>
    <cellStyle name="args.style 15 5" xfId="13881"/>
    <cellStyle name="args.style 15 6" xfId="13895"/>
    <cellStyle name="args.style 15 7" xfId="12765"/>
    <cellStyle name="args.style 15 8" xfId="11596"/>
    <cellStyle name="args.style 15 9" xfId="15722"/>
    <cellStyle name="args.style 16" xfId="11223"/>
    <cellStyle name="args.style 16 10" xfId="20351"/>
    <cellStyle name="args.style 16 11" xfId="21195"/>
    <cellStyle name="args.style 16 12" xfId="22001"/>
    <cellStyle name="args.style 16 13" xfId="26491"/>
    <cellStyle name="args.style 16 14" xfId="29822"/>
    <cellStyle name="args.style 16 15" xfId="31597"/>
    <cellStyle name="args.style 16 16" xfId="33356"/>
    <cellStyle name="args.style 16 17" xfId="35072"/>
    <cellStyle name="args.style 16 18" xfId="36723"/>
    <cellStyle name="args.style 16 19" xfId="38292"/>
    <cellStyle name="args.style 16 2" xfId="12892"/>
    <cellStyle name="args.style 16 20" xfId="39742"/>
    <cellStyle name="args.style 16 21" xfId="41009"/>
    <cellStyle name="args.style 16 22" xfId="42083"/>
    <cellStyle name="args.style 16 3" xfId="14022"/>
    <cellStyle name="args.style 16 4" xfId="14952"/>
    <cellStyle name="args.style 16 5" xfId="15880"/>
    <cellStyle name="args.style 16 6" xfId="16807"/>
    <cellStyle name="args.style 16 7" xfId="17719"/>
    <cellStyle name="args.style 16 8" xfId="18612"/>
    <cellStyle name="args.style 16 9" xfId="19492"/>
    <cellStyle name="args.style 17" xfId="11414"/>
    <cellStyle name="args.style 17 10" xfId="20353"/>
    <cellStyle name="args.style 17 11" xfId="21197"/>
    <cellStyle name="args.style 17 12" xfId="22003"/>
    <cellStyle name="args.style 17 13" xfId="27009"/>
    <cellStyle name="args.style 17 14" xfId="30338"/>
    <cellStyle name="args.style 17 15" xfId="32113"/>
    <cellStyle name="args.style 17 16" xfId="33868"/>
    <cellStyle name="args.style 17 17" xfId="35581"/>
    <cellStyle name="args.style 17 18" xfId="37225"/>
    <cellStyle name="args.style 17 19" xfId="38781"/>
    <cellStyle name="args.style 17 2" xfId="12894"/>
    <cellStyle name="args.style 17 20" xfId="40214"/>
    <cellStyle name="args.style 17 21" xfId="41457"/>
    <cellStyle name="args.style 17 22" xfId="42506"/>
    <cellStyle name="args.style 17 3" xfId="14024"/>
    <cellStyle name="args.style 17 4" xfId="14954"/>
    <cellStyle name="args.style 17 5" xfId="15882"/>
    <cellStyle name="args.style 17 6" xfId="16809"/>
    <cellStyle name="args.style 17 7" xfId="17721"/>
    <cellStyle name="args.style 17 8" xfId="18614"/>
    <cellStyle name="args.style 17 9" xfId="19494"/>
    <cellStyle name="args.style 18" xfId="11605"/>
    <cellStyle name="args.style 18 10" xfId="20497"/>
    <cellStyle name="args.style 18 11" xfId="21333"/>
    <cellStyle name="args.style 18 12" xfId="22127"/>
    <cellStyle name="args.style 18 13" xfId="27019"/>
    <cellStyle name="args.style 18 14" xfId="30348"/>
    <cellStyle name="args.style 18 15" xfId="32123"/>
    <cellStyle name="args.style 18 16" xfId="33878"/>
    <cellStyle name="args.style 18 17" xfId="35591"/>
    <cellStyle name="args.style 18 18" xfId="37235"/>
    <cellStyle name="args.style 18 19" xfId="38791"/>
    <cellStyle name="args.style 18 2" xfId="13047"/>
    <cellStyle name="args.style 18 20" xfId="40224"/>
    <cellStyle name="args.style 18 21" xfId="41467"/>
    <cellStyle name="args.style 18 22" xfId="42516"/>
    <cellStyle name="args.style 18 3" xfId="14173"/>
    <cellStyle name="args.style 18 4" xfId="15102"/>
    <cellStyle name="args.style 18 5" xfId="16030"/>
    <cellStyle name="args.style 18 6" xfId="16960"/>
    <cellStyle name="args.style 18 7" xfId="17868"/>
    <cellStyle name="args.style 18 8" xfId="18758"/>
    <cellStyle name="args.style 18 9" xfId="19636"/>
    <cellStyle name="args.style 19" xfId="11786"/>
    <cellStyle name="args.style 19 10" xfId="20576"/>
    <cellStyle name="args.style 19 11" xfId="21413"/>
    <cellStyle name="args.style 19 12" xfId="22204"/>
    <cellStyle name="args.style 19 13" xfId="27029"/>
    <cellStyle name="args.style 19 14" xfId="30358"/>
    <cellStyle name="args.style 19 15" xfId="32133"/>
    <cellStyle name="args.style 19 16" xfId="33888"/>
    <cellStyle name="args.style 19 17" xfId="35601"/>
    <cellStyle name="args.style 19 18" xfId="37245"/>
    <cellStyle name="args.style 19 19" xfId="38801"/>
    <cellStyle name="args.style 19 2" xfId="13127"/>
    <cellStyle name="args.style 19 20" xfId="40234"/>
    <cellStyle name="args.style 19 21" xfId="41477"/>
    <cellStyle name="args.style 19 22" xfId="42526"/>
    <cellStyle name="args.style 19 3" xfId="14253"/>
    <cellStyle name="args.style 19 4" xfId="15181"/>
    <cellStyle name="args.style 19 5" xfId="16110"/>
    <cellStyle name="args.style 19 6" xfId="17040"/>
    <cellStyle name="args.style 19 7" xfId="17948"/>
    <cellStyle name="args.style 19 8" xfId="18838"/>
    <cellStyle name="args.style 19 9" xfId="19716"/>
    <cellStyle name="args.style 2" xfId="8726"/>
    <cellStyle name="args.style 2 10" xfId="12309"/>
    <cellStyle name="args.style 2 11" xfId="10879"/>
    <cellStyle name="args.style 2 12" xfId="11155"/>
    <cellStyle name="args.style 2 13" xfId="12655"/>
    <cellStyle name="args.style 2 14" xfId="14862"/>
    <cellStyle name="args.style 2 15" xfId="12592"/>
    <cellStyle name="args.style 2 16" xfId="16758"/>
    <cellStyle name="args.style 2 17" xfId="17668"/>
    <cellStyle name="args.style 2 18" xfId="18569"/>
    <cellStyle name="args.style 2 19" xfId="19447"/>
    <cellStyle name="args.style 2 2" xfId="9398"/>
    <cellStyle name="args.style 2 2 2" xfId="9567"/>
    <cellStyle name="args.style 2 20" xfId="20285"/>
    <cellStyle name="args.style 2 21" xfId="20369"/>
    <cellStyle name="args.style 2 22" xfId="21972"/>
    <cellStyle name="args.style 2 23" xfId="23018"/>
    <cellStyle name="args.style 2 24" xfId="23480"/>
    <cellStyle name="args.style 2 25" xfId="28732"/>
    <cellStyle name="args.style 2 26" xfId="30521"/>
    <cellStyle name="args.style 2 27" xfId="32296"/>
    <cellStyle name="args.style 2 28" xfId="34049"/>
    <cellStyle name="args.style 2 29" xfId="35759"/>
    <cellStyle name="args.style 2 3" xfId="10332"/>
    <cellStyle name="args.style 2 30" xfId="37397"/>
    <cellStyle name="args.style 2 31" xfId="38948"/>
    <cellStyle name="args.style 2 32" xfId="40372"/>
    <cellStyle name="args.style 2 4" xfId="11064"/>
    <cellStyle name="args.style 2 5" xfId="11176"/>
    <cellStyle name="args.style 2 6" xfId="11369"/>
    <cellStyle name="args.style 2 7" xfId="11559"/>
    <cellStyle name="args.style 2 8" xfId="11739"/>
    <cellStyle name="args.style 2 9" xfId="11924"/>
    <cellStyle name="args.style 20" xfId="11969"/>
    <cellStyle name="args.style 20 10" xfId="20578"/>
    <cellStyle name="args.style 20 11" xfId="21415"/>
    <cellStyle name="args.style 20 12" xfId="22206"/>
    <cellStyle name="args.style 20 13" xfId="27039"/>
    <cellStyle name="args.style 20 14" xfId="30368"/>
    <cellStyle name="args.style 20 15" xfId="32143"/>
    <cellStyle name="args.style 20 16" xfId="33898"/>
    <cellStyle name="args.style 20 17" xfId="35611"/>
    <cellStyle name="args.style 20 18" xfId="37255"/>
    <cellStyle name="args.style 20 19" xfId="38811"/>
    <cellStyle name="args.style 20 2" xfId="13129"/>
    <cellStyle name="args.style 20 20" xfId="40244"/>
    <cellStyle name="args.style 20 21" xfId="41487"/>
    <cellStyle name="args.style 20 22" xfId="42536"/>
    <cellStyle name="args.style 20 3" xfId="14255"/>
    <cellStyle name="args.style 20 4" xfId="15183"/>
    <cellStyle name="args.style 20 5" xfId="16112"/>
    <cellStyle name="args.style 20 6" xfId="17042"/>
    <cellStyle name="args.style 20 7" xfId="17950"/>
    <cellStyle name="args.style 20 8" xfId="18840"/>
    <cellStyle name="args.style 20 9" xfId="19718"/>
    <cellStyle name="args.style 21" xfId="12145"/>
    <cellStyle name="args.style 21 10" xfId="20734"/>
    <cellStyle name="args.style 21 11" xfId="21572"/>
    <cellStyle name="args.style 21 12" xfId="22358"/>
    <cellStyle name="args.style 21 13" xfId="27049"/>
    <cellStyle name="args.style 21 14" xfId="30378"/>
    <cellStyle name="args.style 21 15" xfId="32153"/>
    <cellStyle name="args.style 21 16" xfId="33908"/>
    <cellStyle name="args.style 21 17" xfId="35621"/>
    <cellStyle name="args.style 21 18" xfId="37265"/>
    <cellStyle name="args.style 21 19" xfId="38821"/>
    <cellStyle name="args.style 21 2" xfId="13287"/>
    <cellStyle name="args.style 21 20" xfId="40254"/>
    <cellStyle name="args.style 21 21" xfId="41497"/>
    <cellStyle name="args.style 21 22" xfId="42546"/>
    <cellStyle name="args.style 21 3" xfId="14411"/>
    <cellStyle name="args.style 21 4" xfId="15340"/>
    <cellStyle name="args.style 21 5" xfId="16269"/>
    <cellStyle name="args.style 21 6" xfId="17199"/>
    <cellStyle name="args.style 21 7" xfId="18107"/>
    <cellStyle name="args.style 21 8" xfId="18997"/>
    <cellStyle name="args.style 21 9" xfId="19874"/>
    <cellStyle name="args.style 22" xfId="12329"/>
    <cellStyle name="args.style 22 10" xfId="20814"/>
    <cellStyle name="args.style 22 11" xfId="21653"/>
    <cellStyle name="args.style 22 12" xfId="22437"/>
    <cellStyle name="args.style 22 13" xfId="27059"/>
    <cellStyle name="args.style 22 14" xfId="30388"/>
    <cellStyle name="args.style 22 15" xfId="32163"/>
    <cellStyle name="args.style 22 16" xfId="33918"/>
    <cellStyle name="args.style 22 17" xfId="35631"/>
    <cellStyle name="args.style 22 18" xfId="37275"/>
    <cellStyle name="args.style 22 19" xfId="38831"/>
    <cellStyle name="args.style 22 2" xfId="13368"/>
    <cellStyle name="args.style 22 20" xfId="40264"/>
    <cellStyle name="args.style 22 21" xfId="41507"/>
    <cellStyle name="args.style 22 22" xfId="42556"/>
    <cellStyle name="args.style 22 3" xfId="14492"/>
    <cellStyle name="args.style 22 4" xfId="15419"/>
    <cellStyle name="args.style 22 5" xfId="16350"/>
    <cellStyle name="args.style 22 6" xfId="17280"/>
    <cellStyle name="args.style 22 7" xfId="18188"/>
    <cellStyle name="args.style 22 8" xfId="19078"/>
    <cellStyle name="args.style 22 9" xfId="19955"/>
    <cellStyle name="args.style 23" xfId="12517"/>
    <cellStyle name="args.style 23 10" xfId="20892"/>
    <cellStyle name="args.style 23 11" xfId="21733"/>
    <cellStyle name="args.style 23 12" xfId="22515"/>
    <cellStyle name="args.style 23 2" xfId="13448"/>
    <cellStyle name="args.style 23 3" xfId="14571"/>
    <cellStyle name="args.style 23 4" xfId="15499"/>
    <cellStyle name="args.style 23 5" xfId="16430"/>
    <cellStyle name="args.style 23 6" xfId="17360"/>
    <cellStyle name="args.style 23 7" xfId="18268"/>
    <cellStyle name="args.style 23 8" xfId="19158"/>
    <cellStyle name="args.style 23 9" xfId="20034"/>
    <cellStyle name="args.style 24" xfId="12576"/>
    <cellStyle name="args.style 24 10" xfId="20970"/>
    <cellStyle name="args.style 24 11" xfId="21811"/>
    <cellStyle name="args.style 24 12" xfId="22592"/>
    <cellStyle name="args.style 24 2" xfId="13528"/>
    <cellStyle name="args.style 24 3" xfId="14650"/>
    <cellStyle name="args.style 24 4" xfId="15579"/>
    <cellStyle name="args.style 24 5" xfId="16509"/>
    <cellStyle name="args.style 24 6" xfId="17438"/>
    <cellStyle name="args.style 24 7" xfId="18347"/>
    <cellStyle name="args.style 24 8" xfId="19236"/>
    <cellStyle name="args.style 24 9" xfId="20111"/>
    <cellStyle name="args.style 25" xfId="13608"/>
    <cellStyle name="args.style 26" xfId="13687"/>
    <cellStyle name="args.style 27" xfId="12222"/>
    <cellStyle name="args.style 28" xfId="12858"/>
    <cellStyle name="args.style 29" xfId="14790"/>
    <cellStyle name="args.style 3" xfId="8745"/>
    <cellStyle name="args.style 30" xfId="12630"/>
    <cellStyle name="args.style 31" xfId="14907"/>
    <cellStyle name="args.style 32" xfId="12757"/>
    <cellStyle name="args.style 33" xfId="14874"/>
    <cellStyle name="args.style 34" xfId="17649"/>
    <cellStyle name="args.style 35" xfId="19340"/>
    <cellStyle name="args.style 36" xfId="12243"/>
    <cellStyle name="args.style 37" xfId="22827"/>
    <cellStyle name="args.style 38" xfId="23271"/>
    <cellStyle name="args.style 39" xfId="28467"/>
    <cellStyle name="args.style 4" xfId="8864"/>
    <cellStyle name="args.style 40" xfId="27249"/>
    <cellStyle name="args.style 41" xfId="23359"/>
    <cellStyle name="args.style 42" xfId="28304"/>
    <cellStyle name="args.style 43" xfId="23290"/>
    <cellStyle name="args.style 44" xfId="28266"/>
    <cellStyle name="args.style 45" xfId="27509"/>
    <cellStyle name="args.style 46" xfId="26391"/>
    <cellStyle name="args.style 47" xfId="7821"/>
    <cellStyle name="args.style 48" xfId="7701"/>
    <cellStyle name="args.style 5" xfId="8942"/>
    <cellStyle name="args.style 6" xfId="9020"/>
    <cellStyle name="args.style 7" xfId="9088"/>
    <cellStyle name="args.style 8" xfId="9265"/>
    <cellStyle name="args.style 9" xfId="9672"/>
    <cellStyle name="Bad" xfId="8" builtinId="27" customBuiltin="1"/>
    <cellStyle name="Bad 10" xfId="9706"/>
    <cellStyle name="Bad 11" xfId="9757"/>
    <cellStyle name="Bad 11 10" xfId="38350"/>
    <cellStyle name="Bad 11 11" xfId="39794"/>
    <cellStyle name="Bad 11 2" xfId="24815"/>
    <cellStyle name="Bad 11 3" xfId="28199"/>
    <cellStyle name="Bad 11 4" xfId="27598"/>
    <cellStyle name="Bad 11 5" xfId="29886"/>
    <cellStyle name="Bad 11 6" xfId="31661"/>
    <cellStyle name="Bad 11 7" xfId="33420"/>
    <cellStyle name="Bad 11 8" xfId="35134"/>
    <cellStyle name="Bad 11 9" xfId="36784"/>
    <cellStyle name="Bad 12" xfId="9814"/>
    <cellStyle name="Bad 12 10" xfId="41053"/>
    <cellStyle name="Bad 12 11" xfId="42123"/>
    <cellStyle name="Bad 12 2" xfId="26544"/>
    <cellStyle name="Bad 12 3" xfId="29875"/>
    <cellStyle name="Bad 12 4" xfId="31650"/>
    <cellStyle name="Bad 12 5" xfId="33409"/>
    <cellStyle name="Bad 12 6" xfId="35123"/>
    <cellStyle name="Bad 12 7" xfId="36773"/>
    <cellStyle name="Bad 12 8" xfId="38341"/>
    <cellStyle name="Bad 12 9" xfId="39787"/>
    <cellStyle name="Bad 13" xfId="9911"/>
    <cellStyle name="Bad 13 10" xfId="41380"/>
    <cellStyle name="Bad 13 11" xfId="42431"/>
    <cellStyle name="Bad 13 2" xfId="26930"/>
    <cellStyle name="Bad 13 3" xfId="30258"/>
    <cellStyle name="Bad 13 4" xfId="32033"/>
    <cellStyle name="Bad 13 5" xfId="33788"/>
    <cellStyle name="Bad 13 6" xfId="35501"/>
    <cellStyle name="Bad 13 7" xfId="37145"/>
    <cellStyle name="Bad 13 8" xfId="38701"/>
    <cellStyle name="Bad 13 9" xfId="40135"/>
    <cellStyle name="Bad 14" xfId="9990"/>
    <cellStyle name="Bad 14 10" xfId="41400"/>
    <cellStyle name="Bad 14 11" xfId="42450"/>
    <cellStyle name="Bad 14 2" xfId="26952"/>
    <cellStyle name="Bad 14 3" xfId="30280"/>
    <cellStyle name="Bad 14 4" xfId="32055"/>
    <cellStyle name="Bad 14 5" xfId="33810"/>
    <cellStyle name="Bad 14 6" xfId="35523"/>
    <cellStyle name="Bad 14 7" xfId="37167"/>
    <cellStyle name="Bad 14 8" xfId="38723"/>
    <cellStyle name="Bad 14 9" xfId="40157"/>
    <cellStyle name="Bad 15" xfId="9428"/>
    <cellStyle name="Bad 15 10" xfId="16773"/>
    <cellStyle name="Bad 15 11" xfId="11276"/>
    <cellStyle name="Bad 15 12" xfId="19511"/>
    <cellStyle name="Bad 15 13" xfId="26973"/>
    <cellStyle name="Bad 15 14" xfId="30302"/>
    <cellStyle name="Bad 15 15" xfId="32077"/>
    <cellStyle name="Bad 15 16" xfId="33832"/>
    <cellStyle name="Bad 15 17" xfId="35545"/>
    <cellStyle name="Bad 15 18" xfId="37189"/>
    <cellStyle name="Bad 15 19" xfId="38745"/>
    <cellStyle name="Bad 15 2" xfId="12831"/>
    <cellStyle name="Bad 15 20" xfId="40179"/>
    <cellStyle name="Bad 15 21" xfId="41422"/>
    <cellStyle name="Bad 15 22" xfId="42471"/>
    <cellStyle name="Bad 15 3" xfId="13949"/>
    <cellStyle name="Bad 15 4" xfId="12300"/>
    <cellStyle name="Bad 15 5" xfId="12677"/>
    <cellStyle name="Bad 15 6" xfId="15724"/>
    <cellStyle name="Bad 15 7" xfId="11514"/>
    <cellStyle name="Bad 15 8" xfId="14810"/>
    <cellStyle name="Bad 15 9" xfId="16638"/>
    <cellStyle name="Bad 16" xfId="11163"/>
    <cellStyle name="Bad 16 10" xfId="20350"/>
    <cellStyle name="Bad 16 11" xfId="21194"/>
    <cellStyle name="Bad 16 12" xfId="22000"/>
    <cellStyle name="Bad 16 13" xfId="26492"/>
    <cellStyle name="Bad 16 14" xfId="29823"/>
    <cellStyle name="Bad 16 15" xfId="31598"/>
    <cellStyle name="Bad 16 16" xfId="33357"/>
    <cellStyle name="Bad 16 17" xfId="35073"/>
    <cellStyle name="Bad 16 18" xfId="36724"/>
    <cellStyle name="Bad 16 19" xfId="38293"/>
    <cellStyle name="Bad 16 2" xfId="12891"/>
    <cellStyle name="Bad 16 20" xfId="39743"/>
    <cellStyle name="Bad 16 21" xfId="41010"/>
    <cellStyle name="Bad 16 22" xfId="42084"/>
    <cellStyle name="Bad 16 3" xfId="14021"/>
    <cellStyle name="Bad 16 4" xfId="14951"/>
    <cellStyle name="Bad 16 5" xfId="15879"/>
    <cellStyle name="Bad 16 6" xfId="16806"/>
    <cellStyle name="Bad 16 7" xfId="17718"/>
    <cellStyle name="Bad 16 8" xfId="18611"/>
    <cellStyle name="Bad 16 9" xfId="19491"/>
    <cellStyle name="Bad 17" xfId="11356"/>
    <cellStyle name="Bad 17 10" xfId="20418"/>
    <cellStyle name="Bad 17 11" xfId="21254"/>
    <cellStyle name="Bad 17 12" xfId="22051"/>
    <cellStyle name="Bad 17 13" xfId="27008"/>
    <cellStyle name="Bad 17 14" xfId="30337"/>
    <cellStyle name="Bad 17 15" xfId="32112"/>
    <cellStyle name="Bad 17 16" xfId="33867"/>
    <cellStyle name="Bad 17 17" xfId="35580"/>
    <cellStyle name="Bad 17 18" xfId="37224"/>
    <cellStyle name="Bad 17 19" xfId="38780"/>
    <cellStyle name="Bad 17 2" xfId="12968"/>
    <cellStyle name="Bad 17 20" xfId="40213"/>
    <cellStyle name="Bad 17 21" xfId="41456"/>
    <cellStyle name="Bad 17 22" xfId="42505"/>
    <cellStyle name="Bad 17 3" xfId="14094"/>
    <cellStyle name="Bad 17 4" xfId="15024"/>
    <cellStyle name="Bad 17 5" xfId="15951"/>
    <cellStyle name="Bad 17 6" xfId="16881"/>
    <cellStyle name="Bad 17 7" xfId="17789"/>
    <cellStyle name="Bad 17 8" xfId="18679"/>
    <cellStyle name="Bad 17 9" xfId="19557"/>
    <cellStyle name="Bad 18" xfId="11547"/>
    <cellStyle name="Bad 18 10" xfId="20496"/>
    <cellStyle name="Bad 18 11" xfId="21332"/>
    <cellStyle name="Bad 18 12" xfId="22126"/>
    <cellStyle name="Bad 18 13" xfId="27018"/>
    <cellStyle name="Bad 18 14" xfId="30347"/>
    <cellStyle name="Bad 18 15" xfId="32122"/>
    <cellStyle name="Bad 18 16" xfId="33877"/>
    <cellStyle name="Bad 18 17" xfId="35590"/>
    <cellStyle name="Bad 18 18" xfId="37234"/>
    <cellStyle name="Bad 18 19" xfId="38790"/>
    <cellStyle name="Bad 18 2" xfId="13046"/>
    <cellStyle name="Bad 18 20" xfId="40223"/>
    <cellStyle name="Bad 18 21" xfId="41466"/>
    <cellStyle name="Bad 18 22" xfId="42515"/>
    <cellStyle name="Bad 18 3" xfId="14172"/>
    <cellStyle name="Bad 18 4" xfId="15101"/>
    <cellStyle name="Bad 18 5" xfId="16029"/>
    <cellStyle name="Bad 18 6" xfId="16959"/>
    <cellStyle name="Bad 18 7" xfId="17867"/>
    <cellStyle name="Bad 18 8" xfId="18757"/>
    <cellStyle name="Bad 18 9" xfId="19635"/>
    <cellStyle name="Bad 19" xfId="11727"/>
    <cellStyle name="Bad 19 10" xfId="20575"/>
    <cellStyle name="Bad 19 11" xfId="21412"/>
    <cellStyle name="Bad 19 12" xfId="22203"/>
    <cellStyle name="Bad 19 13" xfId="27028"/>
    <cellStyle name="Bad 19 14" xfId="30357"/>
    <cellStyle name="Bad 19 15" xfId="32132"/>
    <cellStyle name="Bad 19 16" xfId="33887"/>
    <cellStyle name="Bad 19 17" xfId="35600"/>
    <cellStyle name="Bad 19 18" xfId="37244"/>
    <cellStyle name="Bad 19 19" xfId="38800"/>
    <cellStyle name="Bad 19 2" xfId="13126"/>
    <cellStyle name="Bad 19 20" xfId="40233"/>
    <cellStyle name="Bad 19 21" xfId="41476"/>
    <cellStyle name="Bad 19 22" xfId="42525"/>
    <cellStyle name="Bad 19 3" xfId="14252"/>
    <cellStyle name="Bad 19 4" xfId="15180"/>
    <cellStyle name="Bad 19 5" xfId="16109"/>
    <cellStyle name="Bad 19 6" xfId="17039"/>
    <cellStyle name="Bad 19 7" xfId="17947"/>
    <cellStyle name="Bad 19 8" xfId="18837"/>
    <cellStyle name="Bad 19 9" xfId="19715"/>
    <cellStyle name="Bad 2" xfId="3974"/>
    <cellStyle name="Bad 2 10" xfId="12250"/>
    <cellStyle name="Bad 2 11" xfId="11204"/>
    <cellStyle name="Bad 2 12" xfId="11445"/>
    <cellStyle name="Bad 2 13" xfId="12083"/>
    <cellStyle name="Bad 2 14" xfId="14046"/>
    <cellStyle name="Bad 2 15" xfId="12265"/>
    <cellStyle name="Bad 2 16" xfId="16724"/>
    <cellStyle name="Bad 2 17" xfId="17639"/>
    <cellStyle name="Bad 2 18" xfId="18541"/>
    <cellStyle name="Bad 2 19" xfId="19419"/>
    <cellStyle name="Bad 2 2" xfId="9399"/>
    <cellStyle name="Bad 2 2 2" xfId="9568"/>
    <cellStyle name="Bad 2 20" xfId="19512"/>
    <cellStyle name="Bad 2 21" xfId="10936"/>
    <cellStyle name="Bad 2 22" xfId="21962"/>
    <cellStyle name="Bad 2 23" xfId="23019"/>
    <cellStyle name="Bad 2 24" xfId="23399"/>
    <cellStyle name="Bad 2 25" xfId="28731"/>
    <cellStyle name="Bad 2 26" xfId="30520"/>
    <cellStyle name="Bad 2 27" xfId="32295"/>
    <cellStyle name="Bad 2 28" xfId="34048"/>
    <cellStyle name="Bad 2 29" xfId="35758"/>
    <cellStyle name="Bad 2 3" xfId="10333"/>
    <cellStyle name="Bad 2 30" xfId="37396"/>
    <cellStyle name="Bad 2 31" xfId="38947"/>
    <cellStyle name="Bad 2 32" xfId="40371"/>
    <cellStyle name="Bad 2 33" xfId="8727"/>
    <cellStyle name="Bad 2 4" xfId="10989"/>
    <cellStyle name="Bad 2 5" xfId="10809"/>
    <cellStyle name="Bad 2 6" xfId="11112"/>
    <cellStyle name="Bad 2 7" xfId="11306"/>
    <cellStyle name="Bad 2 8" xfId="11498"/>
    <cellStyle name="Bad 2 9" xfId="11681"/>
    <cellStyle name="Bad 20" xfId="11913"/>
    <cellStyle name="Bad 20 10" xfId="20656"/>
    <cellStyle name="Bad 20 11" xfId="21494"/>
    <cellStyle name="Bad 20 12" xfId="22282"/>
    <cellStyle name="Bad 20 13" xfId="27038"/>
    <cellStyle name="Bad 20 14" xfId="30367"/>
    <cellStyle name="Bad 20 15" xfId="32142"/>
    <cellStyle name="Bad 20 16" xfId="33897"/>
    <cellStyle name="Bad 20 17" xfId="35610"/>
    <cellStyle name="Bad 20 18" xfId="37254"/>
    <cellStyle name="Bad 20 19" xfId="38810"/>
    <cellStyle name="Bad 20 2" xfId="13208"/>
    <cellStyle name="Bad 20 20" xfId="40243"/>
    <cellStyle name="Bad 20 21" xfId="41486"/>
    <cellStyle name="Bad 20 22" xfId="42535"/>
    <cellStyle name="Bad 20 3" xfId="14333"/>
    <cellStyle name="Bad 20 4" xfId="15261"/>
    <cellStyle name="Bad 20 5" xfId="16191"/>
    <cellStyle name="Bad 20 6" xfId="17121"/>
    <cellStyle name="Bad 20 7" xfId="18029"/>
    <cellStyle name="Bad 20 8" xfId="18919"/>
    <cellStyle name="Bad 20 9" xfId="19796"/>
    <cellStyle name="Bad 21" xfId="12095"/>
    <cellStyle name="Bad 21 10" xfId="20733"/>
    <cellStyle name="Bad 21 11" xfId="21571"/>
    <cellStyle name="Bad 21 12" xfId="22357"/>
    <cellStyle name="Bad 21 13" xfId="27048"/>
    <cellStyle name="Bad 21 14" xfId="30377"/>
    <cellStyle name="Bad 21 15" xfId="32152"/>
    <cellStyle name="Bad 21 16" xfId="33907"/>
    <cellStyle name="Bad 21 17" xfId="35620"/>
    <cellStyle name="Bad 21 18" xfId="37264"/>
    <cellStyle name="Bad 21 19" xfId="38820"/>
    <cellStyle name="Bad 21 2" xfId="13286"/>
    <cellStyle name="Bad 21 20" xfId="40253"/>
    <cellStyle name="Bad 21 21" xfId="41496"/>
    <cellStyle name="Bad 21 22" xfId="42545"/>
    <cellStyle name="Bad 21 3" xfId="14410"/>
    <cellStyle name="Bad 21 4" xfId="15339"/>
    <cellStyle name="Bad 21 5" xfId="16268"/>
    <cellStyle name="Bad 21 6" xfId="17198"/>
    <cellStyle name="Bad 21 7" xfId="18106"/>
    <cellStyle name="Bad 21 8" xfId="18996"/>
    <cellStyle name="Bad 21 9" xfId="19873"/>
    <cellStyle name="Bad 22" xfId="12272"/>
    <cellStyle name="Bad 22 10" xfId="20813"/>
    <cellStyle name="Bad 22 11" xfId="21652"/>
    <cellStyle name="Bad 22 12" xfId="22436"/>
    <cellStyle name="Bad 22 13" xfId="27058"/>
    <cellStyle name="Bad 22 14" xfId="30387"/>
    <cellStyle name="Bad 22 15" xfId="32162"/>
    <cellStyle name="Bad 22 16" xfId="33917"/>
    <cellStyle name="Bad 22 17" xfId="35630"/>
    <cellStyle name="Bad 22 18" xfId="37274"/>
    <cellStyle name="Bad 22 19" xfId="38830"/>
    <cellStyle name="Bad 22 2" xfId="13367"/>
    <cellStyle name="Bad 22 20" xfId="40263"/>
    <cellStyle name="Bad 22 21" xfId="41506"/>
    <cellStyle name="Bad 22 22" xfId="42555"/>
    <cellStyle name="Bad 22 3" xfId="14491"/>
    <cellStyle name="Bad 22 4" xfId="15418"/>
    <cellStyle name="Bad 22 5" xfId="16349"/>
    <cellStyle name="Bad 22 6" xfId="17279"/>
    <cellStyle name="Bad 22 7" xfId="18187"/>
    <cellStyle name="Bad 22 8" xfId="19077"/>
    <cellStyle name="Bad 22 9" xfId="19954"/>
    <cellStyle name="Bad 23" xfId="12464"/>
    <cellStyle name="Bad 23 10" xfId="20891"/>
    <cellStyle name="Bad 23 11" xfId="21732"/>
    <cellStyle name="Bad 23 12" xfId="22514"/>
    <cellStyle name="Bad 23 2" xfId="13447"/>
    <cellStyle name="Bad 23 3" xfId="14570"/>
    <cellStyle name="Bad 23 4" xfId="15498"/>
    <cellStyle name="Bad 23 5" xfId="16429"/>
    <cellStyle name="Bad 23 6" xfId="17359"/>
    <cellStyle name="Bad 23 7" xfId="18267"/>
    <cellStyle name="Bad 23 8" xfId="19157"/>
    <cellStyle name="Bad 23 9" xfId="20033"/>
    <cellStyle name="Bad 24" xfId="12522"/>
    <cellStyle name="Bad 24 10" xfId="20969"/>
    <cellStyle name="Bad 24 11" xfId="21810"/>
    <cellStyle name="Bad 24 12" xfId="22591"/>
    <cellStyle name="Bad 24 2" xfId="13527"/>
    <cellStyle name="Bad 24 3" xfId="14649"/>
    <cellStyle name="Bad 24 4" xfId="15578"/>
    <cellStyle name="Bad 24 5" xfId="16508"/>
    <cellStyle name="Bad 24 6" xfId="17437"/>
    <cellStyle name="Bad 24 7" xfId="18346"/>
    <cellStyle name="Bad 24 8" xfId="19235"/>
    <cellStyle name="Bad 24 9" xfId="20110"/>
    <cellStyle name="Bad 25" xfId="13607"/>
    <cellStyle name="Bad 26" xfId="13686"/>
    <cellStyle name="Bad 27" xfId="12234"/>
    <cellStyle name="Bad 28" xfId="12631"/>
    <cellStyle name="Bad 29" xfId="10596"/>
    <cellStyle name="Bad 3" xfId="8744"/>
    <cellStyle name="Bad 30" xfId="12194"/>
    <cellStyle name="Bad 31" xfId="12478"/>
    <cellStyle name="Bad 32" xfId="13874"/>
    <cellStyle name="Bad 33" xfId="16735"/>
    <cellStyle name="Bad 34" xfId="12581"/>
    <cellStyle name="Bad 35" xfId="20238"/>
    <cellStyle name="Bad 36" xfId="17509"/>
    <cellStyle name="Bad 37" xfId="22828"/>
    <cellStyle name="Bad 38" xfId="23192"/>
    <cellStyle name="Bad 39" xfId="28917"/>
    <cellStyle name="Bad 4" xfId="8863"/>
    <cellStyle name="Bad 40" xfId="30703"/>
    <cellStyle name="Bad 41" xfId="32476"/>
    <cellStyle name="Bad 42" xfId="34226"/>
    <cellStyle name="Bad 43" xfId="35926"/>
    <cellStyle name="Bad 44" xfId="37553"/>
    <cellStyle name="Bad 45" xfId="39088"/>
    <cellStyle name="Bad 46" xfId="40496"/>
    <cellStyle name="Bad 47" xfId="42611"/>
    <cellStyle name="Bad 48" xfId="42660"/>
    <cellStyle name="Bad 49" xfId="42572"/>
    <cellStyle name="Bad 5" xfId="8941"/>
    <cellStyle name="Bad 50" xfId="42695"/>
    <cellStyle name="Bad 51" xfId="42739"/>
    <cellStyle name="Bad 52" xfId="42781"/>
    <cellStyle name="Bad 53" xfId="42822"/>
    <cellStyle name="Bad 54" xfId="42863"/>
    <cellStyle name="Bad 55" xfId="42903"/>
    <cellStyle name="Bad 56" xfId="42943"/>
    <cellStyle name="Bad 57" xfId="42980"/>
    <cellStyle name="Bad 58" xfId="43017"/>
    <cellStyle name="Bad 59" xfId="43051"/>
    <cellStyle name="Bad 6" xfId="9019"/>
    <cellStyle name="Bad 60" xfId="43150"/>
    <cellStyle name="Bad 61" xfId="43171"/>
    <cellStyle name="Bad 62" xfId="8649"/>
    <cellStyle name="Bad 63" xfId="7702"/>
    <cellStyle name="Bad 64" xfId="3664"/>
    <cellStyle name="Bad 7" xfId="9087"/>
    <cellStyle name="Bad 8" xfId="9266"/>
    <cellStyle name="Bad 9" xfId="9671"/>
    <cellStyle name="Besuchter Hyperlink_RESULTS" xfId="3665"/>
    <cellStyle name="BlankRow" xfId="3666"/>
    <cellStyle name="BlankRow 2" xfId="3667"/>
    <cellStyle name="BlankRow 2 2" xfId="7704"/>
    <cellStyle name="BlankRow 3" xfId="3668"/>
    <cellStyle name="BlankRow 3 2" xfId="7705"/>
    <cellStyle name="BlankRow 4" xfId="7703"/>
    <cellStyle name="BlankRow_Cover" xfId="3669"/>
    <cellStyle name="Calc Currency (0)" xfId="3670"/>
    <cellStyle name="Calc Currency (0) 10" xfId="9704"/>
    <cellStyle name="Calc Currency (0) 11" xfId="9745"/>
    <cellStyle name="Calc Currency (0) 12" xfId="9804"/>
    <cellStyle name="Calc Currency (0) 13" xfId="9897"/>
    <cellStyle name="Calc Currency (0) 14" xfId="9977"/>
    <cellStyle name="Calc Currency (0) 15" xfId="9424"/>
    <cellStyle name="Calc Currency (0) 15 10" xfId="11899"/>
    <cellStyle name="Calc Currency (0) 15 11" xfId="21149"/>
    <cellStyle name="Calc Currency (0) 15 12" xfId="12697"/>
    <cellStyle name="Calc Currency (0) 15 13" xfId="26971"/>
    <cellStyle name="Calc Currency (0) 15 14" xfId="30300"/>
    <cellStyle name="Calc Currency (0) 15 15" xfId="32075"/>
    <cellStyle name="Calc Currency (0) 15 16" xfId="33830"/>
    <cellStyle name="Calc Currency (0) 15 17" xfId="35543"/>
    <cellStyle name="Calc Currency (0) 15 18" xfId="37187"/>
    <cellStyle name="Calc Currency (0) 15 19" xfId="38743"/>
    <cellStyle name="Calc Currency (0) 15 2" xfId="12823"/>
    <cellStyle name="Calc Currency (0) 15 20" xfId="40177"/>
    <cellStyle name="Calc Currency (0) 15 21" xfId="41420"/>
    <cellStyle name="Calc Currency (0) 15 22" xfId="42469"/>
    <cellStyle name="Calc Currency (0) 15 3" xfId="13940"/>
    <cellStyle name="Calc Currency (0) 15 4" xfId="12773"/>
    <cellStyle name="Calc Currency (0) 15 5" xfId="15768"/>
    <cellStyle name="Calc Currency (0) 15 6" xfId="11472"/>
    <cellStyle name="Calc Currency (0) 15 7" xfId="15737"/>
    <cellStyle name="Calc Currency (0) 15 8" xfId="14896"/>
    <cellStyle name="Calc Currency (0) 15 9" xfId="12562"/>
    <cellStyle name="Calc Currency (0) 16" xfId="11023"/>
    <cellStyle name="Calc Currency (0) 16 10" xfId="20341"/>
    <cellStyle name="Calc Currency (0) 16 11" xfId="21185"/>
    <cellStyle name="Calc Currency (0) 16 12" xfId="21994"/>
    <cellStyle name="Calc Currency (0) 16 13" xfId="26493"/>
    <cellStyle name="Calc Currency (0) 16 14" xfId="29824"/>
    <cellStyle name="Calc Currency (0) 16 15" xfId="31599"/>
    <cellStyle name="Calc Currency (0) 16 16" xfId="33358"/>
    <cellStyle name="Calc Currency (0) 16 17" xfId="35074"/>
    <cellStyle name="Calc Currency (0) 16 18" xfId="36725"/>
    <cellStyle name="Calc Currency (0) 16 19" xfId="38294"/>
    <cellStyle name="Calc Currency (0) 16 2" xfId="12882"/>
    <cellStyle name="Calc Currency (0) 16 20" xfId="39744"/>
    <cellStyle name="Calc Currency (0) 16 21" xfId="41011"/>
    <cellStyle name="Calc Currency (0) 16 22" xfId="42085"/>
    <cellStyle name="Calc Currency (0) 16 3" xfId="14012"/>
    <cellStyle name="Calc Currency (0) 16 4" xfId="14942"/>
    <cellStyle name="Calc Currency (0) 16 5" xfId="15870"/>
    <cellStyle name="Calc Currency (0) 16 6" xfId="16797"/>
    <cellStyle name="Calc Currency (0) 16 7" xfId="17709"/>
    <cellStyle name="Calc Currency (0) 16 8" xfId="18602"/>
    <cellStyle name="Calc Currency (0) 16 9" xfId="19482"/>
    <cellStyle name="Calc Currency (0) 17" xfId="11230"/>
    <cellStyle name="Calc Currency (0) 17 10" xfId="20409"/>
    <cellStyle name="Calc Currency (0) 17 11" xfId="21245"/>
    <cellStyle name="Calc Currency (0) 17 12" xfId="22045"/>
    <cellStyle name="Calc Currency (0) 17 13" xfId="27007"/>
    <cellStyle name="Calc Currency (0) 17 14" xfId="30336"/>
    <cellStyle name="Calc Currency (0) 17 15" xfId="32111"/>
    <cellStyle name="Calc Currency (0) 17 16" xfId="33866"/>
    <cellStyle name="Calc Currency (0) 17 17" xfId="35579"/>
    <cellStyle name="Calc Currency (0) 17 18" xfId="37223"/>
    <cellStyle name="Calc Currency (0) 17 19" xfId="38779"/>
    <cellStyle name="Calc Currency (0) 17 2" xfId="12959"/>
    <cellStyle name="Calc Currency (0) 17 20" xfId="40212"/>
    <cellStyle name="Calc Currency (0) 17 21" xfId="41455"/>
    <cellStyle name="Calc Currency (0) 17 22" xfId="42504"/>
    <cellStyle name="Calc Currency (0) 17 3" xfId="14085"/>
    <cellStyle name="Calc Currency (0) 17 4" xfId="15015"/>
    <cellStyle name="Calc Currency (0) 17 5" xfId="15942"/>
    <cellStyle name="Calc Currency (0) 17 6" xfId="16872"/>
    <cellStyle name="Calc Currency (0) 17 7" xfId="17780"/>
    <cellStyle name="Calc Currency (0) 17 8" xfId="18670"/>
    <cellStyle name="Calc Currency (0) 17 9" xfId="19548"/>
    <cellStyle name="Calc Currency (0) 18" xfId="11421"/>
    <cellStyle name="Calc Currency (0) 18 10" xfId="20487"/>
    <cellStyle name="Calc Currency (0) 18 11" xfId="21323"/>
    <cellStyle name="Calc Currency (0) 18 12" xfId="22120"/>
    <cellStyle name="Calc Currency (0) 18 13" xfId="27017"/>
    <cellStyle name="Calc Currency (0) 18 14" xfId="30346"/>
    <cellStyle name="Calc Currency (0) 18 15" xfId="32121"/>
    <cellStyle name="Calc Currency (0) 18 16" xfId="33876"/>
    <cellStyle name="Calc Currency (0) 18 17" xfId="35589"/>
    <cellStyle name="Calc Currency (0) 18 18" xfId="37233"/>
    <cellStyle name="Calc Currency (0) 18 19" xfId="38789"/>
    <cellStyle name="Calc Currency (0) 18 2" xfId="13037"/>
    <cellStyle name="Calc Currency (0) 18 20" xfId="40222"/>
    <cellStyle name="Calc Currency (0) 18 21" xfId="41465"/>
    <cellStyle name="Calc Currency (0) 18 22" xfId="42514"/>
    <cellStyle name="Calc Currency (0) 18 3" xfId="14163"/>
    <cellStyle name="Calc Currency (0) 18 4" xfId="15093"/>
    <cellStyle name="Calc Currency (0) 18 5" xfId="16020"/>
    <cellStyle name="Calc Currency (0) 18 6" xfId="16950"/>
    <cellStyle name="Calc Currency (0) 18 7" xfId="17858"/>
    <cellStyle name="Calc Currency (0) 18 8" xfId="18748"/>
    <cellStyle name="Calc Currency (0) 18 9" xfId="19626"/>
    <cellStyle name="Calc Currency (0) 19" xfId="11612"/>
    <cellStyle name="Calc Currency (0) 19 10" xfId="20567"/>
    <cellStyle name="Calc Currency (0) 19 11" xfId="21403"/>
    <cellStyle name="Calc Currency (0) 19 12" xfId="22197"/>
    <cellStyle name="Calc Currency (0) 19 13" xfId="27027"/>
    <cellStyle name="Calc Currency (0) 19 14" xfId="30356"/>
    <cellStyle name="Calc Currency (0) 19 15" xfId="32131"/>
    <cellStyle name="Calc Currency (0) 19 16" xfId="33886"/>
    <cellStyle name="Calc Currency (0) 19 17" xfId="35599"/>
    <cellStyle name="Calc Currency (0) 19 18" xfId="37243"/>
    <cellStyle name="Calc Currency (0) 19 19" xfId="38799"/>
    <cellStyle name="Calc Currency (0) 19 2" xfId="13117"/>
    <cellStyle name="Calc Currency (0) 19 20" xfId="40232"/>
    <cellStyle name="Calc Currency (0) 19 21" xfId="41475"/>
    <cellStyle name="Calc Currency (0) 19 22" xfId="42524"/>
    <cellStyle name="Calc Currency (0) 19 3" xfId="14243"/>
    <cellStyle name="Calc Currency (0) 19 4" xfId="15172"/>
    <cellStyle name="Calc Currency (0) 19 5" xfId="16100"/>
    <cellStyle name="Calc Currency (0) 19 6" xfId="17030"/>
    <cellStyle name="Calc Currency (0) 19 7" xfId="17938"/>
    <cellStyle name="Calc Currency (0) 19 8" xfId="18828"/>
    <cellStyle name="Calc Currency (0) 19 9" xfId="19706"/>
    <cellStyle name="Calc Currency (0) 2" xfId="3671"/>
    <cellStyle name="Calc Currency (0) 2 10" xfId="11127"/>
    <cellStyle name="Calc Currency (0) 2 11" xfId="11669"/>
    <cellStyle name="Calc Currency (0) 2 12" xfId="11686"/>
    <cellStyle name="Calc Currency (0) 2 13" xfId="12470"/>
    <cellStyle name="Calc Currency (0) 2 14" xfId="13909"/>
    <cellStyle name="Calc Currency (0) 2 15" xfId="14857"/>
    <cellStyle name="Calc Currency (0) 2 16" xfId="12128"/>
    <cellStyle name="Calc Currency (0) 2 17" xfId="12648"/>
    <cellStyle name="Calc Currency (0) 2 18" xfId="12110"/>
    <cellStyle name="Calc Currency (0) 2 19" xfId="11659"/>
    <cellStyle name="Calc Currency (0) 2 2" xfId="3975"/>
    <cellStyle name="Calc Currency (0) 2 2 2" xfId="9569"/>
    <cellStyle name="Calc Currency (0) 2 2 3" xfId="9401"/>
    <cellStyle name="Calc Currency (0) 2 20" xfId="14028"/>
    <cellStyle name="Calc Currency (0) 2 21" xfId="14846"/>
    <cellStyle name="Calc Currency (0) 2 22" xfId="13977"/>
    <cellStyle name="Calc Currency (0) 2 23" xfId="23021"/>
    <cellStyle name="Calc Currency (0) 2 24" xfId="23235"/>
    <cellStyle name="Calc Currency (0) 2 25" xfId="28728"/>
    <cellStyle name="Calc Currency (0) 2 26" xfId="30517"/>
    <cellStyle name="Calc Currency (0) 2 27" xfId="32292"/>
    <cellStyle name="Calc Currency (0) 2 28" xfId="34045"/>
    <cellStyle name="Calc Currency (0) 2 29" xfId="35755"/>
    <cellStyle name="Calc Currency (0) 2 3" xfId="10335"/>
    <cellStyle name="Calc Currency (0) 2 30" xfId="37394"/>
    <cellStyle name="Calc Currency (0) 2 31" xfId="38945"/>
    <cellStyle name="Calc Currency (0) 2 32" xfId="40369"/>
    <cellStyle name="Calc Currency (0) 2 33" xfId="8729"/>
    <cellStyle name="Calc Currency (0) 2 34" xfId="7707"/>
    <cellStyle name="Calc Currency (0) 2 4" xfId="10917"/>
    <cellStyle name="Calc Currency (0) 2 5" xfId="10488"/>
    <cellStyle name="Calc Currency (0) 2 6" xfId="10904"/>
    <cellStyle name="Calc Currency (0) 2 7" xfId="10640"/>
    <cellStyle name="Calc Currency (0) 2 8" xfId="10717"/>
    <cellStyle name="Calc Currency (0) 2 9" xfId="10586"/>
    <cellStyle name="Calc Currency (0) 20" xfId="11793"/>
    <cellStyle name="Calc Currency (0) 20 10" xfId="20648"/>
    <cellStyle name="Calc Currency (0) 20 11" xfId="21485"/>
    <cellStyle name="Calc Currency (0) 20 12" xfId="22276"/>
    <cellStyle name="Calc Currency (0) 20 13" xfId="27037"/>
    <cellStyle name="Calc Currency (0) 20 14" xfId="30366"/>
    <cellStyle name="Calc Currency (0) 20 15" xfId="32141"/>
    <cellStyle name="Calc Currency (0) 20 16" xfId="33896"/>
    <cellStyle name="Calc Currency (0) 20 17" xfId="35609"/>
    <cellStyle name="Calc Currency (0) 20 18" xfId="37253"/>
    <cellStyle name="Calc Currency (0) 20 19" xfId="38809"/>
    <cellStyle name="Calc Currency (0) 20 2" xfId="13199"/>
    <cellStyle name="Calc Currency (0) 20 20" xfId="40242"/>
    <cellStyle name="Calc Currency (0) 20 21" xfId="41485"/>
    <cellStyle name="Calc Currency (0) 20 22" xfId="42534"/>
    <cellStyle name="Calc Currency (0) 20 3" xfId="14325"/>
    <cellStyle name="Calc Currency (0) 20 4" xfId="15253"/>
    <cellStyle name="Calc Currency (0) 20 5" xfId="16182"/>
    <cellStyle name="Calc Currency (0) 20 6" xfId="17112"/>
    <cellStyle name="Calc Currency (0) 20 7" xfId="18020"/>
    <cellStyle name="Calc Currency (0) 20 8" xfId="18910"/>
    <cellStyle name="Calc Currency (0) 20 9" xfId="19788"/>
    <cellStyle name="Calc Currency (0) 21" xfId="11976"/>
    <cellStyle name="Calc Currency (0) 21 10" xfId="20725"/>
    <cellStyle name="Calc Currency (0) 21 11" xfId="21563"/>
    <cellStyle name="Calc Currency (0) 21 12" xfId="22351"/>
    <cellStyle name="Calc Currency (0) 21 13" xfId="27047"/>
    <cellStyle name="Calc Currency (0) 21 14" xfId="30376"/>
    <cellStyle name="Calc Currency (0) 21 15" xfId="32151"/>
    <cellStyle name="Calc Currency (0) 21 16" xfId="33906"/>
    <cellStyle name="Calc Currency (0) 21 17" xfId="35619"/>
    <cellStyle name="Calc Currency (0) 21 18" xfId="37263"/>
    <cellStyle name="Calc Currency (0) 21 19" xfId="38819"/>
    <cellStyle name="Calc Currency (0) 21 2" xfId="13277"/>
    <cellStyle name="Calc Currency (0) 21 20" xfId="40252"/>
    <cellStyle name="Calc Currency (0) 21 21" xfId="41495"/>
    <cellStyle name="Calc Currency (0) 21 22" xfId="42544"/>
    <cellStyle name="Calc Currency (0) 21 3" xfId="14402"/>
    <cellStyle name="Calc Currency (0) 21 4" xfId="15330"/>
    <cellStyle name="Calc Currency (0) 21 5" xfId="16260"/>
    <cellStyle name="Calc Currency (0) 21 6" xfId="17190"/>
    <cellStyle name="Calc Currency (0) 21 7" xfId="18098"/>
    <cellStyle name="Calc Currency (0) 21 8" xfId="18988"/>
    <cellStyle name="Calc Currency (0) 21 9" xfId="19865"/>
    <cellStyle name="Calc Currency (0) 22" xfId="11988"/>
    <cellStyle name="Calc Currency (0) 22 10" xfId="20805"/>
    <cellStyle name="Calc Currency (0) 22 11" xfId="21643"/>
    <cellStyle name="Calc Currency (0) 22 12" xfId="22429"/>
    <cellStyle name="Calc Currency (0) 22 13" xfId="27057"/>
    <cellStyle name="Calc Currency (0) 22 14" xfId="30386"/>
    <cellStyle name="Calc Currency (0) 22 15" xfId="32161"/>
    <cellStyle name="Calc Currency (0) 22 16" xfId="33916"/>
    <cellStyle name="Calc Currency (0) 22 17" xfId="35629"/>
    <cellStyle name="Calc Currency (0) 22 18" xfId="37273"/>
    <cellStyle name="Calc Currency (0) 22 19" xfId="38829"/>
    <cellStyle name="Calc Currency (0) 22 2" xfId="13358"/>
    <cellStyle name="Calc Currency (0) 22 20" xfId="40262"/>
    <cellStyle name="Calc Currency (0) 22 21" xfId="41505"/>
    <cellStyle name="Calc Currency (0) 22 22" xfId="42554"/>
    <cellStyle name="Calc Currency (0) 22 3" xfId="14482"/>
    <cellStyle name="Calc Currency (0) 22 4" xfId="15411"/>
    <cellStyle name="Calc Currency (0) 22 5" xfId="16340"/>
    <cellStyle name="Calc Currency (0) 22 6" xfId="17270"/>
    <cellStyle name="Calc Currency (0) 22 7" xfId="18178"/>
    <cellStyle name="Calc Currency (0) 22 8" xfId="19068"/>
    <cellStyle name="Calc Currency (0) 22 9" xfId="19945"/>
    <cellStyle name="Calc Currency (0) 23" xfId="12337"/>
    <cellStyle name="Calc Currency (0) 23 10" xfId="20884"/>
    <cellStyle name="Calc Currency (0) 23 11" xfId="21723"/>
    <cellStyle name="Calc Currency (0) 23 12" xfId="22507"/>
    <cellStyle name="Calc Currency (0) 23 2" xfId="13438"/>
    <cellStyle name="Calc Currency (0) 23 3" xfId="14562"/>
    <cellStyle name="Calc Currency (0) 23 4" xfId="15489"/>
    <cellStyle name="Calc Currency (0) 23 5" xfId="16420"/>
    <cellStyle name="Calc Currency (0) 23 6" xfId="17350"/>
    <cellStyle name="Calc Currency (0) 23 7" xfId="18258"/>
    <cellStyle name="Calc Currency (0) 23 8" xfId="19148"/>
    <cellStyle name="Calc Currency (0) 23 9" xfId="20025"/>
    <cellStyle name="Calc Currency (0) 24" xfId="11600"/>
    <cellStyle name="Calc Currency (0) 24 10" xfId="20962"/>
    <cellStyle name="Calc Currency (0) 24 11" xfId="21803"/>
    <cellStyle name="Calc Currency (0) 24 12" xfId="22585"/>
    <cellStyle name="Calc Currency (0) 24 2" xfId="13518"/>
    <cellStyle name="Calc Currency (0) 24 3" xfId="14641"/>
    <cellStyle name="Calc Currency (0) 24 4" xfId="15569"/>
    <cellStyle name="Calc Currency (0) 24 5" xfId="16500"/>
    <cellStyle name="Calc Currency (0) 24 6" xfId="17430"/>
    <cellStyle name="Calc Currency (0) 24 7" xfId="18338"/>
    <cellStyle name="Calc Currency (0) 24 8" xfId="19228"/>
    <cellStyle name="Calc Currency (0) 24 9" xfId="20104"/>
    <cellStyle name="Calc Currency (0) 25" xfId="13598"/>
    <cellStyle name="Calc Currency (0) 26" xfId="13678"/>
    <cellStyle name="Calc Currency (0) 27" xfId="12941"/>
    <cellStyle name="Calc Currency (0) 28" xfId="12584"/>
    <cellStyle name="Calc Currency (0) 29" xfId="10669"/>
    <cellStyle name="Calc Currency (0) 3" xfId="3672"/>
    <cellStyle name="Calc Currency (0) 3 2" xfId="3976"/>
    <cellStyle name="Calc Currency (0) 3 2 2" xfId="8742"/>
    <cellStyle name="Calc Currency (0) 3 3" xfId="7708"/>
    <cellStyle name="Calc Currency (0) 30" xfId="12649"/>
    <cellStyle name="Calc Currency (0) 31" xfId="12422"/>
    <cellStyle name="Calc Currency (0) 32" xfId="15740"/>
    <cellStyle name="Calc Currency (0) 33" xfId="15822"/>
    <cellStyle name="Calc Currency (0) 34" xfId="15638"/>
    <cellStyle name="Calc Currency (0) 35" xfId="13905"/>
    <cellStyle name="Calc Currency (0) 36" xfId="21033"/>
    <cellStyle name="Calc Currency (0) 37" xfId="22830"/>
    <cellStyle name="Calc Currency (0) 38" xfId="26687"/>
    <cellStyle name="Calc Currency (0) 39" xfId="28914"/>
    <cellStyle name="Calc Currency (0) 4" xfId="8860"/>
    <cellStyle name="Calc Currency (0) 40" xfId="30700"/>
    <cellStyle name="Calc Currency (0) 41" xfId="32473"/>
    <cellStyle name="Calc Currency (0) 42" xfId="34223"/>
    <cellStyle name="Calc Currency (0) 43" xfId="35923"/>
    <cellStyle name="Calc Currency (0) 44" xfId="37550"/>
    <cellStyle name="Calc Currency (0) 45" xfId="39085"/>
    <cellStyle name="Calc Currency (0) 46" xfId="40494"/>
    <cellStyle name="Calc Currency (0) 47" xfId="7822"/>
    <cellStyle name="Calc Currency (0) 48" xfId="7706"/>
    <cellStyle name="Calc Currency (0) 5" xfId="8938"/>
    <cellStyle name="Calc Currency (0) 6" xfId="9016"/>
    <cellStyle name="Calc Currency (0) 7" xfId="9084"/>
    <cellStyle name="Calc Currency (0) 8" xfId="9267"/>
    <cellStyle name="Calc Currency (0) 9" xfId="9652"/>
    <cellStyle name="Calc Currency (2)" xfId="3673"/>
    <cellStyle name="Calc Currency (2) 10" xfId="9703"/>
    <cellStyle name="Calc Currency (2) 11" xfId="9744"/>
    <cellStyle name="Calc Currency (2) 12" xfId="9802"/>
    <cellStyle name="Calc Currency (2) 13" xfId="9894"/>
    <cellStyle name="Calc Currency (2) 14" xfId="9974"/>
    <cellStyle name="Calc Currency (2) 15" xfId="9418"/>
    <cellStyle name="Calc Currency (2) 15 10" xfId="12486"/>
    <cellStyle name="Calc Currency (2) 15 11" xfId="12454"/>
    <cellStyle name="Calc Currency (2) 15 12" xfId="17664"/>
    <cellStyle name="Calc Currency (2) 15 13" xfId="26970"/>
    <cellStyle name="Calc Currency (2) 15 14" xfId="30299"/>
    <cellStyle name="Calc Currency (2) 15 15" xfId="32074"/>
    <cellStyle name="Calc Currency (2) 15 16" xfId="33829"/>
    <cellStyle name="Calc Currency (2) 15 17" xfId="35542"/>
    <cellStyle name="Calc Currency (2) 15 18" xfId="37186"/>
    <cellStyle name="Calc Currency (2) 15 19" xfId="38742"/>
    <cellStyle name="Calc Currency (2) 15 2" xfId="12822"/>
    <cellStyle name="Calc Currency (2) 15 20" xfId="40176"/>
    <cellStyle name="Calc Currency (2) 15 21" xfId="41419"/>
    <cellStyle name="Calc Currency (2) 15 22" xfId="42468"/>
    <cellStyle name="Calc Currency (2) 15 3" xfId="13939"/>
    <cellStyle name="Calc Currency (2) 15 4" xfId="11679"/>
    <cellStyle name="Calc Currency (2) 15 5" xfId="15809"/>
    <cellStyle name="Calc Currency (2) 15 6" xfId="12439"/>
    <cellStyle name="Calc Currency (2) 15 7" xfId="16653"/>
    <cellStyle name="Calc Currency (2) 15 8" xfId="17581"/>
    <cellStyle name="Calc Currency (2) 15 9" xfId="18484"/>
    <cellStyle name="Calc Currency (2) 16" xfId="10945"/>
    <cellStyle name="Calc Currency (2) 16 10" xfId="20338"/>
    <cellStyle name="Calc Currency (2) 16 11" xfId="21183"/>
    <cellStyle name="Calc Currency (2) 16 12" xfId="21993"/>
    <cellStyle name="Calc Currency (2) 16 13" xfId="26494"/>
    <cellStyle name="Calc Currency (2) 16 14" xfId="29825"/>
    <cellStyle name="Calc Currency (2) 16 15" xfId="31600"/>
    <cellStyle name="Calc Currency (2) 16 16" xfId="33359"/>
    <cellStyle name="Calc Currency (2) 16 17" xfId="35075"/>
    <cellStyle name="Calc Currency (2) 16 18" xfId="36726"/>
    <cellStyle name="Calc Currency (2) 16 19" xfId="38295"/>
    <cellStyle name="Calc Currency (2) 16 2" xfId="12880"/>
    <cellStyle name="Calc Currency (2) 16 20" xfId="39745"/>
    <cellStyle name="Calc Currency (2) 16 21" xfId="41012"/>
    <cellStyle name="Calc Currency (2) 16 22" xfId="42086"/>
    <cellStyle name="Calc Currency (2) 16 3" xfId="14006"/>
    <cellStyle name="Calc Currency (2) 16 4" xfId="14937"/>
    <cellStyle name="Calc Currency (2) 16 5" xfId="15866"/>
    <cellStyle name="Calc Currency (2) 16 6" xfId="16793"/>
    <cellStyle name="Calc Currency (2) 16 7" xfId="17704"/>
    <cellStyle name="Calc Currency (2) 16 8" xfId="18599"/>
    <cellStyle name="Calc Currency (2) 16 9" xfId="19478"/>
    <cellStyle name="Calc Currency (2) 17" xfId="11019"/>
    <cellStyle name="Calc Currency (2) 17 10" xfId="20408"/>
    <cellStyle name="Calc Currency (2) 17 11" xfId="21244"/>
    <cellStyle name="Calc Currency (2) 17 12" xfId="22044"/>
    <cellStyle name="Calc Currency (2) 17 13" xfId="27006"/>
    <cellStyle name="Calc Currency (2) 17 14" xfId="30335"/>
    <cellStyle name="Calc Currency (2) 17 15" xfId="32110"/>
    <cellStyle name="Calc Currency (2) 17 16" xfId="33865"/>
    <cellStyle name="Calc Currency (2) 17 17" xfId="35578"/>
    <cellStyle name="Calc Currency (2) 17 18" xfId="37222"/>
    <cellStyle name="Calc Currency (2) 17 19" xfId="38778"/>
    <cellStyle name="Calc Currency (2) 17 2" xfId="12958"/>
    <cellStyle name="Calc Currency (2) 17 20" xfId="40211"/>
    <cellStyle name="Calc Currency (2) 17 21" xfId="41454"/>
    <cellStyle name="Calc Currency (2) 17 22" xfId="42503"/>
    <cellStyle name="Calc Currency (2) 17 3" xfId="14084"/>
    <cellStyle name="Calc Currency (2) 17 4" xfId="15014"/>
    <cellStyle name="Calc Currency (2) 17 5" xfId="15941"/>
    <cellStyle name="Calc Currency (2) 17 6" xfId="16871"/>
    <cellStyle name="Calc Currency (2) 17 7" xfId="17779"/>
    <cellStyle name="Calc Currency (2) 17 8" xfId="18669"/>
    <cellStyle name="Calc Currency (2) 17 9" xfId="19547"/>
    <cellStyle name="Calc Currency (2) 18" xfId="10663"/>
    <cellStyle name="Calc Currency (2) 18 10" xfId="20486"/>
    <cellStyle name="Calc Currency (2) 18 11" xfId="21322"/>
    <cellStyle name="Calc Currency (2) 18 12" xfId="22119"/>
    <cellStyle name="Calc Currency (2) 18 13" xfId="27016"/>
    <cellStyle name="Calc Currency (2) 18 14" xfId="30345"/>
    <cellStyle name="Calc Currency (2) 18 15" xfId="32120"/>
    <cellStyle name="Calc Currency (2) 18 16" xfId="33875"/>
    <cellStyle name="Calc Currency (2) 18 17" xfId="35588"/>
    <cellStyle name="Calc Currency (2) 18 18" xfId="37232"/>
    <cellStyle name="Calc Currency (2) 18 19" xfId="38788"/>
    <cellStyle name="Calc Currency (2) 18 2" xfId="13036"/>
    <cellStyle name="Calc Currency (2) 18 20" xfId="40221"/>
    <cellStyle name="Calc Currency (2) 18 21" xfId="41464"/>
    <cellStyle name="Calc Currency (2) 18 22" xfId="42513"/>
    <cellStyle name="Calc Currency (2) 18 3" xfId="14162"/>
    <cellStyle name="Calc Currency (2) 18 4" xfId="15092"/>
    <cellStyle name="Calc Currency (2) 18 5" xfId="16019"/>
    <cellStyle name="Calc Currency (2) 18 6" xfId="16949"/>
    <cellStyle name="Calc Currency (2) 18 7" xfId="17857"/>
    <cellStyle name="Calc Currency (2) 18 8" xfId="18747"/>
    <cellStyle name="Calc Currency (2) 18 9" xfId="19625"/>
    <cellStyle name="Calc Currency (2) 19" xfId="10548"/>
    <cellStyle name="Calc Currency (2) 19 10" xfId="20560"/>
    <cellStyle name="Calc Currency (2) 19 11" xfId="21396"/>
    <cellStyle name="Calc Currency (2) 19 12" xfId="22190"/>
    <cellStyle name="Calc Currency (2) 19 13" xfId="27026"/>
    <cellStyle name="Calc Currency (2) 19 14" xfId="30355"/>
    <cellStyle name="Calc Currency (2) 19 15" xfId="32130"/>
    <cellStyle name="Calc Currency (2) 19 16" xfId="33885"/>
    <cellStyle name="Calc Currency (2) 19 17" xfId="35598"/>
    <cellStyle name="Calc Currency (2) 19 18" xfId="37242"/>
    <cellStyle name="Calc Currency (2) 19 19" xfId="38798"/>
    <cellStyle name="Calc Currency (2) 19 2" xfId="13110"/>
    <cellStyle name="Calc Currency (2) 19 20" xfId="40231"/>
    <cellStyle name="Calc Currency (2) 19 21" xfId="41474"/>
    <cellStyle name="Calc Currency (2) 19 22" xfId="42523"/>
    <cellStyle name="Calc Currency (2) 19 3" xfId="14236"/>
    <cellStyle name="Calc Currency (2) 19 4" xfId="15165"/>
    <cellStyle name="Calc Currency (2) 19 5" xfId="16093"/>
    <cellStyle name="Calc Currency (2) 19 6" xfId="17023"/>
    <cellStyle name="Calc Currency (2) 19 7" xfId="17931"/>
    <cellStyle name="Calc Currency (2) 19 8" xfId="18821"/>
    <cellStyle name="Calc Currency (2) 19 9" xfId="19699"/>
    <cellStyle name="Calc Currency (2) 2" xfId="3674"/>
    <cellStyle name="Calc Currency (2) 2 10" xfId="10524"/>
    <cellStyle name="Calc Currency (2) 2 11" xfId="11982"/>
    <cellStyle name="Calc Currency (2) 2 12" xfId="12086"/>
    <cellStyle name="Calc Currency (2) 2 13" xfId="11056"/>
    <cellStyle name="Calc Currency (2) 2 14" xfId="13851"/>
    <cellStyle name="Calc Currency (2) 2 15" xfId="13888"/>
    <cellStyle name="Calc Currency (2) 2 16" xfId="15767"/>
    <cellStyle name="Calc Currency (2) 2 17" xfId="11937"/>
    <cellStyle name="Calc Currency (2) 2 18" xfId="12199"/>
    <cellStyle name="Calc Currency (2) 2 19" xfId="11719"/>
    <cellStyle name="Calc Currency (2) 2 2" xfId="3977"/>
    <cellStyle name="Calc Currency (2) 2 2 2" xfId="9570"/>
    <cellStyle name="Calc Currency (2) 2 2 3" xfId="9402"/>
    <cellStyle name="Calc Currency (2) 2 20" xfId="12469"/>
    <cellStyle name="Calc Currency (2) 2 21" xfId="20282"/>
    <cellStyle name="Calc Currency (2) 2 22" xfId="21148"/>
    <cellStyle name="Calc Currency (2) 2 23" xfId="23022"/>
    <cellStyle name="Calc Currency (2) 2 24" xfId="23157"/>
    <cellStyle name="Calc Currency (2) 2 25" xfId="28727"/>
    <cellStyle name="Calc Currency (2) 2 26" xfId="30516"/>
    <cellStyle name="Calc Currency (2) 2 27" xfId="32291"/>
    <cellStyle name="Calc Currency (2) 2 28" xfId="34044"/>
    <cellStyle name="Calc Currency (2) 2 29" xfId="35754"/>
    <cellStyle name="Calc Currency (2) 2 3" xfId="10336"/>
    <cellStyle name="Calc Currency (2) 2 30" xfId="37393"/>
    <cellStyle name="Calc Currency (2) 2 31" xfId="38944"/>
    <cellStyle name="Calc Currency (2) 2 32" xfId="40368"/>
    <cellStyle name="Calc Currency (2) 2 33" xfId="8730"/>
    <cellStyle name="Calc Currency (2) 2 4" xfId="10841"/>
    <cellStyle name="Calc Currency (2) 2 5" xfId="10900"/>
    <cellStyle name="Calc Currency (2) 2 6" xfId="11009"/>
    <cellStyle name="Calc Currency (2) 2 7" xfId="10588"/>
    <cellStyle name="Calc Currency (2) 2 8" xfId="11180"/>
    <cellStyle name="Calc Currency (2) 2 9" xfId="11373"/>
    <cellStyle name="Calc Currency (2) 20" xfId="10823"/>
    <cellStyle name="Calc Currency (2) 20 10" xfId="20647"/>
    <cellStyle name="Calc Currency (2) 20 11" xfId="21484"/>
    <cellStyle name="Calc Currency (2) 20 12" xfId="22275"/>
    <cellStyle name="Calc Currency (2) 20 13" xfId="27036"/>
    <cellStyle name="Calc Currency (2) 20 14" xfId="30365"/>
    <cellStyle name="Calc Currency (2) 20 15" xfId="32140"/>
    <cellStyle name="Calc Currency (2) 20 16" xfId="33895"/>
    <cellStyle name="Calc Currency (2) 20 17" xfId="35608"/>
    <cellStyle name="Calc Currency (2) 20 18" xfId="37252"/>
    <cellStyle name="Calc Currency (2) 20 19" xfId="38808"/>
    <cellStyle name="Calc Currency (2) 20 2" xfId="13198"/>
    <cellStyle name="Calc Currency (2) 20 20" xfId="40241"/>
    <cellStyle name="Calc Currency (2) 20 21" xfId="41484"/>
    <cellStyle name="Calc Currency (2) 20 22" xfId="42533"/>
    <cellStyle name="Calc Currency (2) 20 3" xfId="14324"/>
    <cellStyle name="Calc Currency (2) 20 4" xfId="15252"/>
    <cellStyle name="Calc Currency (2) 20 5" xfId="16181"/>
    <cellStyle name="Calc Currency (2) 20 6" xfId="17111"/>
    <cellStyle name="Calc Currency (2) 20 7" xfId="18019"/>
    <cellStyle name="Calc Currency (2) 20 8" xfId="18909"/>
    <cellStyle name="Calc Currency (2) 20 9" xfId="19787"/>
    <cellStyle name="Calc Currency (2) 21" xfId="10897"/>
    <cellStyle name="Calc Currency (2) 21 10" xfId="20724"/>
    <cellStyle name="Calc Currency (2) 21 11" xfId="21562"/>
    <cellStyle name="Calc Currency (2) 21 12" xfId="22350"/>
    <cellStyle name="Calc Currency (2) 21 13" xfId="27046"/>
    <cellStyle name="Calc Currency (2) 21 14" xfId="30375"/>
    <cellStyle name="Calc Currency (2) 21 15" xfId="32150"/>
    <cellStyle name="Calc Currency (2) 21 16" xfId="33905"/>
    <cellStyle name="Calc Currency (2) 21 17" xfId="35618"/>
    <cellStyle name="Calc Currency (2) 21 18" xfId="37262"/>
    <cellStyle name="Calc Currency (2) 21 19" xfId="38818"/>
    <cellStyle name="Calc Currency (2) 21 2" xfId="13276"/>
    <cellStyle name="Calc Currency (2) 21 20" xfId="40251"/>
    <cellStyle name="Calc Currency (2) 21 21" xfId="41494"/>
    <cellStyle name="Calc Currency (2) 21 22" xfId="42543"/>
    <cellStyle name="Calc Currency (2) 21 3" xfId="14401"/>
    <cellStyle name="Calc Currency (2) 21 4" xfId="15329"/>
    <cellStyle name="Calc Currency (2) 21 5" xfId="16259"/>
    <cellStyle name="Calc Currency (2) 21 6" xfId="17189"/>
    <cellStyle name="Calc Currency (2) 21 7" xfId="18097"/>
    <cellStyle name="Calc Currency (2) 21 8" xfId="18987"/>
    <cellStyle name="Calc Currency (2) 21 9" xfId="19864"/>
    <cellStyle name="Calc Currency (2) 22" xfId="12024"/>
    <cellStyle name="Calc Currency (2) 22 10" xfId="20804"/>
    <cellStyle name="Calc Currency (2) 22 11" xfId="21642"/>
    <cellStyle name="Calc Currency (2) 22 12" xfId="22428"/>
    <cellStyle name="Calc Currency (2) 22 13" xfId="27056"/>
    <cellStyle name="Calc Currency (2) 22 14" xfId="30385"/>
    <cellStyle name="Calc Currency (2) 22 15" xfId="32160"/>
    <cellStyle name="Calc Currency (2) 22 16" xfId="33915"/>
    <cellStyle name="Calc Currency (2) 22 17" xfId="35628"/>
    <cellStyle name="Calc Currency (2) 22 18" xfId="37272"/>
    <cellStyle name="Calc Currency (2) 22 19" xfId="38828"/>
    <cellStyle name="Calc Currency (2) 22 2" xfId="13357"/>
    <cellStyle name="Calc Currency (2) 22 20" xfId="40261"/>
    <cellStyle name="Calc Currency (2) 22 21" xfId="41504"/>
    <cellStyle name="Calc Currency (2) 22 22" xfId="42553"/>
    <cellStyle name="Calc Currency (2) 22 3" xfId="14481"/>
    <cellStyle name="Calc Currency (2) 22 4" xfId="15410"/>
    <cellStyle name="Calc Currency (2) 22 5" xfId="16339"/>
    <cellStyle name="Calc Currency (2) 22 6" xfId="17269"/>
    <cellStyle name="Calc Currency (2) 22 7" xfId="18177"/>
    <cellStyle name="Calc Currency (2) 22 8" xfId="19067"/>
    <cellStyle name="Calc Currency (2) 22 9" xfId="19944"/>
    <cellStyle name="Calc Currency (2) 23" xfId="11861"/>
    <cellStyle name="Calc Currency (2) 23 10" xfId="20883"/>
    <cellStyle name="Calc Currency (2) 23 11" xfId="21722"/>
    <cellStyle name="Calc Currency (2) 23 12" xfId="22506"/>
    <cellStyle name="Calc Currency (2) 23 2" xfId="13437"/>
    <cellStyle name="Calc Currency (2) 23 3" xfId="14561"/>
    <cellStyle name="Calc Currency (2) 23 4" xfId="15488"/>
    <cellStyle name="Calc Currency (2) 23 5" xfId="16419"/>
    <cellStyle name="Calc Currency (2) 23 6" xfId="17349"/>
    <cellStyle name="Calc Currency (2) 23 7" xfId="18257"/>
    <cellStyle name="Calc Currency (2) 23 8" xfId="19147"/>
    <cellStyle name="Calc Currency (2) 23 9" xfId="20024"/>
    <cellStyle name="Calc Currency (2) 24" xfId="11492"/>
    <cellStyle name="Calc Currency (2) 24 10" xfId="20961"/>
    <cellStyle name="Calc Currency (2) 24 11" xfId="21802"/>
    <cellStyle name="Calc Currency (2) 24 12" xfId="22584"/>
    <cellStyle name="Calc Currency (2) 24 2" xfId="13517"/>
    <cellStyle name="Calc Currency (2) 24 3" xfId="14640"/>
    <cellStyle name="Calc Currency (2) 24 4" xfId="15568"/>
    <cellStyle name="Calc Currency (2) 24 5" xfId="16499"/>
    <cellStyle name="Calc Currency (2) 24 6" xfId="17429"/>
    <cellStyle name="Calc Currency (2) 24 7" xfId="18337"/>
    <cellStyle name="Calc Currency (2) 24 8" xfId="19227"/>
    <cellStyle name="Calc Currency (2) 24 9" xfId="20103"/>
    <cellStyle name="Calc Currency (2) 25" xfId="13597"/>
    <cellStyle name="Calc Currency (2) 26" xfId="13677"/>
    <cellStyle name="Calc Currency (2) 27" xfId="12872"/>
    <cellStyle name="Calc Currency (2) 28" xfId="10486"/>
    <cellStyle name="Calc Currency (2) 29" xfId="10996"/>
    <cellStyle name="Calc Currency (2) 3" xfId="3675"/>
    <cellStyle name="Calc Currency (2) 3 2" xfId="3978"/>
    <cellStyle name="Calc Currency (2) 3 2 2" xfId="8741"/>
    <cellStyle name="Calc Currency (2) 30" xfId="12500"/>
    <cellStyle name="Calc Currency (2) 31" xfId="11706"/>
    <cellStyle name="Calc Currency (2) 32" xfId="12460"/>
    <cellStyle name="Calc Currency (2) 33" xfId="12203"/>
    <cellStyle name="Calc Currency (2) 34" xfId="18434"/>
    <cellStyle name="Calc Currency (2) 35" xfId="10494"/>
    <cellStyle name="Calc Currency (2) 36" xfId="16774"/>
    <cellStyle name="Calc Currency (2) 37" xfId="22831"/>
    <cellStyle name="Calc Currency (2) 38" xfId="26606"/>
    <cellStyle name="Calc Currency (2) 39" xfId="28913"/>
    <cellStyle name="Calc Currency (2) 4" xfId="8851"/>
    <cellStyle name="Calc Currency (2) 40" xfId="30699"/>
    <cellStyle name="Calc Currency (2) 41" xfId="32472"/>
    <cellStyle name="Calc Currency (2) 42" xfId="34222"/>
    <cellStyle name="Calc Currency (2) 43" xfId="35922"/>
    <cellStyle name="Calc Currency (2) 44" xfId="37549"/>
    <cellStyle name="Calc Currency (2) 45" xfId="39084"/>
    <cellStyle name="Calc Currency (2) 46" xfId="40493"/>
    <cellStyle name="Calc Currency (2) 47" xfId="7823"/>
    <cellStyle name="Calc Currency (2) 5" xfId="8837"/>
    <cellStyle name="Calc Currency (2) 6" xfId="8929"/>
    <cellStyle name="Calc Currency (2) 7" xfId="9007"/>
    <cellStyle name="Calc Currency (2) 8" xfId="9268"/>
    <cellStyle name="Calc Currency (2) 9" xfId="9668"/>
    <cellStyle name="Calc Percent (0)" xfId="3676"/>
    <cellStyle name="Calc Percent (0) 10" xfId="9669"/>
    <cellStyle name="Calc Percent (0) 11" xfId="9735"/>
    <cellStyle name="Calc Percent (0) 12" xfId="9801"/>
    <cellStyle name="Calc Percent (0) 13" xfId="9893"/>
    <cellStyle name="Calc Percent (0) 14" xfId="9973"/>
    <cellStyle name="Calc Percent (0) 15" xfId="9417"/>
    <cellStyle name="Calc Percent (0) 15 10" xfId="12442"/>
    <cellStyle name="Calc Percent (0) 15 11" xfId="18583"/>
    <cellStyle name="Calc Percent (0) 15 12" xfId="20293"/>
    <cellStyle name="Calc Percent (0) 15 13" xfId="26715"/>
    <cellStyle name="Calc Percent (0) 15 14" xfId="30044"/>
    <cellStyle name="Calc Percent (0) 15 15" xfId="31819"/>
    <cellStyle name="Calc Percent (0) 15 16" xfId="33575"/>
    <cellStyle name="Calc Percent (0) 15 17" xfId="35288"/>
    <cellStyle name="Calc Percent (0) 15 18" xfId="36934"/>
    <cellStyle name="Calc Percent (0) 15 19" xfId="38495"/>
    <cellStyle name="Calc Percent (0) 15 2" xfId="12819"/>
    <cellStyle name="Calc Percent (0) 15 20" xfId="39935"/>
    <cellStyle name="Calc Percent (0) 15 21" xfId="41188"/>
    <cellStyle name="Calc Percent (0) 15 22" xfId="42244"/>
    <cellStyle name="Calc Percent (0) 15 3" xfId="13933"/>
    <cellStyle name="Calc Percent (0) 15 4" xfId="11537"/>
    <cellStyle name="Calc Percent (0) 15 5" xfId="10495"/>
    <cellStyle name="Calc Percent (0) 15 6" xfId="11633"/>
    <cellStyle name="Calc Percent (0) 15 7" xfId="15856"/>
    <cellStyle name="Calc Percent (0) 15 8" xfId="16784"/>
    <cellStyle name="Calc Percent (0) 15 9" xfId="17692"/>
    <cellStyle name="Calc Percent (0) 16" xfId="10870"/>
    <cellStyle name="Calc Percent (0) 16 10" xfId="20335"/>
    <cellStyle name="Calc Percent (0) 16 11" xfId="21180"/>
    <cellStyle name="Calc Percent (0) 16 12" xfId="21990"/>
    <cellStyle name="Calc Percent (0) 16 13" xfId="26495"/>
    <cellStyle name="Calc Percent (0) 16 14" xfId="29826"/>
    <cellStyle name="Calc Percent (0) 16 15" xfId="31601"/>
    <cellStyle name="Calc Percent (0) 16 16" xfId="33360"/>
    <cellStyle name="Calc Percent (0) 16 17" xfId="35076"/>
    <cellStyle name="Calc Percent (0) 16 18" xfId="36727"/>
    <cellStyle name="Calc Percent (0) 16 19" xfId="38296"/>
    <cellStyle name="Calc Percent (0) 16 2" xfId="12877"/>
    <cellStyle name="Calc Percent (0) 16 20" xfId="39746"/>
    <cellStyle name="Calc Percent (0) 16 21" xfId="41013"/>
    <cellStyle name="Calc Percent (0) 16 22" xfId="42087"/>
    <cellStyle name="Calc Percent (0) 16 3" xfId="14003"/>
    <cellStyle name="Calc Percent (0) 16 4" xfId="14934"/>
    <cellStyle name="Calc Percent (0) 16 5" xfId="15863"/>
    <cellStyle name="Calc Percent (0) 16 6" xfId="16790"/>
    <cellStyle name="Calc Percent (0) 16 7" xfId="17701"/>
    <cellStyle name="Calc Percent (0) 16 8" xfId="18596"/>
    <cellStyle name="Calc Percent (0) 16 9" xfId="19475"/>
    <cellStyle name="Calc Percent (0) 17" xfId="10637"/>
    <cellStyle name="Calc Percent (0) 17 10" xfId="20407"/>
    <cellStyle name="Calc Percent (0) 17 11" xfId="21243"/>
    <cellStyle name="Calc Percent (0) 17 12" xfId="22043"/>
    <cellStyle name="Calc Percent (0) 17 13" xfId="26829"/>
    <cellStyle name="Calc Percent (0) 17 14" xfId="30157"/>
    <cellStyle name="Calc Percent (0) 17 15" xfId="31932"/>
    <cellStyle name="Calc Percent (0) 17 16" xfId="33687"/>
    <cellStyle name="Calc Percent (0) 17 17" xfId="35400"/>
    <cellStyle name="Calc Percent (0) 17 18" xfId="37045"/>
    <cellStyle name="Calc Percent (0) 17 19" xfId="38602"/>
    <cellStyle name="Calc Percent (0) 17 2" xfId="12957"/>
    <cellStyle name="Calc Percent (0) 17 20" xfId="40036"/>
    <cellStyle name="Calc Percent (0) 17 21" xfId="41284"/>
    <cellStyle name="Calc Percent (0) 17 22" xfId="42335"/>
    <cellStyle name="Calc Percent (0) 17 3" xfId="14083"/>
    <cellStyle name="Calc Percent (0) 17 4" xfId="15013"/>
    <cellStyle name="Calc Percent (0) 17 5" xfId="15940"/>
    <cellStyle name="Calc Percent (0) 17 6" xfId="16870"/>
    <cellStyle name="Calc Percent (0) 17 7" xfId="17778"/>
    <cellStyle name="Calc Percent (0) 17 8" xfId="18668"/>
    <cellStyle name="Calc Percent (0) 17 9" xfId="19546"/>
    <cellStyle name="Calc Percent (0) 18" xfId="10949"/>
    <cellStyle name="Calc Percent (0) 18 10" xfId="20479"/>
    <cellStyle name="Calc Percent (0) 18 11" xfId="21315"/>
    <cellStyle name="Calc Percent (0) 18 12" xfId="22112"/>
    <cellStyle name="Calc Percent (0) 18 13" xfId="26372"/>
    <cellStyle name="Calc Percent (0) 18 14" xfId="29703"/>
    <cellStyle name="Calc Percent (0) 18 15" xfId="31478"/>
    <cellStyle name="Calc Percent (0) 18 16" xfId="33239"/>
    <cellStyle name="Calc Percent (0) 18 17" xfId="34957"/>
    <cellStyle name="Calc Percent (0) 18 18" xfId="36610"/>
    <cellStyle name="Calc Percent (0) 18 19" xfId="38184"/>
    <cellStyle name="Calc Percent (0) 18 2" xfId="13029"/>
    <cellStyle name="Calc Percent (0) 18 20" xfId="39637"/>
    <cellStyle name="Calc Percent (0) 18 21" xfId="40909"/>
    <cellStyle name="Calc Percent (0) 18 22" xfId="41988"/>
    <cellStyle name="Calc Percent (0) 18 3" xfId="14155"/>
    <cellStyle name="Calc Percent (0) 18 4" xfId="15085"/>
    <cellStyle name="Calc Percent (0) 18 5" xfId="16012"/>
    <cellStyle name="Calc Percent (0) 18 6" xfId="16942"/>
    <cellStyle name="Calc Percent (0) 18 7" xfId="17850"/>
    <cellStyle name="Calc Percent (0) 18 8" xfId="18740"/>
    <cellStyle name="Calc Percent (0) 18 9" xfId="19618"/>
    <cellStyle name="Calc Percent (0) 19" xfId="10729"/>
    <cellStyle name="Calc Percent (0) 19 10" xfId="20557"/>
    <cellStyle name="Calc Percent (0) 19 11" xfId="21393"/>
    <cellStyle name="Calc Percent (0) 19 12" xfId="22187"/>
    <cellStyle name="Calc Percent (0) 19 13" xfId="26733"/>
    <cellStyle name="Calc Percent (0) 19 14" xfId="30062"/>
    <cellStyle name="Calc Percent (0) 19 15" xfId="31837"/>
    <cellStyle name="Calc Percent (0) 19 16" xfId="33593"/>
    <cellStyle name="Calc Percent (0) 19 17" xfId="35306"/>
    <cellStyle name="Calc Percent (0) 19 18" xfId="36952"/>
    <cellStyle name="Calc Percent (0) 19 19" xfId="38513"/>
    <cellStyle name="Calc Percent (0) 19 2" xfId="13107"/>
    <cellStyle name="Calc Percent (0) 19 20" xfId="39953"/>
    <cellStyle name="Calc Percent (0) 19 21" xfId="41206"/>
    <cellStyle name="Calc Percent (0) 19 22" xfId="42262"/>
    <cellStyle name="Calc Percent (0) 19 3" xfId="14233"/>
    <cellStyle name="Calc Percent (0) 19 4" xfId="15162"/>
    <cellStyle name="Calc Percent (0) 19 5" xfId="16090"/>
    <cellStyle name="Calc Percent (0) 19 6" xfId="17020"/>
    <cellStyle name="Calc Percent (0) 19 7" xfId="17928"/>
    <cellStyle name="Calc Percent (0) 19 8" xfId="18818"/>
    <cellStyle name="Calc Percent (0) 19 9" xfId="19696"/>
    <cellStyle name="Calc Percent (0) 2" xfId="3677"/>
    <cellStyle name="Calc Percent (0) 2 10" xfId="11929"/>
    <cellStyle name="Calc Percent (0) 2 11" xfId="11875"/>
    <cellStyle name="Calc Percent (0) 2 12" xfId="11037"/>
    <cellStyle name="Calc Percent (0) 2 13" xfId="10752"/>
    <cellStyle name="Calc Percent (0) 2 14" xfId="12807"/>
    <cellStyle name="Calc Percent (0) 2 15" xfId="14709"/>
    <cellStyle name="Calc Percent (0) 2 16" xfId="12869"/>
    <cellStyle name="Calc Percent (0) 2 17" xfId="10286"/>
    <cellStyle name="Calc Percent (0) 2 18" xfId="15690"/>
    <cellStyle name="Calc Percent (0) 2 19" xfId="12177"/>
    <cellStyle name="Calc Percent (0) 2 2" xfId="3979"/>
    <cellStyle name="Calc Percent (0) 2 2 2" xfId="9571"/>
    <cellStyle name="Calc Percent (0) 2 2 3" xfId="9403"/>
    <cellStyle name="Calc Percent (0) 2 20" xfId="12710"/>
    <cellStyle name="Calc Percent (0) 2 21" xfId="18516"/>
    <cellStyle name="Calc Percent (0) 2 22" xfId="12620"/>
    <cellStyle name="Calc Percent (0) 2 23" xfId="23023"/>
    <cellStyle name="Calc Percent (0) 2 24" xfId="23074"/>
    <cellStyle name="Calc Percent (0) 2 25" xfId="28726"/>
    <cellStyle name="Calc Percent (0) 2 26" xfId="30515"/>
    <cellStyle name="Calc Percent (0) 2 27" xfId="32290"/>
    <cellStyle name="Calc Percent (0) 2 28" xfId="34043"/>
    <cellStyle name="Calc Percent (0) 2 29" xfId="35753"/>
    <cellStyle name="Calc Percent (0) 2 3" xfId="10337"/>
    <cellStyle name="Calc Percent (0) 2 30" xfId="37392"/>
    <cellStyle name="Calc Percent (0) 2 31" xfId="38943"/>
    <cellStyle name="Calc Percent (0) 2 32" xfId="40367"/>
    <cellStyle name="Calc Percent (0) 2 33" xfId="8731"/>
    <cellStyle name="Calc Percent (0) 2 4" xfId="10766"/>
    <cellStyle name="Calc Percent (0) 2 5" xfId="10883"/>
    <cellStyle name="Calc Percent (0) 2 6" xfId="10561"/>
    <cellStyle name="Calc Percent (0) 2 7" xfId="10511"/>
    <cellStyle name="Calc Percent (0) 2 8" xfId="10672"/>
    <cellStyle name="Calc Percent (0) 2 9" xfId="10773"/>
    <cellStyle name="Calc Percent (0) 20" xfId="10499"/>
    <cellStyle name="Calc Percent (0) 20 10" xfId="20646"/>
    <cellStyle name="Calc Percent (0) 20 11" xfId="21483"/>
    <cellStyle name="Calc Percent (0) 20 12" xfId="22274"/>
    <cellStyle name="Calc Percent (0) 20 13" xfId="26477"/>
    <cellStyle name="Calc Percent (0) 20 14" xfId="29808"/>
    <cellStyle name="Calc Percent (0) 20 15" xfId="31583"/>
    <cellStyle name="Calc Percent (0) 20 16" xfId="33342"/>
    <cellStyle name="Calc Percent (0) 20 17" xfId="35058"/>
    <cellStyle name="Calc Percent (0) 20 18" xfId="36709"/>
    <cellStyle name="Calc Percent (0) 20 19" xfId="38278"/>
    <cellStyle name="Calc Percent (0) 20 2" xfId="13197"/>
    <cellStyle name="Calc Percent (0) 20 20" xfId="39728"/>
    <cellStyle name="Calc Percent (0) 20 21" xfId="40995"/>
    <cellStyle name="Calc Percent (0) 20 22" xfId="42069"/>
    <cellStyle name="Calc Percent (0) 20 3" xfId="14323"/>
    <cellStyle name="Calc Percent (0) 20 4" xfId="15251"/>
    <cellStyle name="Calc Percent (0) 20 5" xfId="16180"/>
    <cellStyle name="Calc Percent (0) 20 6" xfId="17110"/>
    <cellStyle name="Calc Percent (0) 20 7" xfId="18018"/>
    <cellStyle name="Calc Percent (0) 20 8" xfId="18908"/>
    <cellStyle name="Calc Percent (0) 20 9" xfId="19786"/>
    <cellStyle name="Calc Percent (0) 21" xfId="10829"/>
    <cellStyle name="Calc Percent (0) 21 10" xfId="20717"/>
    <cellStyle name="Calc Percent (0) 21 11" xfId="21555"/>
    <cellStyle name="Calc Percent (0) 21 12" xfId="22343"/>
    <cellStyle name="Calc Percent (0) 21 13" xfId="26839"/>
    <cellStyle name="Calc Percent (0) 21 14" xfId="30167"/>
    <cellStyle name="Calc Percent (0) 21 15" xfId="31942"/>
    <cellStyle name="Calc Percent (0) 21 16" xfId="33697"/>
    <cellStyle name="Calc Percent (0) 21 17" xfId="35410"/>
    <cellStyle name="Calc Percent (0) 21 18" xfId="37055"/>
    <cellStyle name="Calc Percent (0) 21 19" xfId="38612"/>
    <cellStyle name="Calc Percent (0) 21 2" xfId="13269"/>
    <cellStyle name="Calc Percent (0) 21 20" xfId="40046"/>
    <cellStyle name="Calc Percent (0) 21 21" xfId="41294"/>
    <cellStyle name="Calc Percent (0) 21 22" xfId="42345"/>
    <cellStyle name="Calc Percent (0) 21 3" xfId="14394"/>
    <cellStyle name="Calc Percent (0) 21 4" xfId="15322"/>
    <cellStyle name="Calc Percent (0) 21 5" xfId="16252"/>
    <cellStyle name="Calc Percent (0) 21 6" xfId="17182"/>
    <cellStyle name="Calc Percent (0) 21 7" xfId="18090"/>
    <cellStyle name="Calc Percent (0) 21 8" xfId="18980"/>
    <cellStyle name="Calc Percent (0) 21 9" xfId="19857"/>
    <cellStyle name="Calc Percent (0) 22" xfId="11871"/>
    <cellStyle name="Calc Percent (0) 22 10" xfId="20797"/>
    <cellStyle name="Calc Percent (0) 22 11" xfId="21635"/>
    <cellStyle name="Calc Percent (0) 22 12" xfId="22421"/>
    <cellStyle name="Calc Percent (0) 22 13" xfId="26362"/>
    <cellStyle name="Calc Percent (0) 22 14" xfId="29693"/>
    <cellStyle name="Calc Percent (0) 22 15" xfId="31468"/>
    <cellStyle name="Calc Percent (0) 22 16" xfId="33229"/>
    <cellStyle name="Calc Percent (0) 22 17" xfId="34947"/>
    <cellStyle name="Calc Percent (0) 22 18" xfId="36600"/>
    <cellStyle name="Calc Percent (0) 22 19" xfId="38174"/>
    <cellStyle name="Calc Percent (0) 22 2" xfId="13350"/>
    <cellStyle name="Calc Percent (0) 22 20" xfId="39627"/>
    <cellStyle name="Calc Percent (0) 22 21" xfId="40899"/>
    <cellStyle name="Calc Percent (0) 22 22" xfId="41978"/>
    <cellStyle name="Calc Percent (0) 22 3" xfId="14474"/>
    <cellStyle name="Calc Percent (0) 22 4" xfId="15403"/>
    <cellStyle name="Calc Percent (0) 22 5" xfId="16332"/>
    <cellStyle name="Calc Percent (0) 22 6" xfId="17262"/>
    <cellStyle name="Calc Percent (0) 22 7" xfId="18170"/>
    <cellStyle name="Calc Percent (0) 22 8" xfId="19060"/>
    <cellStyle name="Calc Percent (0) 22 9" xfId="19937"/>
    <cellStyle name="Calc Percent (0) 23" xfId="10690"/>
    <cellStyle name="Calc Percent (0) 23 10" xfId="20876"/>
    <cellStyle name="Calc Percent (0) 23 11" xfId="21715"/>
    <cellStyle name="Calc Percent (0) 23 12" xfId="22499"/>
    <cellStyle name="Calc Percent (0) 23 2" xfId="13430"/>
    <cellStyle name="Calc Percent (0) 23 3" xfId="14554"/>
    <cellStyle name="Calc Percent (0) 23 4" xfId="15481"/>
    <cellStyle name="Calc Percent (0) 23 5" xfId="16412"/>
    <cellStyle name="Calc Percent (0) 23 6" xfId="17342"/>
    <cellStyle name="Calc Percent (0) 23 7" xfId="18250"/>
    <cellStyle name="Calc Percent (0) 23 8" xfId="19140"/>
    <cellStyle name="Calc Percent (0) 23 9" xfId="20017"/>
    <cellStyle name="Calc Percent (0) 24" xfId="11721"/>
    <cellStyle name="Calc Percent (0) 24 10" xfId="20954"/>
    <cellStyle name="Calc Percent (0) 24 11" xfId="21795"/>
    <cellStyle name="Calc Percent (0) 24 12" xfId="22577"/>
    <cellStyle name="Calc Percent (0) 24 2" xfId="13510"/>
    <cellStyle name="Calc Percent (0) 24 3" xfId="14633"/>
    <cellStyle name="Calc Percent (0) 24 4" xfId="15561"/>
    <cellStyle name="Calc Percent (0) 24 5" xfId="16492"/>
    <cellStyle name="Calc Percent (0) 24 6" xfId="17422"/>
    <cellStyle name="Calc Percent (0) 24 7" xfId="18330"/>
    <cellStyle name="Calc Percent (0) 24 8" xfId="19220"/>
    <cellStyle name="Calc Percent (0) 24 9" xfId="20096"/>
    <cellStyle name="Calc Percent (0) 25" xfId="13590"/>
    <cellStyle name="Calc Percent (0) 26" xfId="13670"/>
    <cellStyle name="Calc Percent (0) 27" xfId="12811"/>
    <cellStyle name="Calc Percent (0) 28" xfId="11595"/>
    <cellStyle name="Calc Percent (0) 29" xfId="12282"/>
    <cellStyle name="Calc Percent (0) 3" xfId="3678"/>
    <cellStyle name="Calc Percent (0) 3 2" xfId="3980"/>
    <cellStyle name="Calc Percent (0) 3 2 2" xfId="8740"/>
    <cellStyle name="Calc Percent (0) 30" xfId="14891"/>
    <cellStyle name="Calc Percent (0) 31" xfId="12782"/>
    <cellStyle name="Calc Percent (0) 32" xfId="16601"/>
    <cellStyle name="Calc Percent (0) 33" xfId="17531"/>
    <cellStyle name="Calc Percent (0) 34" xfId="11840"/>
    <cellStyle name="Calc Percent (0) 35" xfId="17693"/>
    <cellStyle name="Calc Percent (0) 36" xfId="14925"/>
    <cellStyle name="Calc Percent (0) 37" xfId="22832"/>
    <cellStyle name="Calc Percent (0) 38" xfId="24861"/>
    <cellStyle name="Calc Percent (0) 39" xfId="28912"/>
    <cellStyle name="Calc Percent (0) 4" xfId="8849"/>
    <cellStyle name="Calc Percent (0) 40" xfId="30698"/>
    <cellStyle name="Calc Percent (0) 41" xfId="32471"/>
    <cellStyle name="Calc Percent (0) 42" xfId="34221"/>
    <cellStyle name="Calc Percent (0) 43" xfId="35921"/>
    <cellStyle name="Calc Percent (0) 44" xfId="37548"/>
    <cellStyle name="Calc Percent (0) 45" xfId="39083"/>
    <cellStyle name="Calc Percent (0) 46" xfId="40492"/>
    <cellStyle name="Calc Percent (0) 47" xfId="7824"/>
    <cellStyle name="Calc Percent (0) 5" xfId="8834"/>
    <cellStyle name="Calc Percent (0) 6" xfId="8926"/>
    <cellStyle name="Calc Percent (0) 7" xfId="9004"/>
    <cellStyle name="Calc Percent (0) 8" xfId="9269"/>
    <cellStyle name="Calc Percent (0) 9" xfId="9666"/>
    <cellStyle name="Calc Percent (1)" xfId="3679"/>
    <cellStyle name="Calc Percent (1) 10" xfId="9696"/>
    <cellStyle name="Calc Percent (1) 11" xfId="9723"/>
    <cellStyle name="Calc Percent (1) 12" xfId="9789"/>
    <cellStyle name="Calc Percent (1) 13" xfId="9892"/>
    <cellStyle name="Calc Percent (1) 14" xfId="9972"/>
    <cellStyle name="Calc Percent (1) 15" xfId="9416"/>
    <cellStyle name="Calc Percent (1) 15 10" xfId="19480"/>
    <cellStyle name="Calc Percent (1) 15 11" xfId="18453"/>
    <cellStyle name="Calc Percent (1) 15 12" xfId="21958"/>
    <cellStyle name="Calc Percent (1) 15 13" xfId="26714"/>
    <cellStyle name="Calc Percent (1) 15 14" xfId="30043"/>
    <cellStyle name="Calc Percent (1) 15 15" xfId="31818"/>
    <cellStyle name="Calc Percent (1) 15 16" xfId="33574"/>
    <cellStyle name="Calc Percent (1) 15 17" xfId="35287"/>
    <cellStyle name="Calc Percent (1) 15 18" xfId="36933"/>
    <cellStyle name="Calc Percent (1) 15 19" xfId="38494"/>
    <cellStyle name="Calc Percent (1) 15 2" xfId="12816"/>
    <cellStyle name="Calc Percent (1) 15 20" xfId="39934"/>
    <cellStyle name="Calc Percent (1) 15 21" xfId="41187"/>
    <cellStyle name="Calc Percent (1) 15 22" xfId="42243"/>
    <cellStyle name="Calc Percent (1) 15 3" xfId="13930"/>
    <cellStyle name="Calc Percent (1) 15 4" xfId="14009"/>
    <cellStyle name="Calc Percent (1) 15 5" xfId="13923"/>
    <cellStyle name="Calc Percent (1) 15 6" xfId="16701"/>
    <cellStyle name="Calc Percent (1) 15 7" xfId="17624"/>
    <cellStyle name="Calc Percent (1) 15 8" xfId="18526"/>
    <cellStyle name="Calc Percent (1) 15 9" xfId="19406"/>
    <cellStyle name="Calc Percent (1) 16" xfId="10801"/>
    <cellStyle name="Calc Percent (1) 16 10" xfId="20324"/>
    <cellStyle name="Calc Percent (1) 16 11" xfId="21171"/>
    <cellStyle name="Calc Percent (1) 16 12" xfId="21984"/>
    <cellStyle name="Calc Percent (1) 16 13" xfId="26496"/>
    <cellStyle name="Calc Percent (1) 16 14" xfId="29827"/>
    <cellStyle name="Calc Percent (1) 16 15" xfId="31602"/>
    <cellStyle name="Calc Percent (1) 16 16" xfId="33361"/>
    <cellStyle name="Calc Percent (1) 16 17" xfId="35077"/>
    <cellStyle name="Calc Percent (1) 16 18" xfId="36728"/>
    <cellStyle name="Calc Percent (1) 16 19" xfId="38297"/>
    <cellStyle name="Calc Percent (1) 16 2" xfId="12863"/>
    <cellStyle name="Calc Percent (1) 16 20" xfId="39747"/>
    <cellStyle name="Calc Percent (1) 16 21" xfId="41014"/>
    <cellStyle name="Calc Percent (1) 16 22" xfId="42088"/>
    <cellStyle name="Calc Percent (1) 16 3" xfId="13986"/>
    <cellStyle name="Calc Percent (1) 16 4" xfId="14919"/>
    <cellStyle name="Calc Percent (1) 16 5" xfId="15848"/>
    <cellStyle name="Calc Percent (1) 16 6" xfId="16777"/>
    <cellStyle name="Calc Percent (1) 16 7" xfId="17684"/>
    <cellStyle name="Calc Percent (1) 16 8" xfId="18585"/>
    <cellStyle name="Calc Percent (1) 16 9" xfId="19462"/>
    <cellStyle name="Calc Percent (1) 17" xfId="11044"/>
    <cellStyle name="Calc Percent (1) 17 10" xfId="20398"/>
    <cellStyle name="Calc Percent (1) 17 11" xfId="21234"/>
    <cellStyle name="Calc Percent (1) 17 12" xfId="22034"/>
    <cellStyle name="Calc Percent (1) 17 13" xfId="26828"/>
    <cellStyle name="Calc Percent (1) 17 14" xfId="30156"/>
    <cellStyle name="Calc Percent (1) 17 15" xfId="31931"/>
    <cellStyle name="Calc Percent (1) 17 16" xfId="33686"/>
    <cellStyle name="Calc Percent (1) 17 17" xfId="35399"/>
    <cellStyle name="Calc Percent (1) 17 18" xfId="37044"/>
    <cellStyle name="Calc Percent (1) 17 19" xfId="38601"/>
    <cellStyle name="Calc Percent (1) 17 2" xfId="12948"/>
    <cellStyle name="Calc Percent (1) 17 20" xfId="40035"/>
    <cellStyle name="Calc Percent (1) 17 21" xfId="41283"/>
    <cellStyle name="Calc Percent (1) 17 22" xfId="42334"/>
    <cellStyle name="Calc Percent (1) 17 3" xfId="14074"/>
    <cellStyle name="Calc Percent (1) 17 4" xfId="15004"/>
    <cellStyle name="Calc Percent (1) 17 5" xfId="15931"/>
    <cellStyle name="Calc Percent (1) 17 6" xfId="16861"/>
    <cellStyle name="Calc Percent (1) 17 7" xfId="17769"/>
    <cellStyle name="Calc Percent (1) 17 8" xfId="18659"/>
    <cellStyle name="Calc Percent (1) 17 9" xfId="19537"/>
    <cellStyle name="Calc Percent (1) 18" xfId="11035"/>
    <cellStyle name="Calc Percent (1) 18 10" xfId="20476"/>
    <cellStyle name="Calc Percent (1) 18 11" xfId="21312"/>
    <cellStyle name="Calc Percent (1) 18 12" xfId="22109"/>
    <cellStyle name="Calc Percent (1) 18 13" xfId="26373"/>
    <cellStyle name="Calc Percent (1) 18 14" xfId="29704"/>
    <cellStyle name="Calc Percent (1) 18 15" xfId="31479"/>
    <cellStyle name="Calc Percent (1) 18 16" xfId="33240"/>
    <cellStyle name="Calc Percent (1) 18 17" xfId="34958"/>
    <cellStyle name="Calc Percent (1) 18 18" xfId="36611"/>
    <cellStyle name="Calc Percent (1) 18 19" xfId="38185"/>
    <cellStyle name="Calc Percent (1) 18 2" xfId="13026"/>
    <cellStyle name="Calc Percent (1) 18 20" xfId="39638"/>
    <cellStyle name="Calc Percent (1) 18 21" xfId="40910"/>
    <cellStyle name="Calc Percent (1) 18 22" xfId="41989"/>
    <cellStyle name="Calc Percent (1) 18 3" xfId="14152"/>
    <cellStyle name="Calc Percent (1) 18 4" xfId="15082"/>
    <cellStyle name="Calc Percent (1) 18 5" xfId="16009"/>
    <cellStyle name="Calc Percent (1) 18 6" xfId="16939"/>
    <cellStyle name="Calc Percent (1) 18 7" xfId="17847"/>
    <cellStyle name="Calc Percent (1) 18 8" xfId="18737"/>
    <cellStyle name="Calc Percent (1) 18 9" xfId="19615"/>
    <cellStyle name="Calc Percent (1) 19" xfId="11034"/>
    <cellStyle name="Calc Percent (1) 19 10" xfId="20538"/>
    <cellStyle name="Calc Percent (1) 19 11" xfId="21374"/>
    <cellStyle name="Calc Percent (1) 19 12" xfId="22168"/>
    <cellStyle name="Calc Percent (1) 19 13" xfId="26732"/>
    <cellStyle name="Calc Percent (1) 19 14" xfId="30061"/>
    <cellStyle name="Calc Percent (1) 19 15" xfId="31836"/>
    <cellStyle name="Calc Percent (1) 19 16" xfId="33592"/>
    <cellStyle name="Calc Percent (1) 19 17" xfId="35305"/>
    <cellStyle name="Calc Percent (1) 19 18" xfId="36951"/>
    <cellStyle name="Calc Percent (1) 19 19" xfId="38512"/>
    <cellStyle name="Calc Percent (1) 19 2" xfId="13088"/>
    <cellStyle name="Calc Percent (1) 19 20" xfId="39952"/>
    <cellStyle name="Calc Percent (1) 19 21" xfId="41205"/>
    <cellStyle name="Calc Percent (1) 19 22" xfId="42261"/>
    <cellStyle name="Calc Percent (1) 19 3" xfId="14214"/>
    <cellStyle name="Calc Percent (1) 19 4" xfId="15143"/>
    <cellStyle name="Calc Percent (1) 19 5" xfId="16071"/>
    <cellStyle name="Calc Percent (1) 19 6" xfId="17001"/>
    <cellStyle name="Calc Percent (1) 19 7" xfId="17909"/>
    <cellStyle name="Calc Percent (1) 19 8" xfId="18799"/>
    <cellStyle name="Calc Percent (1) 19 9" xfId="19677"/>
    <cellStyle name="Calc Percent (1) 2" xfId="3680"/>
    <cellStyle name="Calc Percent (1) 2 10" xfId="10429"/>
    <cellStyle name="Calc Percent (1) 2 11" xfId="11935"/>
    <cellStyle name="Calc Percent (1) 2 12" xfId="11148"/>
    <cellStyle name="Calc Percent (1) 2 13" xfId="10911"/>
    <cellStyle name="Calc Percent (1) 2 14" xfId="12798"/>
    <cellStyle name="Calc Percent (1) 2 15" xfId="10751"/>
    <cellStyle name="Calc Percent (1) 2 16" xfId="11852"/>
    <cellStyle name="Calc Percent (1) 2 17" xfId="15825"/>
    <cellStyle name="Calc Percent (1) 2 18" xfId="13958"/>
    <cellStyle name="Calc Percent (1) 2 19" xfId="11430"/>
    <cellStyle name="Calc Percent (1) 2 2" xfId="3981"/>
    <cellStyle name="Calc Percent (1) 2 2 2" xfId="9572"/>
    <cellStyle name="Calc Percent (1) 2 2 3" xfId="9404"/>
    <cellStyle name="Calc Percent (1) 2 20" xfId="19237"/>
    <cellStyle name="Calc Percent (1) 2 21" xfId="20166"/>
    <cellStyle name="Calc Percent (1) 2 22" xfId="21106"/>
    <cellStyle name="Calc Percent (1) 2 23" xfId="23024"/>
    <cellStyle name="Calc Percent (1) 2 24" xfId="23684"/>
    <cellStyle name="Calc Percent (1) 2 25" xfId="28725"/>
    <cellStyle name="Calc Percent (1) 2 26" xfId="30514"/>
    <cellStyle name="Calc Percent (1) 2 27" xfId="32289"/>
    <cellStyle name="Calc Percent (1) 2 28" xfId="34042"/>
    <cellStyle name="Calc Percent (1) 2 29" xfId="35752"/>
    <cellStyle name="Calc Percent (1) 2 3" xfId="10338"/>
    <cellStyle name="Calc Percent (1) 2 30" xfId="37391"/>
    <cellStyle name="Calc Percent (1) 2 31" xfId="38942"/>
    <cellStyle name="Calc Percent (1) 2 32" xfId="40366"/>
    <cellStyle name="Calc Percent (1) 2 33" xfId="8732"/>
    <cellStyle name="Calc Percent (1) 2 4" xfId="10691"/>
    <cellStyle name="Calc Percent (1) 2 5" xfId="10994"/>
    <cellStyle name="Calc Percent (1) 2 6" xfId="10422"/>
    <cellStyle name="Calc Percent (1) 2 7" xfId="10982"/>
    <cellStyle name="Calc Percent (1) 2 8" xfId="10421"/>
    <cellStyle name="Calc Percent (1) 2 9" xfId="11057"/>
    <cellStyle name="Calc Percent (1) 20" xfId="11102"/>
    <cellStyle name="Calc Percent (1) 20 10" xfId="20637"/>
    <cellStyle name="Calc Percent (1) 20 11" xfId="21474"/>
    <cellStyle name="Calc Percent (1) 20 12" xfId="22265"/>
    <cellStyle name="Calc Percent (1) 20 13" xfId="26478"/>
    <cellStyle name="Calc Percent (1) 20 14" xfId="29809"/>
    <cellStyle name="Calc Percent (1) 20 15" xfId="31584"/>
    <cellStyle name="Calc Percent (1) 20 16" xfId="33343"/>
    <cellStyle name="Calc Percent (1) 20 17" xfId="35059"/>
    <cellStyle name="Calc Percent (1) 20 18" xfId="36710"/>
    <cellStyle name="Calc Percent (1) 20 19" xfId="38279"/>
    <cellStyle name="Calc Percent (1) 20 2" xfId="13188"/>
    <cellStyle name="Calc Percent (1) 20 20" xfId="39729"/>
    <cellStyle name="Calc Percent (1) 20 21" xfId="40996"/>
    <cellStyle name="Calc Percent (1) 20 22" xfId="42070"/>
    <cellStyle name="Calc Percent (1) 20 3" xfId="14314"/>
    <cellStyle name="Calc Percent (1) 20 4" xfId="15242"/>
    <cellStyle name="Calc Percent (1) 20 5" xfId="16171"/>
    <cellStyle name="Calc Percent (1) 20 6" xfId="17101"/>
    <cellStyle name="Calc Percent (1) 20 7" xfId="18009"/>
    <cellStyle name="Calc Percent (1) 20 8" xfId="18899"/>
    <cellStyle name="Calc Percent (1) 20 9" xfId="19777"/>
    <cellStyle name="Calc Percent (1) 21" xfId="11296"/>
    <cellStyle name="Calc Percent (1) 21 10" xfId="20714"/>
    <cellStyle name="Calc Percent (1) 21 11" xfId="21552"/>
    <cellStyle name="Calc Percent (1) 21 12" xfId="22340"/>
    <cellStyle name="Calc Percent (1) 21 13" xfId="26838"/>
    <cellStyle name="Calc Percent (1) 21 14" xfId="30166"/>
    <cellStyle name="Calc Percent (1) 21 15" xfId="31941"/>
    <cellStyle name="Calc Percent (1) 21 16" xfId="33696"/>
    <cellStyle name="Calc Percent (1) 21 17" xfId="35409"/>
    <cellStyle name="Calc Percent (1) 21 18" xfId="37054"/>
    <cellStyle name="Calc Percent (1) 21 19" xfId="38611"/>
    <cellStyle name="Calc Percent (1) 21 2" xfId="13266"/>
    <cellStyle name="Calc Percent (1) 21 20" xfId="40045"/>
    <cellStyle name="Calc Percent (1) 21 21" xfId="41293"/>
    <cellStyle name="Calc Percent (1) 21 22" xfId="42344"/>
    <cellStyle name="Calc Percent (1) 21 3" xfId="14391"/>
    <cellStyle name="Calc Percent (1) 21 4" xfId="15319"/>
    <cellStyle name="Calc Percent (1) 21 5" xfId="16249"/>
    <cellStyle name="Calc Percent (1) 21 6" xfId="17179"/>
    <cellStyle name="Calc Percent (1) 21 7" xfId="18087"/>
    <cellStyle name="Calc Percent (1) 21 8" xfId="18977"/>
    <cellStyle name="Calc Percent (1) 21 9" xfId="19854"/>
    <cellStyle name="Calc Percent (1) 22" xfId="12044"/>
    <cellStyle name="Calc Percent (1) 22 10" xfId="20794"/>
    <cellStyle name="Calc Percent (1) 22 11" xfId="21632"/>
    <cellStyle name="Calc Percent (1) 22 12" xfId="22418"/>
    <cellStyle name="Calc Percent (1) 22 13" xfId="26363"/>
    <cellStyle name="Calc Percent (1) 22 14" xfId="29694"/>
    <cellStyle name="Calc Percent (1) 22 15" xfId="31469"/>
    <cellStyle name="Calc Percent (1) 22 16" xfId="33230"/>
    <cellStyle name="Calc Percent (1) 22 17" xfId="34948"/>
    <cellStyle name="Calc Percent (1) 22 18" xfId="36601"/>
    <cellStyle name="Calc Percent (1) 22 19" xfId="38175"/>
    <cellStyle name="Calc Percent (1) 22 2" xfId="13347"/>
    <cellStyle name="Calc Percent (1) 22 20" xfId="39628"/>
    <cellStyle name="Calc Percent (1) 22 21" xfId="40900"/>
    <cellStyle name="Calc Percent (1) 22 22" xfId="41979"/>
    <cellStyle name="Calc Percent (1) 22 3" xfId="14471"/>
    <cellStyle name="Calc Percent (1) 22 4" xfId="15400"/>
    <cellStyle name="Calc Percent (1) 22 5" xfId="16329"/>
    <cellStyle name="Calc Percent (1) 22 6" xfId="17259"/>
    <cellStyle name="Calc Percent (1) 22 7" xfId="18167"/>
    <cellStyle name="Calc Percent (1) 22 8" xfId="19057"/>
    <cellStyle name="Calc Percent (1) 22 9" xfId="19934"/>
    <cellStyle name="Calc Percent (1) 23" xfId="11617"/>
    <cellStyle name="Calc Percent (1) 23 10" xfId="20873"/>
    <cellStyle name="Calc Percent (1) 23 11" xfId="21712"/>
    <cellStyle name="Calc Percent (1) 23 12" xfId="22496"/>
    <cellStyle name="Calc Percent (1) 23 2" xfId="13427"/>
    <cellStyle name="Calc Percent (1) 23 3" xfId="14551"/>
    <cellStyle name="Calc Percent (1) 23 4" xfId="15478"/>
    <cellStyle name="Calc Percent (1) 23 5" xfId="16409"/>
    <cellStyle name="Calc Percent (1) 23 6" xfId="17339"/>
    <cellStyle name="Calc Percent (1) 23 7" xfId="18247"/>
    <cellStyle name="Calc Percent (1) 23 8" xfId="19137"/>
    <cellStyle name="Calc Percent (1) 23 9" xfId="20014"/>
    <cellStyle name="Calc Percent (1) 24" xfId="11561"/>
    <cellStyle name="Calc Percent (1) 24 10" xfId="20951"/>
    <cellStyle name="Calc Percent (1) 24 11" xfId="21792"/>
    <cellStyle name="Calc Percent (1) 24 12" xfId="22574"/>
    <cellStyle name="Calc Percent (1) 24 2" xfId="13507"/>
    <cellStyle name="Calc Percent (1) 24 3" xfId="14630"/>
    <cellStyle name="Calc Percent (1) 24 4" xfId="15558"/>
    <cellStyle name="Calc Percent (1) 24 5" xfId="16489"/>
    <cellStyle name="Calc Percent (1) 24 6" xfId="17419"/>
    <cellStyle name="Calc Percent (1) 24 7" xfId="18327"/>
    <cellStyle name="Calc Percent (1) 24 8" xfId="19217"/>
    <cellStyle name="Calc Percent (1) 24 9" xfId="20093"/>
    <cellStyle name="Calc Percent (1) 25" xfId="13587"/>
    <cellStyle name="Calc Percent (1) 26" xfId="13667"/>
    <cellStyle name="Calc Percent (1) 27" xfId="12743"/>
    <cellStyle name="Calc Percent (1) 28" xfId="12415"/>
    <cellStyle name="Calc Percent (1) 29" xfId="15839"/>
    <cellStyle name="Calc Percent (1) 3" xfId="3681"/>
    <cellStyle name="Calc Percent (1) 3 2" xfId="3982"/>
    <cellStyle name="Calc Percent (1) 3 2 2" xfId="8728"/>
    <cellStyle name="Calc Percent (1) 30" xfId="12725"/>
    <cellStyle name="Calc Percent (1) 31" xfId="12771"/>
    <cellStyle name="Calc Percent (1) 32" xfId="15577"/>
    <cellStyle name="Calc Percent (1) 33" xfId="12796"/>
    <cellStyle name="Calc Percent (1) 34" xfId="12049"/>
    <cellStyle name="Calc Percent (1) 35" xfId="18530"/>
    <cellStyle name="Calc Percent (1) 36" xfId="16703"/>
    <cellStyle name="Calc Percent (1) 37" xfId="22833"/>
    <cellStyle name="Calc Percent (1) 38" xfId="23702"/>
    <cellStyle name="Calc Percent (1) 39" xfId="28911"/>
    <cellStyle name="Calc Percent (1) 4" xfId="8848"/>
    <cellStyle name="Calc Percent (1) 40" xfId="30697"/>
    <cellStyle name="Calc Percent (1) 41" xfId="32470"/>
    <cellStyle name="Calc Percent (1) 42" xfId="34220"/>
    <cellStyle name="Calc Percent (1) 43" xfId="35920"/>
    <cellStyle name="Calc Percent (1) 44" xfId="37547"/>
    <cellStyle name="Calc Percent (1) 45" xfId="39082"/>
    <cellStyle name="Calc Percent (1) 46" xfId="40491"/>
    <cellStyle name="Calc Percent (1) 47" xfId="7825"/>
    <cellStyle name="Calc Percent (1) 5" xfId="8833"/>
    <cellStyle name="Calc Percent (1) 6" xfId="8925"/>
    <cellStyle name="Calc Percent (1) 7" xfId="9003"/>
    <cellStyle name="Calc Percent (1) 8" xfId="9270"/>
    <cellStyle name="Calc Percent (1) 9" xfId="9665"/>
    <cellStyle name="Calc Percent (2)" xfId="3682"/>
    <cellStyle name="Calc Percent (2) 10" xfId="9695"/>
    <cellStyle name="Calc Percent (2) 11" xfId="9722"/>
    <cellStyle name="Calc Percent (2) 12" xfId="9746"/>
    <cellStyle name="Calc Percent (2) 13" xfId="9813"/>
    <cellStyle name="Calc Percent (2) 14" xfId="9910"/>
    <cellStyle name="Calc Percent (2) 15" xfId="9414"/>
    <cellStyle name="Calc Percent (2) 15 10" xfId="17746"/>
    <cellStyle name="Calc Percent (2) 15 11" xfId="18482"/>
    <cellStyle name="Calc Percent (2) 15 12" xfId="14796"/>
    <cellStyle name="Calc Percent (2) 15 13" xfId="26713"/>
    <cellStyle name="Calc Percent (2) 15 14" xfId="30042"/>
    <cellStyle name="Calc Percent (2) 15 15" xfId="31817"/>
    <cellStyle name="Calc Percent (2) 15 16" xfId="33573"/>
    <cellStyle name="Calc Percent (2) 15 17" xfId="35286"/>
    <cellStyle name="Calc Percent (2) 15 18" xfId="36932"/>
    <cellStyle name="Calc Percent (2) 15 19" xfId="38493"/>
    <cellStyle name="Calc Percent (2) 15 2" xfId="12800"/>
    <cellStyle name="Calc Percent (2) 15 20" xfId="39933"/>
    <cellStyle name="Calc Percent (2) 15 21" xfId="41186"/>
    <cellStyle name="Calc Percent (2) 15 22" xfId="42242"/>
    <cellStyle name="Calc Percent (2) 15 3" xfId="13919"/>
    <cellStyle name="Calc Percent (2) 15 4" xfId="11884"/>
    <cellStyle name="Calc Percent (2) 15 5" xfId="12267"/>
    <cellStyle name="Calc Percent (2) 15 6" xfId="12528"/>
    <cellStyle name="Calc Percent (2) 15 7" xfId="12788"/>
    <cellStyle name="Calc Percent (2) 15 8" xfId="12343"/>
    <cellStyle name="Calc Percent (2) 15 9" xfId="15776"/>
    <cellStyle name="Calc Percent (2) 16" xfId="10722"/>
    <cellStyle name="Calc Percent (2) 16 10" xfId="20323"/>
    <cellStyle name="Calc Percent (2) 16 11" xfId="21170"/>
    <cellStyle name="Calc Percent (2) 16 12" xfId="21983"/>
    <cellStyle name="Calc Percent (2) 16 13" xfId="26497"/>
    <cellStyle name="Calc Percent (2) 16 14" xfId="29828"/>
    <cellStyle name="Calc Percent (2) 16 15" xfId="31603"/>
    <cellStyle name="Calc Percent (2) 16 16" xfId="33362"/>
    <cellStyle name="Calc Percent (2) 16 17" xfId="35078"/>
    <cellStyle name="Calc Percent (2) 16 18" xfId="36729"/>
    <cellStyle name="Calc Percent (2) 16 19" xfId="38298"/>
    <cellStyle name="Calc Percent (2) 16 2" xfId="12862"/>
    <cellStyle name="Calc Percent (2) 16 20" xfId="39748"/>
    <cellStyle name="Calc Percent (2) 16 21" xfId="41015"/>
    <cellStyle name="Calc Percent (2) 16 22" xfId="42089"/>
    <cellStyle name="Calc Percent (2) 16 3" xfId="13985"/>
    <cellStyle name="Calc Percent (2) 16 4" xfId="14918"/>
    <cellStyle name="Calc Percent (2) 16 5" xfId="15847"/>
    <cellStyle name="Calc Percent (2) 16 6" xfId="16776"/>
    <cellStyle name="Calc Percent (2) 16 7" xfId="17683"/>
    <cellStyle name="Calc Percent (2) 16 8" xfId="18584"/>
    <cellStyle name="Calc Percent (2) 16 9" xfId="19461"/>
    <cellStyle name="Calc Percent (2) 17" xfId="11046"/>
    <cellStyle name="Calc Percent (2) 17 10" xfId="20380"/>
    <cellStyle name="Calc Percent (2) 17 11" xfId="21219"/>
    <cellStyle name="Calc Percent (2) 17 12" xfId="22022"/>
    <cellStyle name="Calc Percent (2) 17 13" xfId="26827"/>
    <cellStyle name="Calc Percent (2) 17 14" xfId="30155"/>
    <cellStyle name="Calc Percent (2) 17 15" xfId="31930"/>
    <cellStyle name="Calc Percent (2) 17 16" xfId="33685"/>
    <cellStyle name="Calc Percent (2) 17 17" xfId="35398"/>
    <cellStyle name="Calc Percent (2) 17 18" xfId="37043"/>
    <cellStyle name="Calc Percent (2) 17 19" xfId="38600"/>
    <cellStyle name="Calc Percent (2) 17 2" xfId="12931"/>
    <cellStyle name="Calc Percent (2) 17 20" xfId="40034"/>
    <cellStyle name="Calc Percent (2) 17 21" xfId="41282"/>
    <cellStyle name="Calc Percent (2) 17 22" xfId="42333"/>
    <cellStyle name="Calc Percent (2) 17 3" xfId="14057"/>
    <cellStyle name="Calc Percent (2) 17 4" xfId="14987"/>
    <cellStyle name="Calc Percent (2) 17 5" xfId="15915"/>
    <cellStyle name="Calc Percent (2) 17 6" xfId="16844"/>
    <cellStyle name="Calc Percent (2) 17 7" xfId="17753"/>
    <cellStyle name="Calc Percent (2) 17 8" xfId="18643"/>
    <cellStyle name="Calc Percent (2) 17 9" xfId="19522"/>
    <cellStyle name="Calc Percent (2) 18" xfId="10891"/>
    <cellStyle name="Calc Percent (2) 18 10" xfId="20457"/>
    <cellStyle name="Calc Percent (2) 18 11" xfId="21293"/>
    <cellStyle name="Calc Percent (2) 18 12" xfId="22090"/>
    <cellStyle name="Calc Percent (2) 18 13" xfId="26374"/>
    <cellStyle name="Calc Percent (2) 18 14" xfId="29705"/>
    <cellStyle name="Calc Percent (2) 18 15" xfId="31480"/>
    <cellStyle name="Calc Percent (2) 18 16" xfId="33241"/>
    <cellStyle name="Calc Percent (2) 18 17" xfId="34959"/>
    <cellStyle name="Calc Percent (2) 18 18" xfId="36612"/>
    <cellStyle name="Calc Percent (2) 18 19" xfId="38186"/>
    <cellStyle name="Calc Percent (2) 18 2" xfId="13007"/>
    <cellStyle name="Calc Percent (2) 18 20" xfId="39639"/>
    <cellStyle name="Calc Percent (2) 18 21" xfId="40911"/>
    <cellStyle name="Calc Percent (2) 18 22" xfId="41990"/>
    <cellStyle name="Calc Percent (2) 18 3" xfId="14133"/>
    <cellStyle name="Calc Percent (2) 18 4" xfId="15063"/>
    <cellStyle name="Calc Percent (2) 18 5" xfId="15990"/>
    <cellStyle name="Calc Percent (2) 18 6" xfId="16920"/>
    <cellStyle name="Calc Percent (2) 18 7" xfId="17828"/>
    <cellStyle name="Calc Percent (2) 18 8" xfId="18718"/>
    <cellStyle name="Calc Percent (2) 18 9" xfId="19596"/>
    <cellStyle name="Calc Percent (2) 19" xfId="10861"/>
    <cellStyle name="Calc Percent (2) 19 10" xfId="20537"/>
    <cellStyle name="Calc Percent (2) 19 11" xfId="21373"/>
    <cellStyle name="Calc Percent (2) 19 12" xfId="22167"/>
    <cellStyle name="Calc Percent (2) 19 13" xfId="26731"/>
    <cellStyle name="Calc Percent (2) 19 14" xfId="30060"/>
    <cellStyle name="Calc Percent (2) 19 15" xfId="31835"/>
    <cellStyle name="Calc Percent (2) 19 16" xfId="33591"/>
    <cellStyle name="Calc Percent (2) 19 17" xfId="35304"/>
    <cellStyle name="Calc Percent (2) 19 18" xfId="36950"/>
    <cellStyle name="Calc Percent (2) 19 19" xfId="38511"/>
    <cellStyle name="Calc Percent (2) 19 2" xfId="13087"/>
    <cellStyle name="Calc Percent (2) 19 20" xfId="39951"/>
    <cellStyle name="Calc Percent (2) 19 21" xfId="41204"/>
    <cellStyle name="Calc Percent (2) 19 22" xfId="42260"/>
    <cellStyle name="Calc Percent (2) 19 3" xfId="14213"/>
    <cellStyle name="Calc Percent (2) 19 4" xfId="15142"/>
    <cellStyle name="Calc Percent (2) 19 5" xfId="16070"/>
    <cellStyle name="Calc Percent (2) 19 6" xfId="17000"/>
    <cellStyle name="Calc Percent (2) 19 7" xfId="17908"/>
    <cellStyle name="Calc Percent (2) 19 8" xfId="18798"/>
    <cellStyle name="Calc Percent (2) 19 9" xfId="19676"/>
    <cellStyle name="Calc Percent (2) 2" xfId="3683"/>
    <cellStyle name="Calc Percent (2) 2 10" xfId="11526"/>
    <cellStyle name="Calc Percent (2) 2 11" xfId="11236"/>
    <cellStyle name="Calc Percent (2) 2 12" xfId="12287"/>
    <cellStyle name="Calc Percent (2) 2 13" xfId="11933"/>
    <cellStyle name="Calc Percent (2) 2 14" xfId="12728"/>
    <cellStyle name="Calc Percent (2) 2 15" xfId="12360"/>
    <cellStyle name="Calc Percent (2) 2 16" xfId="14825"/>
    <cellStyle name="Calc Percent (2) 2 17" xfId="16510"/>
    <cellStyle name="Calc Percent (2) 2 18" xfId="17439"/>
    <cellStyle name="Calc Percent (2) 2 19" xfId="18348"/>
    <cellStyle name="Calc Percent (2) 2 2" xfId="3983"/>
    <cellStyle name="Calc Percent (2) 2 2 2" xfId="9573"/>
    <cellStyle name="Calc Percent (2) 2 2 3" xfId="9405"/>
    <cellStyle name="Calc Percent (2) 2 20" xfId="19356"/>
    <cellStyle name="Calc Percent (2) 2 21" xfId="16639"/>
    <cellStyle name="Calc Percent (2) 2 22" xfId="17457"/>
    <cellStyle name="Calc Percent (2) 2 23" xfId="23025"/>
    <cellStyle name="Calc Percent (2) 2 24" xfId="22882"/>
    <cellStyle name="Calc Percent (2) 2 25" xfId="28724"/>
    <cellStyle name="Calc Percent (2) 2 26" xfId="30513"/>
    <cellStyle name="Calc Percent (2) 2 27" xfId="32288"/>
    <cellStyle name="Calc Percent (2) 2 28" xfId="34041"/>
    <cellStyle name="Calc Percent (2) 2 29" xfId="35751"/>
    <cellStyle name="Calc Percent (2) 2 3" xfId="10339"/>
    <cellStyle name="Calc Percent (2) 2 30" xfId="37390"/>
    <cellStyle name="Calc Percent (2) 2 31" xfId="38941"/>
    <cellStyle name="Calc Percent (2) 2 32" xfId="40365"/>
    <cellStyle name="Calc Percent (2) 2 33" xfId="8733"/>
    <cellStyle name="Calc Percent (2) 2 4" xfId="10618"/>
    <cellStyle name="Calc Percent (2) 2 5" xfId="10645"/>
    <cellStyle name="Calc Percent (2) 2 6" xfId="11169"/>
    <cellStyle name="Calc Percent (2) 2 7" xfId="11362"/>
    <cellStyle name="Calc Percent (2) 2 8" xfId="11553"/>
    <cellStyle name="Calc Percent (2) 2 9" xfId="11732"/>
    <cellStyle name="Calc Percent (2) 20" xfId="10974"/>
    <cellStyle name="Calc Percent (2) 20 10" xfId="20618"/>
    <cellStyle name="Calc Percent (2) 20 11" xfId="21455"/>
    <cellStyle name="Calc Percent (2) 20 12" xfId="22246"/>
    <cellStyle name="Calc Percent (2) 20 13" xfId="26479"/>
    <cellStyle name="Calc Percent (2) 20 14" xfId="29810"/>
    <cellStyle name="Calc Percent (2) 20 15" xfId="31585"/>
    <cellStyle name="Calc Percent (2) 20 16" xfId="33344"/>
    <cellStyle name="Calc Percent (2) 20 17" xfId="35060"/>
    <cellStyle name="Calc Percent (2) 20 18" xfId="36711"/>
    <cellStyle name="Calc Percent (2) 20 19" xfId="38280"/>
    <cellStyle name="Calc Percent (2) 20 2" xfId="13169"/>
    <cellStyle name="Calc Percent (2) 20 20" xfId="39730"/>
    <cellStyle name="Calc Percent (2) 20 21" xfId="40997"/>
    <cellStyle name="Calc Percent (2) 20 22" xfId="42071"/>
    <cellStyle name="Calc Percent (2) 20 3" xfId="14295"/>
    <cellStyle name="Calc Percent (2) 20 4" xfId="15223"/>
    <cellStyle name="Calc Percent (2) 20 5" xfId="16152"/>
    <cellStyle name="Calc Percent (2) 20 6" xfId="17082"/>
    <cellStyle name="Calc Percent (2) 20 7" xfId="17990"/>
    <cellStyle name="Calc Percent (2) 20 8" xfId="18880"/>
    <cellStyle name="Calc Percent (2) 20 9" xfId="19758"/>
    <cellStyle name="Calc Percent (2) 21" xfId="11165"/>
    <cellStyle name="Calc Percent (2) 21 10" xfId="20695"/>
    <cellStyle name="Calc Percent (2) 21 11" xfId="21533"/>
    <cellStyle name="Calc Percent (2) 21 12" xfId="22321"/>
    <cellStyle name="Calc Percent (2) 21 13" xfId="26837"/>
    <cellStyle name="Calc Percent (2) 21 14" xfId="30165"/>
    <cellStyle name="Calc Percent (2) 21 15" xfId="31940"/>
    <cellStyle name="Calc Percent (2) 21 16" xfId="33695"/>
    <cellStyle name="Calc Percent (2) 21 17" xfId="35408"/>
    <cellStyle name="Calc Percent (2) 21 18" xfId="37053"/>
    <cellStyle name="Calc Percent (2) 21 19" xfId="38610"/>
    <cellStyle name="Calc Percent (2) 21 2" xfId="13247"/>
    <cellStyle name="Calc Percent (2) 21 20" xfId="40044"/>
    <cellStyle name="Calc Percent (2) 21 21" xfId="41292"/>
    <cellStyle name="Calc Percent (2) 21 22" xfId="42343"/>
    <cellStyle name="Calc Percent (2) 21 3" xfId="14372"/>
    <cellStyle name="Calc Percent (2) 21 4" xfId="15300"/>
    <cellStyle name="Calc Percent (2) 21 5" xfId="16230"/>
    <cellStyle name="Calc Percent (2) 21 6" xfId="17160"/>
    <cellStyle name="Calc Percent (2) 21 7" xfId="18068"/>
    <cellStyle name="Calc Percent (2) 21 8" xfId="18958"/>
    <cellStyle name="Calc Percent (2) 21 9" xfId="19835"/>
    <cellStyle name="Calc Percent (2) 22" xfId="12055"/>
    <cellStyle name="Calc Percent (2) 22 10" xfId="20775"/>
    <cellStyle name="Calc Percent (2) 22 11" xfId="21613"/>
    <cellStyle name="Calc Percent (2) 22 12" xfId="22399"/>
    <cellStyle name="Calc Percent (2) 22 13" xfId="26364"/>
    <cellStyle name="Calc Percent (2) 22 14" xfId="29695"/>
    <cellStyle name="Calc Percent (2) 22 15" xfId="31470"/>
    <cellStyle name="Calc Percent (2) 22 16" xfId="33231"/>
    <cellStyle name="Calc Percent (2) 22 17" xfId="34949"/>
    <cellStyle name="Calc Percent (2) 22 18" xfId="36602"/>
    <cellStyle name="Calc Percent (2) 22 19" xfId="38176"/>
    <cellStyle name="Calc Percent (2) 22 2" xfId="13328"/>
    <cellStyle name="Calc Percent (2) 22 20" xfId="39629"/>
    <cellStyle name="Calc Percent (2) 22 21" xfId="40901"/>
    <cellStyle name="Calc Percent (2) 22 22" xfId="41980"/>
    <cellStyle name="Calc Percent (2) 22 3" xfId="14452"/>
    <cellStyle name="Calc Percent (2) 22 4" xfId="15381"/>
    <cellStyle name="Calc Percent (2) 22 5" xfId="16310"/>
    <cellStyle name="Calc Percent (2) 22 6" xfId="17240"/>
    <cellStyle name="Calc Percent (2) 22 7" xfId="18148"/>
    <cellStyle name="Calc Percent (2) 22 8" xfId="19038"/>
    <cellStyle name="Calc Percent (2) 22 9" xfId="19915"/>
    <cellStyle name="Calc Percent (2) 23" xfId="12140"/>
    <cellStyle name="Calc Percent (2) 23 10" xfId="20854"/>
    <cellStyle name="Calc Percent (2) 23 11" xfId="21693"/>
    <cellStyle name="Calc Percent (2) 23 12" xfId="22477"/>
    <cellStyle name="Calc Percent (2) 23 2" xfId="13408"/>
    <cellStyle name="Calc Percent (2) 23 3" xfId="14532"/>
    <cellStyle name="Calc Percent (2) 23 4" xfId="15459"/>
    <cellStyle name="Calc Percent (2) 23 5" xfId="16390"/>
    <cellStyle name="Calc Percent (2) 23 6" xfId="17320"/>
    <cellStyle name="Calc Percent (2) 23 7" xfId="18228"/>
    <cellStyle name="Calc Percent (2) 23 8" xfId="19118"/>
    <cellStyle name="Calc Percent (2) 23 9" xfId="19995"/>
    <cellStyle name="Calc Percent (2) 24" xfId="10291"/>
    <cellStyle name="Calc Percent (2) 24 10" xfId="20932"/>
    <cellStyle name="Calc Percent (2) 24 11" xfId="21773"/>
    <cellStyle name="Calc Percent (2) 24 12" xfId="22555"/>
    <cellStyle name="Calc Percent (2) 24 2" xfId="13488"/>
    <cellStyle name="Calc Percent (2) 24 3" xfId="14611"/>
    <cellStyle name="Calc Percent (2) 24 4" xfId="15539"/>
    <cellStyle name="Calc Percent (2) 24 5" xfId="16470"/>
    <cellStyle name="Calc Percent (2) 24 6" xfId="17400"/>
    <cellStyle name="Calc Percent (2) 24 7" xfId="18308"/>
    <cellStyle name="Calc Percent (2) 24 8" xfId="19198"/>
    <cellStyle name="Calc Percent (2) 24 9" xfId="20074"/>
    <cellStyle name="Calc Percent (2) 25" xfId="13568"/>
    <cellStyle name="Calc Percent (2) 26" xfId="13648"/>
    <cellStyle name="Calc Percent (2) 27" xfId="12406"/>
    <cellStyle name="Calc Percent (2) 28" xfId="12549"/>
    <cellStyle name="Calc Percent (2) 29" xfId="15807"/>
    <cellStyle name="Calc Percent (2) 3" xfId="3684"/>
    <cellStyle name="Calc Percent (2) 3 2" xfId="3984"/>
    <cellStyle name="Calc Percent (2) 3 2 2" xfId="8719"/>
    <cellStyle name="Calc Percent (2) 30" xfId="13926"/>
    <cellStyle name="Calc Percent (2) 31" xfId="13889"/>
    <cellStyle name="Calc Percent (2) 32" xfId="14847"/>
    <cellStyle name="Calc Percent (2) 33" xfId="13844"/>
    <cellStyle name="Calc Percent (2) 34" xfId="18555"/>
    <cellStyle name="Calc Percent (2) 35" xfId="21166"/>
    <cellStyle name="Calc Percent (2) 36" xfId="16655"/>
    <cellStyle name="Calc Percent (2) 37" xfId="22834"/>
    <cellStyle name="Calc Percent (2) 38" xfId="23654"/>
    <cellStyle name="Calc Percent (2) 39" xfId="28910"/>
    <cellStyle name="Calc Percent (2) 4" xfId="8847"/>
    <cellStyle name="Calc Percent (2) 40" xfId="30696"/>
    <cellStyle name="Calc Percent (2) 41" xfId="32469"/>
    <cellStyle name="Calc Percent (2) 42" xfId="34219"/>
    <cellStyle name="Calc Percent (2) 43" xfId="35919"/>
    <cellStyle name="Calc Percent (2) 44" xfId="37546"/>
    <cellStyle name="Calc Percent (2) 45" xfId="39081"/>
    <cellStyle name="Calc Percent (2) 46" xfId="40490"/>
    <cellStyle name="Calc Percent (2) 47" xfId="7826"/>
    <cellStyle name="Calc Percent (2) 5" xfId="8832"/>
    <cellStyle name="Calc Percent (2) 6" xfId="8924"/>
    <cellStyle name="Calc Percent (2) 7" xfId="9002"/>
    <cellStyle name="Calc Percent (2) 8" xfId="9271"/>
    <cellStyle name="Calc Percent (2) 9" xfId="9664"/>
    <cellStyle name="Calc Units (0)" xfId="3685"/>
    <cellStyle name="Calc Units (0) 10" xfId="9694"/>
    <cellStyle name="Calc Units (0) 11" xfId="9720"/>
    <cellStyle name="Calc Units (0) 12" xfId="9869"/>
    <cellStyle name="Calc Units (0) 13" xfId="9932"/>
    <cellStyle name="Calc Units (0) 14" xfId="10016"/>
    <cellStyle name="Calc Units (0) 15" xfId="9413"/>
    <cellStyle name="Calc Units (0) 15 10" xfId="11936"/>
    <cellStyle name="Calc Units (0) 15 11" xfId="20277"/>
    <cellStyle name="Calc Units (0) 15 12" xfId="16814"/>
    <cellStyle name="Calc Units (0) 15 13" xfId="26712"/>
    <cellStyle name="Calc Units (0) 15 14" xfId="30041"/>
    <cellStyle name="Calc Units (0) 15 15" xfId="31816"/>
    <cellStyle name="Calc Units (0) 15 16" xfId="33572"/>
    <cellStyle name="Calc Units (0) 15 17" xfId="35285"/>
    <cellStyle name="Calc Units (0) 15 18" xfId="36931"/>
    <cellStyle name="Calc Units (0) 15 19" xfId="38492"/>
    <cellStyle name="Calc Units (0) 15 2" xfId="12799"/>
    <cellStyle name="Calc Units (0) 15 20" xfId="39932"/>
    <cellStyle name="Calc Units (0) 15 21" xfId="41185"/>
    <cellStyle name="Calc Units (0) 15 22" xfId="42241"/>
    <cellStyle name="Calc Units (0) 15 3" xfId="13918"/>
    <cellStyle name="Calc Units (0) 15 4" xfId="12118"/>
    <cellStyle name="Calc Units (0) 15 5" xfId="12380"/>
    <cellStyle name="Calc Units (0) 15 6" xfId="14850"/>
    <cellStyle name="Calc Units (0) 15 7" xfId="12593"/>
    <cellStyle name="Calc Units (0) 15 8" xfId="13861"/>
    <cellStyle name="Calc Units (0) 15 9" xfId="13952"/>
    <cellStyle name="Calc Units (0) 16" xfId="10650"/>
    <cellStyle name="Calc Units (0) 16 10" xfId="12030"/>
    <cellStyle name="Calc Units (0) 16 11" xfId="14795"/>
    <cellStyle name="Calc Units (0) 16 12" xfId="21184"/>
    <cellStyle name="Calc Units (0) 16 13" xfId="26498"/>
    <cellStyle name="Calc Units (0) 16 14" xfId="29829"/>
    <cellStyle name="Calc Units (0) 16 15" xfId="31604"/>
    <cellStyle name="Calc Units (0) 16 16" xfId="33363"/>
    <cellStyle name="Calc Units (0) 16 17" xfId="35079"/>
    <cellStyle name="Calc Units (0) 16 18" xfId="36730"/>
    <cellStyle name="Calc Units (0) 16 19" xfId="38299"/>
    <cellStyle name="Calc Units (0) 16 2" xfId="12850"/>
    <cellStyle name="Calc Units (0) 16 20" xfId="39749"/>
    <cellStyle name="Calc Units (0) 16 21" xfId="41016"/>
    <cellStyle name="Calc Units (0) 16 22" xfId="42090"/>
    <cellStyle name="Calc Units (0) 16 3" xfId="13970"/>
    <cellStyle name="Calc Units (0) 16 4" xfId="13938"/>
    <cellStyle name="Calc Units (0) 16 5" xfId="12605"/>
    <cellStyle name="Calc Units (0) 16 6" xfId="15869"/>
    <cellStyle name="Calc Units (0) 16 7" xfId="16796"/>
    <cellStyle name="Calc Units (0) 16 8" xfId="17708"/>
    <cellStyle name="Calc Units (0) 16 9" xfId="18601"/>
    <cellStyle name="Calc Units (0) 17" xfId="9365"/>
    <cellStyle name="Calc Units (0) 17 10" xfId="20379"/>
    <cellStyle name="Calc Units (0) 17 11" xfId="21218"/>
    <cellStyle name="Calc Units (0) 17 12" xfId="22021"/>
    <cellStyle name="Calc Units (0) 17 13" xfId="26826"/>
    <cellStyle name="Calc Units (0) 17 14" xfId="30154"/>
    <cellStyle name="Calc Units (0) 17 15" xfId="31929"/>
    <cellStyle name="Calc Units (0) 17 16" xfId="33684"/>
    <cellStyle name="Calc Units (0) 17 17" xfId="35397"/>
    <cellStyle name="Calc Units (0) 17 18" xfId="37042"/>
    <cellStyle name="Calc Units (0) 17 19" xfId="38599"/>
    <cellStyle name="Calc Units (0) 17 2" xfId="12930"/>
    <cellStyle name="Calc Units (0) 17 20" xfId="40033"/>
    <cellStyle name="Calc Units (0) 17 21" xfId="41281"/>
    <cellStyle name="Calc Units (0) 17 22" xfId="42332"/>
    <cellStyle name="Calc Units (0) 17 3" xfId="14056"/>
    <cellStyle name="Calc Units (0) 17 4" xfId="14986"/>
    <cellStyle name="Calc Units (0) 17 5" xfId="15914"/>
    <cellStyle name="Calc Units (0) 17 6" xfId="16843"/>
    <cellStyle name="Calc Units (0) 17 7" xfId="17752"/>
    <cellStyle name="Calc Units (0) 17 8" xfId="18642"/>
    <cellStyle name="Calc Units (0) 17 9" xfId="19521"/>
    <cellStyle name="Calc Units (0) 18" xfId="10571"/>
    <cellStyle name="Calc Units (0) 18 10" xfId="20456"/>
    <cellStyle name="Calc Units (0) 18 11" xfId="21292"/>
    <cellStyle name="Calc Units (0) 18 12" xfId="22089"/>
    <cellStyle name="Calc Units (0) 18 13" xfId="26375"/>
    <cellStyle name="Calc Units (0) 18 14" xfId="29706"/>
    <cellStyle name="Calc Units (0) 18 15" xfId="31481"/>
    <cellStyle name="Calc Units (0) 18 16" xfId="33242"/>
    <cellStyle name="Calc Units (0) 18 17" xfId="34960"/>
    <cellStyle name="Calc Units (0) 18 18" xfId="36613"/>
    <cellStyle name="Calc Units (0) 18 19" xfId="38187"/>
    <cellStyle name="Calc Units (0) 18 2" xfId="13006"/>
    <cellStyle name="Calc Units (0) 18 20" xfId="39640"/>
    <cellStyle name="Calc Units (0) 18 21" xfId="40912"/>
    <cellStyle name="Calc Units (0) 18 22" xfId="41991"/>
    <cellStyle name="Calc Units (0) 18 3" xfId="14132"/>
    <cellStyle name="Calc Units (0) 18 4" xfId="15062"/>
    <cellStyle name="Calc Units (0) 18 5" xfId="15989"/>
    <cellStyle name="Calc Units (0) 18 6" xfId="16919"/>
    <cellStyle name="Calc Units (0) 18 7" xfId="17827"/>
    <cellStyle name="Calc Units (0) 18 8" xfId="18717"/>
    <cellStyle name="Calc Units (0) 18 9" xfId="19595"/>
    <cellStyle name="Calc Units (0) 19" xfId="10812"/>
    <cellStyle name="Calc Units (0) 19 10" xfId="20520"/>
    <cellStyle name="Calc Units (0) 19 11" xfId="21356"/>
    <cellStyle name="Calc Units (0) 19 12" xfId="22150"/>
    <cellStyle name="Calc Units (0) 19 13" xfId="26730"/>
    <cellStyle name="Calc Units (0) 19 14" xfId="30059"/>
    <cellStyle name="Calc Units (0) 19 15" xfId="31834"/>
    <cellStyle name="Calc Units (0) 19 16" xfId="33590"/>
    <cellStyle name="Calc Units (0) 19 17" xfId="35303"/>
    <cellStyle name="Calc Units (0) 19 18" xfId="36949"/>
    <cellStyle name="Calc Units (0) 19 19" xfId="38510"/>
    <cellStyle name="Calc Units (0) 19 2" xfId="13070"/>
    <cellStyle name="Calc Units (0) 19 20" xfId="39950"/>
    <cellStyle name="Calc Units (0) 19 21" xfId="41203"/>
    <cellStyle name="Calc Units (0) 19 22" xfId="42259"/>
    <cellStyle name="Calc Units (0) 19 3" xfId="14196"/>
    <cellStyle name="Calc Units (0) 19 4" xfId="15125"/>
    <cellStyle name="Calc Units (0) 19 5" xfId="16053"/>
    <cellStyle name="Calc Units (0) 19 6" xfId="16983"/>
    <cellStyle name="Calc Units (0) 19 7" xfId="17891"/>
    <cellStyle name="Calc Units (0) 19 8" xfId="18781"/>
    <cellStyle name="Calc Units (0) 19 9" xfId="19659"/>
    <cellStyle name="Calc Units (0) 2" xfId="3686"/>
    <cellStyle name="Calc Units (0) 2 10" xfId="11350"/>
    <cellStyle name="Calc Units (0) 2 11" xfId="11904"/>
    <cellStyle name="Calc Units (0) 2 12" xfId="12187"/>
    <cellStyle name="Calc Units (0) 2 13" xfId="11007"/>
    <cellStyle name="Calc Units (0) 2 14" xfId="12705"/>
    <cellStyle name="Calc Units (0) 2 15" xfId="12829"/>
    <cellStyle name="Calc Units (0) 2 16" xfId="12457"/>
    <cellStyle name="Calc Units (0) 2 17" xfId="16641"/>
    <cellStyle name="Calc Units (0) 2 18" xfId="17570"/>
    <cellStyle name="Calc Units (0) 2 19" xfId="18472"/>
    <cellStyle name="Calc Units (0) 2 2" xfId="3985"/>
    <cellStyle name="Calc Units (0) 2 2 2" xfId="9574"/>
    <cellStyle name="Calc Units (0) 2 2 3" xfId="9406"/>
    <cellStyle name="Calc Units (0) 2 20" xfId="14843"/>
    <cellStyle name="Calc Units (0) 2 21" xfId="17456"/>
    <cellStyle name="Calc Units (0) 2 22" xfId="20295"/>
    <cellStyle name="Calc Units (0) 2 23" xfId="23026"/>
    <cellStyle name="Calc Units (0) 2 24" xfId="23627"/>
    <cellStyle name="Calc Units (0) 2 25" xfId="28723"/>
    <cellStyle name="Calc Units (0) 2 26" xfId="30512"/>
    <cellStyle name="Calc Units (0) 2 27" xfId="32287"/>
    <cellStyle name="Calc Units (0) 2 28" xfId="34040"/>
    <cellStyle name="Calc Units (0) 2 29" xfId="35750"/>
    <cellStyle name="Calc Units (0) 2 3" xfId="10340"/>
    <cellStyle name="Calc Units (0) 2 30" xfId="37389"/>
    <cellStyle name="Calc Units (0) 2 31" xfId="38940"/>
    <cellStyle name="Calc Units (0) 2 32" xfId="40364"/>
    <cellStyle name="Calc Units (0) 2 33" xfId="8734"/>
    <cellStyle name="Calc Units (0) 2 34" xfId="7710"/>
    <cellStyle name="Calc Units (0) 2 4" xfId="10541"/>
    <cellStyle name="Calc Units (0) 2 5" xfId="10436"/>
    <cellStyle name="Calc Units (0) 2 6" xfId="10835"/>
    <cellStyle name="Calc Units (0) 2 7" xfId="10770"/>
    <cellStyle name="Calc Units (0) 2 8" xfId="10600"/>
    <cellStyle name="Calc Units (0) 2 9" xfId="11107"/>
    <cellStyle name="Calc Units (0) 20" xfId="10825"/>
    <cellStyle name="Calc Units (0) 20 10" xfId="20617"/>
    <cellStyle name="Calc Units (0) 20 11" xfId="21454"/>
    <cellStyle name="Calc Units (0) 20 12" xfId="22245"/>
    <cellStyle name="Calc Units (0) 20 13" xfId="26480"/>
    <cellStyle name="Calc Units (0) 20 14" xfId="29811"/>
    <cellStyle name="Calc Units (0) 20 15" xfId="31586"/>
    <cellStyle name="Calc Units (0) 20 16" xfId="33345"/>
    <cellStyle name="Calc Units (0) 20 17" xfId="35061"/>
    <cellStyle name="Calc Units (0) 20 18" xfId="36712"/>
    <cellStyle name="Calc Units (0) 20 19" xfId="38281"/>
    <cellStyle name="Calc Units (0) 20 2" xfId="13168"/>
    <cellStyle name="Calc Units (0) 20 20" xfId="39731"/>
    <cellStyle name="Calc Units (0) 20 21" xfId="40998"/>
    <cellStyle name="Calc Units (0) 20 22" xfId="42072"/>
    <cellStyle name="Calc Units (0) 20 3" xfId="14294"/>
    <cellStyle name="Calc Units (0) 20 4" xfId="15222"/>
    <cellStyle name="Calc Units (0) 20 5" xfId="16151"/>
    <cellStyle name="Calc Units (0) 20 6" xfId="17081"/>
    <cellStyle name="Calc Units (0) 20 7" xfId="17989"/>
    <cellStyle name="Calc Units (0) 20 8" xfId="18879"/>
    <cellStyle name="Calc Units (0) 20 9" xfId="19757"/>
    <cellStyle name="Calc Units (0) 21" xfId="10769"/>
    <cellStyle name="Calc Units (0) 21 10" xfId="20694"/>
    <cellStyle name="Calc Units (0) 21 11" xfId="21532"/>
    <cellStyle name="Calc Units (0) 21 12" xfId="22320"/>
    <cellStyle name="Calc Units (0) 21 13" xfId="26836"/>
    <cellStyle name="Calc Units (0) 21 14" xfId="30164"/>
    <cellStyle name="Calc Units (0) 21 15" xfId="31939"/>
    <cellStyle name="Calc Units (0) 21 16" xfId="33694"/>
    <cellStyle name="Calc Units (0) 21 17" xfId="35407"/>
    <cellStyle name="Calc Units (0) 21 18" xfId="37052"/>
    <cellStyle name="Calc Units (0) 21 19" xfId="38609"/>
    <cellStyle name="Calc Units (0) 21 2" xfId="13246"/>
    <cellStyle name="Calc Units (0) 21 20" xfId="40043"/>
    <cellStyle name="Calc Units (0) 21 21" xfId="41291"/>
    <cellStyle name="Calc Units (0) 21 22" xfId="42342"/>
    <cellStyle name="Calc Units (0) 21 3" xfId="14371"/>
    <cellStyle name="Calc Units (0) 21 4" xfId="15299"/>
    <cellStyle name="Calc Units (0) 21 5" xfId="16229"/>
    <cellStyle name="Calc Units (0) 21 6" xfId="17159"/>
    <cellStyle name="Calc Units (0) 21 7" xfId="18067"/>
    <cellStyle name="Calc Units (0) 21 8" xfId="18957"/>
    <cellStyle name="Calc Units (0) 21 9" xfId="19834"/>
    <cellStyle name="Calc Units (0) 22" xfId="11752"/>
    <cellStyle name="Calc Units (0) 22 10" xfId="20774"/>
    <cellStyle name="Calc Units (0) 22 11" xfId="21612"/>
    <cellStyle name="Calc Units (0) 22 12" xfId="22398"/>
    <cellStyle name="Calc Units (0) 22 13" xfId="26365"/>
    <cellStyle name="Calc Units (0) 22 14" xfId="29696"/>
    <cellStyle name="Calc Units (0) 22 15" xfId="31471"/>
    <cellStyle name="Calc Units (0) 22 16" xfId="33232"/>
    <cellStyle name="Calc Units (0) 22 17" xfId="34950"/>
    <cellStyle name="Calc Units (0) 22 18" xfId="36603"/>
    <cellStyle name="Calc Units (0) 22 19" xfId="38177"/>
    <cellStyle name="Calc Units (0) 22 2" xfId="13327"/>
    <cellStyle name="Calc Units (0) 22 20" xfId="39630"/>
    <cellStyle name="Calc Units (0) 22 21" xfId="40902"/>
    <cellStyle name="Calc Units (0) 22 22" xfId="41981"/>
    <cellStyle name="Calc Units (0) 22 3" xfId="14451"/>
    <cellStyle name="Calc Units (0) 22 4" xfId="15380"/>
    <cellStyle name="Calc Units (0) 22 5" xfId="16309"/>
    <cellStyle name="Calc Units (0) 22 6" xfId="17239"/>
    <cellStyle name="Calc Units (0) 22 7" xfId="18147"/>
    <cellStyle name="Calc Units (0) 22 8" xfId="19037"/>
    <cellStyle name="Calc Units (0) 22 9" xfId="19914"/>
    <cellStyle name="Calc Units (0) 23" xfId="11364"/>
    <cellStyle name="Calc Units (0) 23 10" xfId="20853"/>
    <cellStyle name="Calc Units (0) 23 11" xfId="21692"/>
    <cellStyle name="Calc Units (0) 23 12" xfId="22476"/>
    <cellStyle name="Calc Units (0) 23 2" xfId="13407"/>
    <cellStyle name="Calc Units (0) 23 3" xfId="14531"/>
    <cellStyle name="Calc Units (0) 23 4" xfId="15458"/>
    <cellStyle name="Calc Units (0) 23 5" xfId="16389"/>
    <cellStyle name="Calc Units (0) 23 6" xfId="17319"/>
    <cellStyle name="Calc Units (0) 23 7" xfId="18227"/>
    <cellStyle name="Calc Units (0) 23 8" xfId="19117"/>
    <cellStyle name="Calc Units (0) 23 9" xfId="19994"/>
    <cellStyle name="Calc Units (0) 24" xfId="12427"/>
    <cellStyle name="Calc Units (0) 24 10" xfId="20931"/>
    <cellStyle name="Calc Units (0) 24 11" xfId="21772"/>
    <cellStyle name="Calc Units (0) 24 12" xfId="22554"/>
    <cellStyle name="Calc Units (0) 24 2" xfId="13487"/>
    <cellStyle name="Calc Units (0) 24 3" xfId="14610"/>
    <cellStyle name="Calc Units (0) 24 4" xfId="15538"/>
    <cellStyle name="Calc Units (0) 24 5" xfId="16469"/>
    <cellStyle name="Calc Units (0) 24 6" xfId="17399"/>
    <cellStyle name="Calc Units (0) 24 7" xfId="18307"/>
    <cellStyle name="Calc Units (0) 24 8" xfId="19197"/>
    <cellStyle name="Calc Units (0) 24 9" xfId="20073"/>
    <cellStyle name="Calc Units (0) 25" xfId="13567"/>
    <cellStyle name="Calc Units (0) 26" xfId="13647"/>
    <cellStyle name="Calc Units (0) 27" xfId="11891"/>
    <cellStyle name="Calc Units (0) 28" xfId="14912"/>
    <cellStyle name="Calc Units (0) 29" xfId="15001"/>
    <cellStyle name="Calc Units (0) 3" xfId="3687"/>
    <cellStyle name="Calc Units (0) 3 2" xfId="3986"/>
    <cellStyle name="Calc Units (0) 3 2 2" xfId="8718"/>
    <cellStyle name="Calc Units (0) 3 3" xfId="7711"/>
    <cellStyle name="Calc Units (0) 30" xfId="12690"/>
    <cellStyle name="Calc Units (0) 31" xfId="12213"/>
    <cellStyle name="Calc Units (0) 32" xfId="16741"/>
    <cellStyle name="Calc Units (0) 33" xfId="17655"/>
    <cellStyle name="Calc Units (0) 34" xfId="20319"/>
    <cellStyle name="Calc Units (0) 35" xfId="21147"/>
    <cellStyle name="Calc Units (0) 36" xfId="20281"/>
    <cellStyle name="Calc Units (0) 37" xfId="22835"/>
    <cellStyle name="Calc Units (0) 38" xfId="23589"/>
    <cellStyle name="Calc Units (0) 39" xfId="28909"/>
    <cellStyle name="Calc Units (0) 4" xfId="8846"/>
    <cellStyle name="Calc Units (0) 40" xfId="30695"/>
    <cellStyle name="Calc Units (0) 41" xfId="32468"/>
    <cellStyle name="Calc Units (0) 42" xfId="34218"/>
    <cellStyle name="Calc Units (0) 43" xfId="35918"/>
    <cellStyle name="Calc Units (0) 44" xfId="37545"/>
    <cellStyle name="Calc Units (0) 45" xfId="39080"/>
    <cellStyle name="Calc Units (0) 46" xfId="40489"/>
    <cellStyle name="Calc Units (0) 47" xfId="7827"/>
    <cellStyle name="Calc Units (0) 48" xfId="7709"/>
    <cellStyle name="Calc Units (0) 5" xfId="8831"/>
    <cellStyle name="Calc Units (0) 6" xfId="8922"/>
    <cellStyle name="Calc Units (0) 7" xfId="9000"/>
    <cellStyle name="Calc Units (0) 8" xfId="9272"/>
    <cellStyle name="Calc Units (0) 9" xfId="9663"/>
    <cellStyle name="Calc Units (1)" xfId="3688"/>
    <cellStyle name="Calc Units (1) 10" xfId="9691"/>
    <cellStyle name="Calc Units (1) 11" xfId="9670"/>
    <cellStyle name="Calc Units (1) 12" xfId="9870"/>
    <cellStyle name="Calc Units (1) 13" xfId="9933"/>
    <cellStyle name="Calc Units (1) 14" xfId="10017"/>
    <cellStyle name="Calc Units (1) 15" xfId="9412"/>
    <cellStyle name="Calc Units (1) 15 10" xfId="18345"/>
    <cellStyle name="Calc Units (1) 15 11" xfId="12556"/>
    <cellStyle name="Calc Units (1) 15 12" xfId="21153"/>
    <cellStyle name="Calc Units (1) 15 13" xfId="26711"/>
    <cellStyle name="Calc Units (1) 15 14" xfId="30040"/>
    <cellStyle name="Calc Units (1) 15 15" xfId="31815"/>
    <cellStyle name="Calc Units (1) 15 16" xfId="33571"/>
    <cellStyle name="Calc Units (1) 15 17" xfId="35284"/>
    <cellStyle name="Calc Units (1) 15 18" xfId="36930"/>
    <cellStyle name="Calc Units (1) 15 19" xfId="38491"/>
    <cellStyle name="Calc Units (1) 15 2" xfId="12783"/>
    <cellStyle name="Calc Units (1) 15 20" xfId="39931"/>
    <cellStyle name="Calc Units (1) 15 21" xfId="41184"/>
    <cellStyle name="Calc Units (1) 15 22" xfId="42240"/>
    <cellStyle name="Calc Units (1) 15 3" xfId="13904"/>
    <cellStyle name="Calc Units (1) 15 4" xfId="12791"/>
    <cellStyle name="Calc Units (1) 15 5" xfId="12871"/>
    <cellStyle name="Calc Units (1) 15 6" xfId="15775"/>
    <cellStyle name="Calc Units (1) 15 7" xfId="11740"/>
    <cellStyle name="Calc Units (1) 15 8" xfId="16738"/>
    <cellStyle name="Calc Units (1) 15 9" xfId="17651"/>
    <cellStyle name="Calc Units (1) 16" xfId="10572"/>
    <cellStyle name="Calc Units (1) 16 10" xfId="20274"/>
    <cellStyle name="Calc Units (1) 16 11" xfId="20340"/>
    <cellStyle name="Calc Units (1) 16 12" xfId="21969"/>
    <cellStyle name="Calc Units (1) 16 13" xfId="26499"/>
    <cellStyle name="Calc Units (1) 16 14" xfId="29830"/>
    <cellStyle name="Calc Units (1) 16 15" xfId="31605"/>
    <cellStyle name="Calc Units (1) 16 16" xfId="33364"/>
    <cellStyle name="Calc Units (1) 16 17" xfId="35080"/>
    <cellStyle name="Calc Units (1) 16 18" xfId="36731"/>
    <cellStyle name="Calc Units (1) 16 19" xfId="38300"/>
    <cellStyle name="Calc Units (1) 16 2" xfId="12848"/>
    <cellStyle name="Calc Units (1) 16 20" xfId="39750"/>
    <cellStyle name="Calc Units (1) 16 21" xfId="41017"/>
    <cellStyle name="Calc Units (1) 16 22" xfId="42091"/>
    <cellStyle name="Calc Units (1) 16 3" xfId="13968"/>
    <cellStyle name="Calc Units (1) 16 4" xfId="14842"/>
    <cellStyle name="Calc Units (1) 16 5" xfId="12745"/>
    <cellStyle name="Calc Units (1) 16 6" xfId="16745"/>
    <cellStyle name="Calc Units (1) 16 7" xfId="17659"/>
    <cellStyle name="Calc Units (1) 16 8" xfId="18560"/>
    <cellStyle name="Calc Units (1) 16 9" xfId="19437"/>
    <cellStyle name="Calc Units (1) 17" xfId="10735"/>
    <cellStyle name="Calc Units (1) 17 10" xfId="20365"/>
    <cellStyle name="Calc Units (1) 17 11" xfId="21208"/>
    <cellStyle name="Calc Units (1) 17 12" xfId="22014"/>
    <cellStyle name="Calc Units (1) 17 13" xfId="26825"/>
    <cellStyle name="Calc Units (1) 17 14" xfId="30153"/>
    <cellStyle name="Calc Units (1) 17 15" xfId="31928"/>
    <cellStyle name="Calc Units (1) 17 16" xfId="33683"/>
    <cellStyle name="Calc Units (1) 17 17" xfId="35396"/>
    <cellStyle name="Calc Units (1) 17 18" xfId="37041"/>
    <cellStyle name="Calc Units (1) 17 19" xfId="38598"/>
    <cellStyle name="Calc Units (1) 17 2" xfId="12914"/>
    <cellStyle name="Calc Units (1) 17 20" xfId="40032"/>
    <cellStyle name="Calc Units (1) 17 21" xfId="41280"/>
    <cellStyle name="Calc Units (1) 17 22" xfId="42331"/>
    <cellStyle name="Calc Units (1) 17 3" xfId="14042"/>
    <cellStyle name="Calc Units (1) 17 4" xfId="14970"/>
    <cellStyle name="Calc Units (1) 17 5" xfId="15899"/>
    <cellStyle name="Calc Units (1) 17 6" xfId="16828"/>
    <cellStyle name="Calc Units (1) 17 7" xfId="17738"/>
    <cellStyle name="Calc Units (1) 17 8" xfId="18630"/>
    <cellStyle name="Calc Units (1) 17 9" xfId="19507"/>
    <cellStyle name="Calc Units (1) 18" xfId="10885"/>
    <cellStyle name="Calc Units (1) 18 10" xfId="20439"/>
    <cellStyle name="Calc Units (1) 18 11" xfId="21275"/>
    <cellStyle name="Calc Units (1) 18 12" xfId="22072"/>
    <cellStyle name="Calc Units (1) 18 13" xfId="26376"/>
    <cellStyle name="Calc Units (1) 18 14" xfId="29707"/>
    <cellStyle name="Calc Units (1) 18 15" xfId="31482"/>
    <cellStyle name="Calc Units (1) 18 16" xfId="33243"/>
    <cellStyle name="Calc Units (1) 18 17" xfId="34961"/>
    <cellStyle name="Calc Units (1) 18 18" xfId="36614"/>
    <cellStyle name="Calc Units (1) 18 19" xfId="38188"/>
    <cellStyle name="Calc Units (1) 18 2" xfId="12989"/>
    <cellStyle name="Calc Units (1) 18 20" xfId="39641"/>
    <cellStyle name="Calc Units (1) 18 21" xfId="40913"/>
    <cellStyle name="Calc Units (1) 18 22" xfId="41992"/>
    <cellStyle name="Calc Units (1) 18 3" xfId="14115"/>
    <cellStyle name="Calc Units (1) 18 4" xfId="15045"/>
    <cellStyle name="Calc Units (1) 18 5" xfId="15972"/>
    <cellStyle name="Calc Units (1) 18 6" xfId="16902"/>
    <cellStyle name="Calc Units (1) 18 7" xfId="17810"/>
    <cellStyle name="Calc Units (1) 18 8" xfId="18700"/>
    <cellStyle name="Calc Units (1) 18 9" xfId="19578"/>
    <cellStyle name="Calc Units (1) 19" xfId="10392"/>
    <cellStyle name="Calc Units (1) 19 10" xfId="20518"/>
    <cellStyle name="Calc Units (1) 19 11" xfId="21354"/>
    <cellStyle name="Calc Units (1) 19 12" xfId="22148"/>
    <cellStyle name="Calc Units (1) 19 13" xfId="26729"/>
    <cellStyle name="Calc Units (1) 19 14" xfId="30058"/>
    <cellStyle name="Calc Units (1) 19 15" xfId="31833"/>
    <cellStyle name="Calc Units (1) 19 16" xfId="33589"/>
    <cellStyle name="Calc Units (1) 19 17" xfId="35302"/>
    <cellStyle name="Calc Units (1) 19 18" xfId="36948"/>
    <cellStyle name="Calc Units (1) 19 19" xfId="38509"/>
    <cellStyle name="Calc Units (1) 19 2" xfId="13068"/>
    <cellStyle name="Calc Units (1) 19 20" xfId="39949"/>
    <cellStyle name="Calc Units (1) 19 21" xfId="41202"/>
    <cellStyle name="Calc Units (1) 19 22" xfId="42258"/>
    <cellStyle name="Calc Units (1) 19 3" xfId="14194"/>
    <cellStyle name="Calc Units (1) 19 4" xfId="15123"/>
    <cellStyle name="Calc Units (1) 19 5" xfId="16051"/>
    <cellStyle name="Calc Units (1) 19 6" xfId="16981"/>
    <cellStyle name="Calc Units (1) 19 7" xfId="17889"/>
    <cellStyle name="Calc Units (1) 19 8" xfId="18779"/>
    <cellStyle name="Calc Units (1) 19 9" xfId="19657"/>
    <cellStyle name="Calc Units (1) 2" xfId="3689"/>
    <cellStyle name="Calc Units (1) 2 10" xfId="11708"/>
    <cellStyle name="Calc Units (1) 2 11" xfId="12155"/>
    <cellStyle name="Calc Units (1) 2 12" xfId="12713"/>
    <cellStyle name="Calc Units (1) 2 13" xfId="11028"/>
    <cellStyle name="Calc Units (1) 2 14" xfId="11228"/>
    <cellStyle name="Calc Units (1) 2 15" xfId="11907"/>
    <cellStyle name="Calc Units (1) 2 16" xfId="14745"/>
    <cellStyle name="Calc Units (1) 2 17" xfId="13960"/>
    <cellStyle name="Calc Units (1) 2 18" xfId="12844"/>
    <cellStyle name="Calc Units (1) 2 19" xfId="11351"/>
    <cellStyle name="Calc Units (1) 2 2" xfId="3987"/>
    <cellStyle name="Calc Units (1) 2 2 2" xfId="9575"/>
    <cellStyle name="Calc Units (1) 2 2 3" xfId="9407"/>
    <cellStyle name="Calc Units (1) 2 20" xfId="12342"/>
    <cellStyle name="Calc Units (1) 2 21" xfId="18619"/>
    <cellStyle name="Calc Units (1) 2 22" xfId="12867"/>
    <cellStyle name="Calc Units (1) 2 23" xfId="23027"/>
    <cellStyle name="Calc Units (1) 2 24" xfId="23558"/>
    <cellStyle name="Calc Units (1) 2 25" xfId="28707"/>
    <cellStyle name="Calc Units (1) 2 26" xfId="30496"/>
    <cellStyle name="Calc Units (1) 2 27" xfId="32271"/>
    <cellStyle name="Calc Units (1) 2 28" xfId="34024"/>
    <cellStyle name="Calc Units (1) 2 29" xfId="35734"/>
    <cellStyle name="Calc Units (1) 2 3" xfId="10341"/>
    <cellStyle name="Calc Units (1) 2 30" xfId="37373"/>
    <cellStyle name="Calc Units (1) 2 31" xfId="38924"/>
    <cellStyle name="Calc Units (1) 2 32" xfId="40348"/>
    <cellStyle name="Calc Units (1) 2 33" xfId="8735"/>
    <cellStyle name="Calc Units (1) 2 4" xfId="10465"/>
    <cellStyle name="Calc Units (1) 2 5" xfId="11053"/>
    <cellStyle name="Calc Units (1) 2 6" xfId="11175"/>
    <cellStyle name="Calc Units (1) 2 7" xfId="11368"/>
    <cellStyle name="Calc Units (1) 2 8" xfId="11558"/>
    <cellStyle name="Calc Units (1) 2 9" xfId="11738"/>
    <cellStyle name="Calc Units (1) 20" xfId="10614"/>
    <cellStyle name="Calc Units (1) 20 10" xfId="20600"/>
    <cellStyle name="Calc Units (1) 20 11" xfId="21437"/>
    <cellStyle name="Calc Units (1) 20 12" xfId="22228"/>
    <cellStyle name="Calc Units (1) 20 13" xfId="26481"/>
    <cellStyle name="Calc Units (1) 20 14" xfId="29812"/>
    <cellStyle name="Calc Units (1) 20 15" xfId="31587"/>
    <cellStyle name="Calc Units (1) 20 16" xfId="33346"/>
    <cellStyle name="Calc Units (1) 20 17" xfId="35062"/>
    <cellStyle name="Calc Units (1) 20 18" xfId="36713"/>
    <cellStyle name="Calc Units (1) 20 19" xfId="38282"/>
    <cellStyle name="Calc Units (1) 20 2" xfId="13151"/>
    <cellStyle name="Calc Units (1) 20 20" xfId="39732"/>
    <cellStyle name="Calc Units (1) 20 21" xfId="40999"/>
    <cellStyle name="Calc Units (1) 20 22" xfId="42073"/>
    <cellStyle name="Calc Units (1) 20 3" xfId="14277"/>
    <cellStyle name="Calc Units (1) 20 4" xfId="15205"/>
    <cellStyle name="Calc Units (1) 20 5" xfId="16134"/>
    <cellStyle name="Calc Units (1) 20 6" xfId="17064"/>
    <cellStyle name="Calc Units (1) 20 7" xfId="17972"/>
    <cellStyle name="Calc Units (1) 20 8" xfId="18862"/>
    <cellStyle name="Calc Units (1) 20 9" xfId="19740"/>
    <cellStyle name="Calc Units (1) 21" xfId="10957"/>
    <cellStyle name="Calc Units (1) 21 10" xfId="20677"/>
    <cellStyle name="Calc Units (1) 21 11" xfId="21515"/>
    <cellStyle name="Calc Units (1) 21 12" xfId="22303"/>
    <cellStyle name="Calc Units (1) 21 13" xfId="26835"/>
    <cellStyle name="Calc Units (1) 21 14" xfId="30163"/>
    <cellStyle name="Calc Units (1) 21 15" xfId="31938"/>
    <cellStyle name="Calc Units (1) 21 16" xfId="33693"/>
    <cellStyle name="Calc Units (1) 21 17" xfId="35406"/>
    <cellStyle name="Calc Units (1) 21 18" xfId="37051"/>
    <cellStyle name="Calc Units (1) 21 19" xfId="38608"/>
    <cellStyle name="Calc Units (1) 21 2" xfId="13229"/>
    <cellStyle name="Calc Units (1) 21 20" xfId="40042"/>
    <cellStyle name="Calc Units (1) 21 21" xfId="41290"/>
    <cellStyle name="Calc Units (1) 21 22" xfId="42341"/>
    <cellStyle name="Calc Units (1) 21 3" xfId="14354"/>
    <cellStyle name="Calc Units (1) 21 4" xfId="15282"/>
    <cellStyle name="Calc Units (1) 21 5" xfId="16212"/>
    <cellStyle name="Calc Units (1) 21 6" xfId="17142"/>
    <cellStyle name="Calc Units (1) 21 7" xfId="18050"/>
    <cellStyle name="Calc Units (1) 21 8" xfId="18940"/>
    <cellStyle name="Calc Units (1) 21 9" xfId="19817"/>
    <cellStyle name="Calc Units (1) 22" xfId="11168"/>
    <cellStyle name="Calc Units (1) 22 10" xfId="20757"/>
    <cellStyle name="Calc Units (1) 22 11" xfId="21595"/>
    <cellStyle name="Calc Units (1) 22 12" xfId="22381"/>
    <cellStyle name="Calc Units (1) 22 13" xfId="26366"/>
    <cellStyle name="Calc Units (1) 22 14" xfId="29697"/>
    <cellStyle name="Calc Units (1) 22 15" xfId="31472"/>
    <cellStyle name="Calc Units (1) 22 16" xfId="33233"/>
    <cellStyle name="Calc Units (1) 22 17" xfId="34951"/>
    <cellStyle name="Calc Units (1) 22 18" xfId="36604"/>
    <cellStyle name="Calc Units (1) 22 19" xfId="38178"/>
    <cellStyle name="Calc Units (1) 22 2" xfId="13310"/>
    <cellStyle name="Calc Units (1) 22 20" xfId="39631"/>
    <cellStyle name="Calc Units (1) 22 21" xfId="40903"/>
    <cellStyle name="Calc Units (1) 22 22" xfId="41982"/>
    <cellStyle name="Calc Units (1) 22 3" xfId="14434"/>
    <cellStyle name="Calc Units (1) 22 4" xfId="15363"/>
    <cellStyle name="Calc Units (1) 22 5" xfId="16292"/>
    <cellStyle name="Calc Units (1) 22 6" xfId="17222"/>
    <cellStyle name="Calc Units (1) 22 7" xfId="18130"/>
    <cellStyle name="Calc Units (1) 22 8" xfId="19020"/>
    <cellStyle name="Calc Units (1) 22 9" xfId="19897"/>
    <cellStyle name="Calc Units (1) 23" xfId="11964"/>
    <cellStyle name="Calc Units (1) 23 10" xfId="20836"/>
    <cellStyle name="Calc Units (1) 23 11" xfId="21675"/>
    <cellStyle name="Calc Units (1) 23 12" xfId="22459"/>
    <cellStyle name="Calc Units (1) 23 2" xfId="13390"/>
    <cellStyle name="Calc Units (1) 23 3" xfId="14514"/>
    <cellStyle name="Calc Units (1) 23 4" xfId="15441"/>
    <cellStyle name="Calc Units (1) 23 5" xfId="16372"/>
    <cellStyle name="Calc Units (1) 23 6" xfId="17302"/>
    <cellStyle name="Calc Units (1) 23 7" xfId="18210"/>
    <cellStyle name="Calc Units (1) 23 8" xfId="19100"/>
    <cellStyle name="Calc Units (1) 23 9" xfId="19977"/>
    <cellStyle name="Calc Units (1) 24" xfId="12726"/>
    <cellStyle name="Calc Units (1) 24 10" xfId="20914"/>
    <cellStyle name="Calc Units (1) 24 11" xfId="21755"/>
    <cellStyle name="Calc Units (1) 24 12" xfId="22537"/>
    <cellStyle name="Calc Units (1) 24 2" xfId="13470"/>
    <cellStyle name="Calc Units (1) 24 3" xfId="14593"/>
    <cellStyle name="Calc Units (1) 24 4" xfId="15521"/>
    <cellStyle name="Calc Units (1) 24 5" xfId="16452"/>
    <cellStyle name="Calc Units (1) 24 6" xfId="17382"/>
    <cellStyle name="Calc Units (1) 24 7" xfId="18290"/>
    <cellStyle name="Calc Units (1) 24 8" xfId="19180"/>
    <cellStyle name="Calc Units (1) 24 9" xfId="20056"/>
    <cellStyle name="Calc Units (1) 25" xfId="13550"/>
    <cellStyle name="Calc Units (1) 26" xfId="13630"/>
    <cellStyle name="Calc Units (1) 27" xfId="11839"/>
    <cellStyle name="Calc Units (1) 28" xfId="14881"/>
    <cellStyle name="Calc Units (1) 29" xfId="14932"/>
    <cellStyle name="Calc Units (1) 3" xfId="3690"/>
    <cellStyle name="Calc Units (1) 3 2" xfId="3988"/>
    <cellStyle name="Calc Units (1) 3 2 2" xfId="8717"/>
    <cellStyle name="Calc Units (1) 30" xfId="16770"/>
    <cellStyle name="Calc Units (1) 31" xfId="17680"/>
    <cellStyle name="Calc Units (1) 32" xfId="18580"/>
    <cellStyle name="Calc Units (1) 33" xfId="19458"/>
    <cellStyle name="Calc Units (1) 34" xfId="20300"/>
    <cellStyle name="Calc Units (1) 35" xfId="20395"/>
    <cellStyle name="Calc Units (1) 36" xfId="21981"/>
    <cellStyle name="Calc Units (1) 37" xfId="22836"/>
    <cellStyle name="Calc Units (1) 38" xfId="23513"/>
    <cellStyle name="Calc Units (1) 39" xfId="28908"/>
    <cellStyle name="Calc Units (1) 4" xfId="8845"/>
    <cellStyle name="Calc Units (1) 40" xfId="30694"/>
    <cellStyle name="Calc Units (1) 41" xfId="32467"/>
    <cellStyle name="Calc Units (1) 42" xfId="34217"/>
    <cellStyle name="Calc Units (1) 43" xfId="35917"/>
    <cellStyle name="Calc Units (1) 44" xfId="37544"/>
    <cellStyle name="Calc Units (1) 45" xfId="39079"/>
    <cellStyle name="Calc Units (1) 46" xfId="40488"/>
    <cellStyle name="Calc Units (1) 47" xfId="7828"/>
    <cellStyle name="Calc Units (1) 5" xfId="8824"/>
    <cellStyle name="Calc Units (1) 6" xfId="8915"/>
    <cellStyle name="Calc Units (1) 7" xfId="8993"/>
    <cellStyle name="Calc Units (1) 8" xfId="9273"/>
    <cellStyle name="Calc Units (1) 9" xfId="9662"/>
    <cellStyle name="Calc Units (2)" xfId="3691"/>
    <cellStyle name="Calc Units (2) 10" xfId="9685"/>
    <cellStyle name="Calc Units (2) 11" xfId="9626"/>
    <cellStyle name="Calc Units (2) 12" xfId="9871"/>
    <cellStyle name="Calc Units (2) 13" xfId="9935"/>
    <cellStyle name="Calc Units (2) 14" xfId="10019"/>
    <cellStyle name="Calc Units (2) 15" xfId="9400"/>
    <cellStyle name="Calc Units (2) 15 10" xfId="19460"/>
    <cellStyle name="Calc Units (2) 15 11" xfId="20322"/>
    <cellStyle name="Calc Units (2) 15 12" xfId="21094"/>
    <cellStyle name="Calc Units (2) 15 13" xfId="26710"/>
    <cellStyle name="Calc Units (2) 15 14" xfId="30039"/>
    <cellStyle name="Calc Units (2) 15 15" xfId="31814"/>
    <cellStyle name="Calc Units (2) 15 16" xfId="33570"/>
    <cellStyle name="Calc Units (2) 15 17" xfId="35283"/>
    <cellStyle name="Calc Units (2) 15 18" xfId="36929"/>
    <cellStyle name="Calc Units (2) 15 19" xfId="38490"/>
    <cellStyle name="Calc Units (2) 15 2" xfId="12781"/>
    <cellStyle name="Calc Units (2) 15 20" xfId="39930"/>
    <cellStyle name="Calc Units (2) 15 21" xfId="41183"/>
    <cellStyle name="Calc Units (2) 15 22" xfId="42239"/>
    <cellStyle name="Calc Units (2) 15 3" xfId="13903"/>
    <cellStyle name="Calc Units (2) 15 4" xfId="12826"/>
    <cellStyle name="Calc Units (2) 15 5" xfId="11797"/>
    <cellStyle name="Calc Units (2) 15 6" xfId="15651"/>
    <cellStyle name="Calc Units (2) 15 7" xfId="16748"/>
    <cellStyle name="Calc Units (2) 15 8" xfId="17662"/>
    <cellStyle name="Calc Units (2) 15 9" xfId="18562"/>
    <cellStyle name="Calc Units (2) 16" xfId="10496"/>
    <cellStyle name="Calc Units (2) 16 10" xfId="20302"/>
    <cellStyle name="Calc Units (2) 16 11" xfId="21129"/>
    <cellStyle name="Calc Units (2) 16 12" xfId="17690"/>
    <cellStyle name="Calc Units (2) 16 13" xfId="26444"/>
    <cellStyle name="Calc Units (2) 16 14" xfId="29775"/>
    <cellStyle name="Calc Units (2) 16 15" xfId="31550"/>
    <cellStyle name="Calc Units (2) 16 16" xfId="33309"/>
    <cellStyle name="Calc Units (2) 16 17" xfId="35026"/>
    <cellStyle name="Calc Units (2) 16 18" xfId="36677"/>
    <cellStyle name="Calc Units (2) 16 19" xfId="38246"/>
    <cellStyle name="Calc Units (2) 16 2" xfId="12847"/>
    <cellStyle name="Calc Units (2) 16 20" xfId="39696"/>
    <cellStyle name="Calc Units (2) 16 21" xfId="40964"/>
    <cellStyle name="Calc Units (2) 16 22" xfId="42038"/>
    <cellStyle name="Calc Units (2) 16 3" xfId="13967"/>
    <cellStyle name="Calc Units (2) 16 4" xfId="14887"/>
    <cellStyle name="Calc Units (2) 16 5" xfId="14941"/>
    <cellStyle name="Calc Units (2) 16 6" xfId="12496"/>
    <cellStyle name="Calc Units (2) 16 7" xfId="15771"/>
    <cellStyle name="Calc Units (2) 16 8" xfId="11462"/>
    <cellStyle name="Calc Units (2) 16 9" xfId="10654"/>
    <cellStyle name="Calc Units (2) 17" xfId="11123"/>
    <cellStyle name="Calc Units (2) 17 10" xfId="20363"/>
    <cellStyle name="Calc Units (2) 17 11" xfId="21206"/>
    <cellStyle name="Calc Units (2) 17 12" xfId="22012"/>
    <cellStyle name="Calc Units (2) 17 13" xfId="26824"/>
    <cellStyle name="Calc Units (2) 17 14" xfId="30152"/>
    <cellStyle name="Calc Units (2) 17 15" xfId="31927"/>
    <cellStyle name="Calc Units (2) 17 16" xfId="33682"/>
    <cellStyle name="Calc Units (2) 17 17" xfId="35395"/>
    <cellStyle name="Calc Units (2) 17 18" xfId="37040"/>
    <cellStyle name="Calc Units (2) 17 19" xfId="38597"/>
    <cellStyle name="Calc Units (2) 17 2" xfId="12912"/>
    <cellStyle name="Calc Units (2) 17 20" xfId="40031"/>
    <cellStyle name="Calc Units (2) 17 21" xfId="41279"/>
    <cellStyle name="Calc Units (2) 17 22" xfId="42330"/>
    <cellStyle name="Calc Units (2) 17 3" xfId="14040"/>
    <cellStyle name="Calc Units (2) 17 4" xfId="14968"/>
    <cellStyle name="Calc Units (2) 17 5" xfId="15897"/>
    <cellStyle name="Calc Units (2) 17 6" xfId="16826"/>
    <cellStyle name="Calc Units (2) 17 7" xfId="17736"/>
    <cellStyle name="Calc Units (2) 17 8" xfId="18628"/>
    <cellStyle name="Calc Units (2) 17 9" xfId="19505"/>
    <cellStyle name="Calc Units (2) 18" xfId="11317"/>
    <cellStyle name="Calc Units (2) 18 10" xfId="20437"/>
    <cellStyle name="Calc Units (2) 18 11" xfId="21273"/>
    <cellStyle name="Calc Units (2) 18 12" xfId="22070"/>
    <cellStyle name="Calc Units (2) 18 13" xfId="26313"/>
    <cellStyle name="Calc Units (2) 18 14" xfId="29644"/>
    <cellStyle name="Calc Units (2) 18 15" xfId="31419"/>
    <cellStyle name="Calc Units (2) 18 16" xfId="33182"/>
    <cellStyle name="Calc Units (2) 18 17" xfId="34900"/>
    <cellStyle name="Calc Units (2) 18 18" xfId="36553"/>
    <cellStyle name="Calc Units (2) 18 19" xfId="38127"/>
    <cellStyle name="Calc Units (2) 18 2" xfId="12987"/>
    <cellStyle name="Calc Units (2) 18 20" xfId="39580"/>
    <cellStyle name="Calc Units (2) 18 21" xfId="40853"/>
    <cellStyle name="Calc Units (2) 18 22" xfId="41932"/>
    <cellStyle name="Calc Units (2) 18 3" xfId="14113"/>
    <cellStyle name="Calc Units (2) 18 4" xfId="15043"/>
    <cellStyle name="Calc Units (2) 18 5" xfId="15970"/>
    <cellStyle name="Calc Units (2) 18 6" xfId="16900"/>
    <cellStyle name="Calc Units (2) 18 7" xfId="17808"/>
    <cellStyle name="Calc Units (2) 18 8" xfId="18698"/>
    <cellStyle name="Calc Units (2) 18 9" xfId="19576"/>
    <cellStyle name="Calc Units (2) 19" xfId="11509"/>
    <cellStyle name="Calc Units (2) 19 10" xfId="20517"/>
    <cellStyle name="Calc Units (2) 19 11" xfId="21353"/>
    <cellStyle name="Calc Units (2) 19 12" xfId="22147"/>
    <cellStyle name="Calc Units (2) 19 13" xfId="26728"/>
    <cellStyle name="Calc Units (2) 19 14" xfId="30057"/>
    <cellStyle name="Calc Units (2) 19 15" xfId="31832"/>
    <cellStyle name="Calc Units (2) 19 16" xfId="33588"/>
    <cellStyle name="Calc Units (2) 19 17" xfId="35301"/>
    <cellStyle name="Calc Units (2) 19 18" xfId="36947"/>
    <cellStyle name="Calc Units (2) 19 19" xfId="38508"/>
    <cellStyle name="Calc Units (2) 19 2" xfId="13067"/>
    <cellStyle name="Calc Units (2) 19 20" xfId="39948"/>
    <cellStyle name="Calc Units (2) 19 21" xfId="41201"/>
    <cellStyle name="Calc Units (2) 19 22" xfId="42257"/>
    <cellStyle name="Calc Units (2) 19 3" xfId="14193"/>
    <cellStyle name="Calc Units (2) 19 4" xfId="15122"/>
    <cellStyle name="Calc Units (2) 19 5" xfId="16050"/>
    <cellStyle name="Calc Units (2) 19 6" xfId="16980"/>
    <cellStyle name="Calc Units (2) 19 7" xfId="17888"/>
    <cellStyle name="Calc Units (2) 19 8" xfId="18778"/>
    <cellStyle name="Calc Units (2) 19 9" xfId="19656"/>
    <cellStyle name="Calc Units (2) 2" xfId="3692"/>
    <cellStyle name="Calc Units (2) 2 10" xfId="11649"/>
    <cellStyle name="Calc Units (2) 2 11" xfId="11763"/>
    <cellStyle name="Calc Units (2) 2 12" xfId="12668"/>
    <cellStyle name="Calc Units (2) 2 13" xfId="12305"/>
    <cellStyle name="Calc Units (2) 2 14" xfId="12642"/>
    <cellStyle name="Calc Units (2) 2 15" xfId="13897"/>
    <cellStyle name="Calc Units (2) 2 16" xfId="12837"/>
    <cellStyle name="Calc Units (2) 2 17" xfId="15709"/>
    <cellStyle name="Calc Units (2) 2 18" xfId="11465"/>
    <cellStyle name="Calc Units (2) 2 19" xfId="15719"/>
    <cellStyle name="Calc Units (2) 2 2" xfId="3989"/>
    <cellStyle name="Calc Units (2) 2 2 2" xfId="9576"/>
    <cellStyle name="Calc Units (2) 2 2 3" xfId="9408"/>
    <cellStyle name="Calc Units (2) 2 20" xfId="17512"/>
    <cellStyle name="Calc Units (2) 2 21" xfId="14837"/>
    <cellStyle name="Calc Units (2) 2 22" xfId="17743"/>
    <cellStyle name="Calc Units (2) 2 23" xfId="23028"/>
    <cellStyle name="Calc Units (2) 2 24" xfId="23479"/>
    <cellStyle name="Calc Units (2) 2 25" xfId="28706"/>
    <cellStyle name="Calc Units (2) 2 26" xfId="30495"/>
    <cellStyle name="Calc Units (2) 2 27" xfId="32270"/>
    <cellStyle name="Calc Units (2) 2 28" xfId="34023"/>
    <cellStyle name="Calc Units (2) 2 29" xfId="35733"/>
    <cellStyle name="Calc Units (2) 2 3" xfId="10342"/>
    <cellStyle name="Calc Units (2) 2 30" xfId="37372"/>
    <cellStyle name="Calc Units (2) 2 31" xfId="38923"/>
    <cellStyle name="Calc Units (2) 2 32" xfId="40347"/>
    <cellStyle name="Calc Units (2) 2 33" xfId="8736"/>
    <cellStyle name="Calc Units (2) 2 4" xfId="10388"/>
    <cellStyle name="Calc Units (2) 2 5" xfId="10198"/>
    <cellStyle name="Calc Units (2) 2 6" xfId="10220"/>
    <cellStyle name="Calc Units (2) 2 7" xfId="11076"/>
    <cellStyle name="Calc Units (2) 2 8" xfId="9519"/>
    <cellStyle name="Calc Units (2) 2 9" xfId="10261"/>
    <cellStyle name="Calc Units (2) 20" xfId="11693"/>
    <cellStyle name="Calc Units (2) 20 10" xfId="20598"/>
    <cellStyle name="Calc Units (2) 20 11" xfId="21435"/>
    <cellStyle name="Calc Units (2) 20 12" xfId="22226"/>
    <cellStyle name="Calc Units (2) 20 13" xfId="26482"/>
    <cellStyle name="Calc Units (2) 20 14" xfId="29813"/>
    <cellStyle name="Calc Units (2) 20 15" xfId="31588"/>
    <cellStyle name="Calc Units (2) 20 16" xfId="33347"/>
    <cellStyle name="Calc Units (2) 20 17" xfId="35063"/>
    <cellStyle name="Calc Units (2) 20 18" xfId="36714"/>
    <cellStyle name="Calc Units (2) 20 19" xfId="38283"/>
    <cellStyle name="Calc Units (2) 20 2" xfId="13149"/>
    <cellStyle name="Calc Units (2) 20 20" xfId="39733"/>
    <cellStyle name="Calc Units (2) 20 21" xfId="41000"/>
    <cellStyle name="Calc Units (2) 20 22" xfId="42074"/>
    <cellStyle name="Calc Units (2) 20 3" xfId="14275"/>
    <cellStyle name="Calc Units (2) 20 4" xfId="15203"/>
    <cellStyle name="Calc Units (2) 20 5" xfId="16132"/>
    <cellStyle name="Calc Units (2) 20 6" xfId="17062"/>
    <cellStyle name="Calc Units (2) 20 7" xfId="17970"/>
    <cellStyle name="Calc Units (2) 20 8" xfId="18860"/>
    <cellStyle name="Calc Units (2) 20 9" xfId="19738"/>
    <cellStyle name="Calc Units (2) 21" xfId="11874"/>
    <cellStyle name="Calc Units (2) 21 10" xfId="20675"/>
    <cellStyle name="Calc Units (2) 21 11" xfId="21513"/>
    <cellStyle name="Calc Units (2) 21 12" xfId="22301"/>
    <cellStyle name="Calc Units (2) 21 13" xfId="26834"/>
    <cellStyle name="Calc Units (2) 21 14" xfId="30162"/>
    <cellStyle name="Calc Units (2) 21 15" xfId="31937"/>
    <cellStyle name="Calc Units (2) 21 16" xfId="33692"/>
    <cellStyle name="Calc Units (2) 21 17" xfId="35405"/>
    <cellStyle name="Calc Units (2) 21 18" xfId="37050"/>
    <cellStyle name="Calc Units (2) 21 19" xfId="38607"/>
    <cellStyle name="Calc Units (2) 21 2" xfId="13227"/>
    <cellStyle name="Calc Units (2) 21 20" xfId="40041"/>
    <cellStyle name="Calc Units (2) 21 21" xfId="41289"/>
    <cellStyle name="Calc Units (2) 21 22" xfId="42340"/>
    <cellStyle name="Calc Units (2) 21 3" xfId="14352"/>
    <cellStyle name="Calc Units (2) 21 4" xfId="15280"/>
    <cellStyle name="Calc Units (2) 21 5" xfId="16210"/>
    <cellStyle name="Calc Units (2) 21 6" xfId="17140"/>
    <cellStyle name="Calc Units (2) 21 7" xfId="18048"/>
    <cellStyle name="Calc Units (2) 21 8" xfId="18938"/>
    <cellStyle name="Calc Units (2) 21 9" xfId="19815"/>
    <cellStyle name="Calc Units (2) 22" xfId="12114"/>
    <cellStyle name="Calc Units (2) 22 10" xfId="20755"/>
    <cellStyle name="Calc Units (2) 22 11" xfId="21593"/>
    <cellStyle name="Calc Units (2) 22 12" xfId="22379"/>
    <cellStyle name="Calc Units (2) 22 13" xfId="26367"/>
    <cellStyle name="Calc Units (2) 22 14" xfId="29698"/>
    <cellStyle name="Calc Units (2) 22 15" xfId="31473"/>
    <cellStyle name="Calc Units (2) 22 16" xfId="33234"/>
    <cellStyle name="Calc Units (2) 22 17" xfId="34952"/>
    <cellStyle name="Calc Units (2) 22 18" xfId="36605"/>
    <cellStyle name="Calc Units (2) 22 19" xfId="38179"/>
    <cellStyle name="Calc Units (2) 22 2" xfId="13308"/>
    <cellStyle name="Calc Units (2) 22 20" xfId="39632"/>
    <cellStyle name="Calc Units (2) 22 21" xfId="40904"/>
    <cellStyle name="Calc Units (2) 22 22" xfId="41983"/>
    <cellStyle name="Calc Units (2) 22 3" xfId="14432"/>
    <cellStyle name="Calc Units (2) 22 4" xfId="15361"/>
    <cellStyle name="Calc Units (2) 22 5" xfId="16290"/>
    <cellStyle name="Calc Units (2) 22 6" xfId="17220"/>
    <cellStyle name="Calc Units (2) 22 7" xfId="18128"/>
    <cellStyle name="Calc Units (2) 22 8" xfId="19018"/>
    <cellStyle name="Calc Units (2) 22 9" xfId="19895"/>
    <cellStyle name="Calc Units (2) 23" xfId="12236"/>
    <cellStyle name="Calc Units (2) 23 10" xfId="20834"/>
    <cellStyle name="Calc Units (2) 23 11" xfId="21673"/>
    <cellStyle name="Calc Units (2) 23 12" xfId="22457"/>
    <cellStyle name="Calc Units (2) 23 2" xfId="13388"/>
    <cellStyle name="Calc Units (2) 23 3" xfId="14512"/>
    <cellStyle name="Calc Units (2) 23 4" xfId="15439"/>
    <cellStyle name="Calc Units (2) 23 5" xfId="16370"/>
    <cellStyle name="Calc Units (2) 23 6" xfId="17300"/>
    <cellStyle name="Calc Units (2) 23 7" xfId="18208"/>
    <cellStyle name="Calc Units (2) 23 8" xfId="19098"/>
    <cellStyle name="Calc Units (2) 23 9" xfId="19975"/>
    <cellStyle name="Calc Units (2) 24" xfId="12687"/>
    <cellStyle name="Calc Units (2) 24 10" xfId="20912"/>
    <cellStyle name="Calc Units (2) 24 11" xfId="21753"/>
    <cellStyle name="Calc Units (2) 24 12" xfId="22535"/>
    <cellStyle name="Calc Units (2) 24 2" xfId="13468"/>
    <cellStyle name="Calc Units (2) 24 3" xfId="14591"/>
    <cellStyle name="Calc Units (2) 24 4" xfId="15519"/>
    <cellStyle name="Calc Units (2) 24 5" xfId="16450"/>
    <cellStyle name="Calc Units (2) 24 6" xfId="17380"/>
    <cellStyle name="Calc Units (2) 24 7" xfId="18288"/>
    <cellStyle name="Calc Units (2) 24 8" xfId="19178"/>
    <cellStyle name="Calc Units (2) 24 9" xfId="20054"/>
    <cellStyle name="Calc Units (2) 25" xfId="13548"/>
    <cellStyle name="Calc Units (2) 26" xfId="13628"/>
    <cellStyle name="Calc Units (2) 27" xfId="12589"/>
    <cellStyle name="Calc Units (2) 28" xfId="14071"/>
    <cellStyle name="Calc Units (2) 29" xfId="14884"/>
    <cellStyle name="Calc Units (2) 3" xfId="3693"/>
    <cellStyle name="Calc Units (2) 3 2" xfId="3990"/>
    <cellStyle name="Calc Units (2) 3 2 2" xfId="8716"/>
    <cellStyle name="Calc Units (2) 30" xfId="16742"/>
    <cellStyle name="Calc Units (2) 31" xfId="17656"/>
    <cellStyle name="Calc Units (2) 32" xfId="18556"/>
    <cellStyle name="Calc Units (2) 33" xfId="19432"/>
    <cellStyle name="Calc Units (2) 34" xfId="19534"/>
    <cellStyle name="Calc Units (2) 35" xfId="20333"/>
    <cellStyle name="Calc Units (2) 36" xfId="21968"/>
    <cellStyle name="Calc Units (2) 37" xfId="22837"/>
    <cellStyle name="Calc Units (2) 38" xfId="23434"/>
    <cellStyle name="Calc Units (2) 39" xfId="28907"/>
    <cellStyle name="Calc Units (2) 4" xfId="8679"/>
    <cellStyle name="Calc Units (2) 40" xfId="30693"/>
    <cellStyle name="Calc Units (2) 41" xfId="32466"/>
    <cellStyle name="Calc Units (2) 42" xfId="34216"/>
    <cellStyle name="Calc Units (2) 43" xfId="35916"/>
    <cellStyle name="Calc Units (2) 44" xfId="37543"/>
    <cellStyle name="Calc Units (2) 45" xfId="39078"/>
    <cellStyle name="Calc Units (2) 46" xfId="40487"/>
    <cellStyle name="Calc Units (2) 47" xfId="7829"/>
    <cellStyle name="Calc Units (2) 5" xfId="8818"/>
    <cellStyle name="Calc Units (2) 6" xfId="8910"/>
    <cellStyle name="Calc Units (2) 7" xfId="8988"/>
    <cellStyle name="Calc Units (2) 8" xfId="9274"/>
    <cellStyle name="Calc Units (2) 9" xfId="9661"/>
    <cellStyle name="Calculation" xfId="12" builtinId="22" customBuiltin="1"/>
    <cellStyle name="Calculation 10" xfId="9684"/>
    <cellStyle name="Calculation 11" xfId="9642"/>
    <cellStyle name="Calculation 11 10" xfId="35911"/>
    <cellStyle name="Calculation 11 11" xfId="37538"/>
    <cellStyle name="Calculation 11 2" xfId="24823"/>
    <cellStyle name="Calculation 11 3" xfId="28208"/>
    <cellStyle name="Calculation 11 4" xfId="27588"/>
    <cellStyle name="Calculation 11 5" xfId="26517"/>
    <cellStyle name="Calculation 11 6" xfId="28902"/>
    <cellStyle name="Calculation 11 7" xfId="30688"/>
    <cellStyle name="Calculation 11 8" xfId="32461"/>
    <cellStyle name="Calculation 11 9" xfId="34211"/>
    <cellStyle name="Calculation 12" xfId="9872"/>
    <cellStyle name="Calculation 12 10" xfId="41055"/>
    <cellStyle name="Calculation 12 11" xfId="42124"/>
    <cellStyle name="Calculation 12 2" xfId="26553"/>
    <cellStyle name="Calculation 12 3" xfId="29884"/>
    <cellStyle name="Calculation 12 4" xfId="31659"/>
    <cellStyle name="Calculation 12 5" xfId="33418"/>
    <cellStyle name="Calculation 12 6" xfId="35132"/>
    <cellStyle name="Calculation 12 7" xfId="36782"/>
    <cellStyle name="Calculation 12 8" xfId="38348"/>
    <cellStyle name="Calculation 12 9" xfId="39792"/>
    <cellStyle name="Calculation 13" xfId="9944"/>
    <cellStyle name="Calculation 13 10" xfId="41267"/>
    <cellStyle name="Calculation 13 11" xfId="42319"/>
    <cellStyle name="Calculation 13 2" xfId="26807"/>
    <cellStyle name="Calculation 13 3" xfId="30135"/>
    <cellStyle name="Calculation 13 4" xfId="31910"/>
    <cellStyle name="Calculation 13 5" xfId="33665"/>
    <cellStyle name="Calculation 13 6" xfId="35378"/>
    <cellStyle name="Calculation 13 7" xfId="37023"/>
    <cellStyle name="Calculation 13 8" xfId="38581"/>
    <cellStyle name="Calculation 13 9" xfId="40017"/>
    <cellStyle name="Calculation 14" xfId="10028"/>
    <cellStyle name="Calculation 14 10" xfId="40920"/>
    <cellStyle name="Calculation 14 11" xfId="41996"/>
    <cellStyle name="Calculation 14 2" xfId="26386"/>
    <cellStyle name="Calculation 14 3" xfId="29717"/>
    <cellStyle name="Calculation 14 4" xfId="31492"/>
    <cellStyle name="Calculation 14 5" xfId="33253"/>
    <cellStyle name="Calculation 14 6" xfId="34971"/>
    <cellStyle name="Calculation 14 7" xfId="36624"/>
    <cellStyle name="Calculation 14 8" xfId="38197"/>
    <cellStyle name="Calculation 14 9" xfId="39648"/>
    <cellStyle name="Calculation 15" xfId="9385"/>
    <cellStyle name="Calculation 15 10" xfId="19439"/>
    <cellStyle name="Calculation 15 11" xfId="20304"/>
    <cellStyle name="Calculation 15 12" xfId="21038"/>
    <cellStyle name="Calculation 15 13" xfId="26709"/>
    <cellStyle name="Calculation 15 14" xfId="30038"/>
    <cellStyle name="Calculation 15 15" xfId="31813"/>
    <cellStyle name="Calculation 15 16" xfId="33569"/>
    <cellStyle name="Calculation 15 17" xfId="35282"/>
    <cellStyle name="Calculation 15 18" xfId="36928"/>
    <cellStyle name="Calculation 15 19" xfId="38489"/>
    <cellStyle name="Calculation 15 2" xfId="12780"/>
    <cellStyle name="Calculation 15 20" xfId="39929"/>
    <cellStyle name="Calculation 15 21" xfId="41182"/>
    <cellStyle name="Calculation 15 22" xfId="42238"/>
    <cellStyle name="Calculation 15 3" xfId="13902"/>
    <cellStyle name="Calculation 15 4" xfId="12759"/>
    <cellStyle name="Calculation 15 5" xfId="14915"/>
    <cellStyle name="Calculation 15 6" xfId="15575"/>
    <cellStyle name="Calculation 15 7" xfId="16709"/>
    <cellStyle name="Calculation 15 8" xfId="17629"/>
    <cellStyle name="Calculation 15 9" xfId="18531"/>
    <cellStyle name="Calculation 16" xfId="11265"/>
    <cellStyle name="Calculation 16 10" xfId="16696"/>
    <cellStyle name="Calculation 16 11" xfId="21150"/>
    <cellStyle name="Calculation 16 12" xfId="20230"/>
    <cellStyle name="Calculation 16 13" xfId="23709"/>
    <cellStyle name="Calculation 16 14" xfId="27129"/>
    <cellStyle name="Calculation 16 15" xfId="29933"/>
    <cellStyle name="Calculation 16 16" xfId="31708"/>
    <cellStyle name="Calculation 16 17" xfId="33467"/>
    <cellStyle name="Calculation 16 18" xfId="35181"/>
    <cellStyle name="Calculation 16 19" xfId="36828"/>
    <cellStyle name="Calculation 16 2" xfId="12846"/>
    <cellStyle name="Calculation 16 20" xfId="38391"/>
    <cellStyle name="Calculation 16 21" xfId="39833"/>
    <cellStyle name="Calculation 16 22" xfId="41089"/>
    <cellStyle name="Calculation 16 3" xfId="13966"/>
    <cellStyle name="Calculation 16 4" xfId="12634"/>
    <cellStyle name="Calculation 16 5" xfId="15769"/>
    <cellStyle name="Calculation 16 6" xfId="12603"/>
    <cellStyle name="Calculation 16 7" xfId="14894"/>
    <cellStyle name="Calculation 16 8" xfId="12682"/>
    <cellStyle name="Calculation 16 9" xfId="14008"/>
    <cellStyle name="Calculation 17" xfId="11456"/>
    <cellStyle name="Calculation 17 10" xfId="20362"/>
    <cellStyle name="Calculation 17 11" xfId="21205"/>
    <cellStyle name="Calculation 17 12" xfId="22011"/>
    <cellStyle name="Calculation 17 13" xfId="26823"/>
    <cellStyle name="Calculation 17 14" xfId="30151"/>
    <cellStyle name="Calculation 17 15" xfId="31926"/>
    <cellStyle name="Calculation 17 16" xfId="33681"/>
    <cellStyle name="Calculation 17 17" xfId="35394"/>
    <cellStyle name="Calculation 17 18" xfId="37039"/>
    <cellStyle name="Calculation 17 19" xfId="38596"/>
    <cellStyle name="Calculation 17 2" xfId="12911"/>
    <cellStyle name="Calculation 17 20" xfId="40030"/>
    <cellStyle name="Calculation 17 21" xfId="41278"/>
    <cellStyle name="Calculation 17 22" xfId="42329"/>
    <cellStyle name="Calculation 17 3" xfId="14039"/>
    <cellStyle name="Calculation 17 4" xfId="14967"/>
    <cellStyle name="Calculation 17 5" xfId="15896"/>
    <cellStyle name="Calculation 17 6" xfId="16825"/>
    <cellStyle name="Calculation 17 7" xfId="17735"/>
    <cellStyle name="Calculation 17 8" xfId="18627"/>
    <cellStyle name="Calculation 17 9" xfId="19504"/>
    <cellStyle name="Calculation 18" xfId="11643"/>
    <cellStyle name="Calculation 18 10" xfId="20436"/>
    <cellStyle name="Calculation 18 11" xfId="21272"/>
    <cellStyle name="Calculation 18 12" xfId="22069"/>
    <cellStyle name="Calculation 18 13" xfId="26528"/>
    <cellStyle name="Calculation 18 14" xfId="29859"/>
    <cellStyle name="Calculation 18 15" xfId="31634"/>
    <cellStyle name="Calculation 18 16" xfId="33393"/>
    <cellStyle name="Calculation 18 17" xfId="35107"/>
    <cellStyle name="Calculation 18 18" xfId="36757"/>
    <cellStyle name="Calculation 18 19" xfId="38325"/>
    <cellStyle name="Calculation 18 2" xfId="12986"/>
    <cellStyle name="Calculation 18 20" xfId="39771"/>
    <cellStyle name="Calculation 18 21" xfId="41037"/>
    <cellStyle name="Calculation 18 22" xfId="42108"/>
    <cellStyle name="Calculation 18 3" xfId="14112"/>
    <cellStyle name="Calculation 18 4" xfId="15042"/>
    <cellStyle name="Calculation 18 5" xfId="15969"/>
    <cellStyle name="Calculation 18 6" xfId="16899"/>
    <cellStyle name="Calculation 18 7" xfId="17807"/>
    <cellStyle name="Calculation 18 8" xfId="18697"/>
    <cellStyle name="Calculation 18 9" xfId="19575"/>
    <cellStyle name="Calculation 19" xfId="11826"/>
    <cellStyle name="Calculation 19 10" xfId="20516"/>
    <cellStyle name="Calculation 19 11" xfId="21352"/>
    <cellStyle name="Calculation 19 12" xfId="22146"/>
    <cellStyle name="Calculation 19 13" xfId="26727"/>
    <cellStyle name="Calculation 19 14" xfId="30056"/>
    <cellStyle name="Calculation 19 15" xfId="31831"/>
    <cellStyle name="Calculation 19 16" xfId="33587"/>
    <cellStyle name="Calculation 19 17" xfId="35300"/>
    <cellStyle name="Calculation 19 18" xfId="36946"/>
    <cellStyle name="Calculation 19 19" xfId="38507"/>
    <cellStyle name="Calculation 19 2" xfId="13066"/>
    <cellStyle name="Calculation 19 20" xfId="39947"/>
    <cellStyle name="Calculation 19 21" xfId="41200"/>
    <cellStyle name="Calculation 19 22" xfId="42256"/>
    <cellStyle name="Calculation 19 3" xfId="14192"/>
    <cellStyle name="Calculation 19 4" xfId="15121"/>
    <cellStyle name="Calculation 19 5" xfId="16049"/>
    <cellStyle name="Calculation 19 6" xfId="16979"/>
    <cellStyle name="Calculation 19 7" xfId="17887"/>
    <cellStyle name="Calculation 19 8" xfId="18777"/>
    <cellStyle name="Calculation 19 9" xfId="19655"/>
    <cellStyle name="Calculation 2" xfId="3991"/>
    <cellStyle name="Calculation 2 10" xfId="12062"/>
    <cellStyle name="Calculation 2 11" xfId="12540"/>
    <cellStyle name="Calculation 2 12" xfId="12614"/>
    <cellStyle name="Calculation 2 13" xfId="12338"/>
    <cellStyle name="Calculation 2 14" xfId="11858"/>
    <cellStyle name="Calculation 2 15" xfId="15827"/>
    <cellStyle name="Calculation 2 16" xfId="12487"/>
    <cellStyle name="Calculation 2 17" xfId="10908"/>
    <cellStyle name="Calculation 2 18" xfId="12501"/>
    <cellStyle name="Calculation 2 19" xfId="16583"/>
    <cellStyle name="Calculation 2 2" xfId="9409"/>
    <cellStyle name="Calculation 2 2 2" xfId="9577"/>
    <cellStyle name="Calculation 2 20" xfId="17622"/>
    <cellStyle name="Calculation 2 21" xfId="18592"/>
    <cellStyle name="Calculation 2 22" xfId="16754"/>
    <cellStyle name="Calculation 2 23" xfId="23029"/>
    <cellStyle name="Calculation 2 24" xfId="23398"/>
    <cellStyle name="Calculation 2 25" xfId="28705"/>
    <cellStyle name="Calculation 2 26" xfId="30494"/>
    <cellStyle name="Calculation 2 27" xfId="32269"/>
    <cellStyle name="Calculation 2 28" xfId="34022"/>
    <cellStyle name="Calculation 2 29" xfId="35732"/>
    <cellStyle name="Calculation 2 3" xfId="10343"/>
    <cellStyle name="Calculation 2 30" xfId="37371"/>
    <cellStyle name="Calculation 2 31" xfId="38922"/>
    <cellStyle name="Calculation 2 32" xfId="40346"/>
    <cellStyle name="Calculation 2 33" xfId="8737"/>
    <cellStyle name="Calculation 2 4" xfId="11251"/>
    <cellStyle name="Calculation 2 5" xfId="11442"/>
    <cellStyle name="Calculation 2 6" xfId="11631"/>
    <cellStyle name="Calculation 2 7" xfId="11813"/>
    <cellStyle name="Calculation 2 8" xfId="11995"/>
    <cellStyle name="Calculation 2 9" xfId="12172"/>
    <cellStyle name="Calculation 20" xfId="12008"/>
    <cellStyle name="Calculation 20 10" xfId="20597"/>
    <cellStyle name="Calculation 20 11" xfId="21434"/>
    <cellStyle name="Calculation 20 12" xfId="22225"/>
    <cellStyle name="Calculation 20 13" xfId="26483"/>
    <cellStyle name="Calculation 20 14" xfId="29814"/>
    <cellStyle name="Calculation 20 15" xfId="31589"/>
    <cellStyle name="Calculation 20 16" xfId="33348"/>
    <cellStyle name="Calculation 20 17" xfId="35064"/>
    <cellStyle name="Calculation 20 18" xfId="36715"/>
    <cellStyle name="Calculation 20 19" xfId="38284"/>
    <cellStyle name="Calculation 20 2" xfId="13148"/>
    <cellStyle name="Calculation 20 20" xfId="39734"/>
    <cellStyle name="Calculation 20 21" xfId="41001"/>
    <cellStyle name="Calculation 20 22" xfId="42075"/>
    <cellStyle name="Calculation 20 3" xfId="14274"/>
    <cellStyle name="Calculation 20 4" xfId="15202"/>
    <cellStyle name="Calculation 20 5" xfId="16131"/>
    <cellStyle name="Calculation 20 6" xfId="17061"/>
    <cellStyle name="Calculation 20 7" xfId="17969"/>
    <cellStyle name="Calculation 20 8" xfId="18859"/>
    <cellStyle name="Calculation 20 9" xfId="19737"/>
    <cellStyle name="Calculation 21" xfId="12182"/>
    <cellStyle name="Calculation 21 10" xfId="20674"/>
    <cellStyle name="Calculation 21 11" xfId="21512"/>
    <cellStyle name="Calculation 21 12" xfId="22300"/>
    <cellStyle name="Calculation 21 13" xfId="26833"/>
    <cellStyle name="Calculation 21 14" xfId="30161"/>
    <cellStyle name="Calculation 21 15" xfId="31936"/>
    <cellStyle name="Calculation 21 16" xfId="33691"/>
    <cellStyle name="Calculation 21 17" xfId="35404"/>
    <cellStyle name="Calculation 21 18" xfId="37049"/>
    <cellStyle name="Calculation 21 19" xfId="38606"/>
    <cellStyle name="Calculation 21 2" xfId="13226"/>
    <cellStyle name="Calculation 21 20" xfId="40040"/>
    <cellStyle name="Calculation 21 21" xfId="41288"/>
    <cellStyle name="Calculation 21 22" xfId="42339"/>
    <cellStyle name="Calculation 21 3" xfId="14351"/>
    <cellStyle name="Calculation 21 4" xfId="15279"/>
    <cellStyle name="Calculation 21 5" xfId="16209"/>
    <cellStyle name="Calculation 21 6" xfId="17139"/>
    <cellStyle name="Calculation 21 7" xfId="18047"/>
    <cellStyle name="Calculation 21 8" xfId="18937"/>
    <cellStyle name="Calculation 21 9" xfId="19814"/>
    <cellStyle name="Calculation 22" xfId="12369"/>
    <cellStyle name="Calculation 22 10" xfId="20754"/>
    <cellStyle name="Calculation 22 11" xfId="21592"/>
    <cellStyle name="Calculation 22 12" xfId="22378"/>
    <cellStyle name="Calculation 22 13" xfId="26368"/>
    <cellStyle name="Calculation 22 14" xfId="29699"/>
    <cellStyle name="Calculation 22 15" xfId="31474"/>
    <cellStyle name="Calculation 22 16" xfId="33235"/>
    <cellStyle name="Calculation 22 17" xfId="34953"/>
    <cellStyle name="Calculation 22 18" xfId="36606"/>
    <cellStyle name="Calculation 22 19" xfId="38180"/>
    <cellStyle name="Calculation 22 2" xfId="13307"/>
    <cellStyle name="Calculation 22 20" xfId="39633"/>
    <cellStyle name="Calculation 22 21" xfId="40905"/>
    <cellStyle name="Calculation 22 22" xfId="41984"/>
    <cellStyle name="Calculation 22 3" xfId="14431"/>
    <cellStyle name="Calculation 22 4" xfId="15360"/>
    <cellStyle name="Calculation 22 5" xfId="16289"/>
    <cellStyle name="Calculation 22 6" xfId="17219"/>
    <cellStyle name="Calculation 22 7" xfId="18127"/>
    <cellStyle name="Calculation 22 8" xfId="19017"/>
    <cellStyle name="Calculation 22 9" xfId="19894"/>
    <cellStyle name="Calculation 23" xfId="12554"/>
    <cellStyle name="Calculation 23 10" xfId="20833"/>
    <cellStyle name="Calculation 23 11" xfId="21672"/>
    <cellStyle name="Calculation 23 12" xfId="22456"/>
    <cellStyle name="Calculation 23 2" xfId="13387"/>
    <cellStyle name="Calculation 23 3" xfId="14511"/>
    <cellStyle name="Calculation 23 4" xfId="15438"/>
    <cellStyle name="Calculation 23 5" xfId="16369"/>
    <cellStyle name="Calculation 23 6" xfId="17299"/>
    <cellStyle name="Calculation 23 7" xfId="18207"/>
    <cellStyle name="Calculation 23 8" xfId="19097"/>
    <cellStyle name="Calculation 23 9" xfId="19974"/>
    <cellStyle name="Calculation 24" xfId="12637"/>
    <cellStyle name="Calculation 24 10" xfId="20911"/>
    <cellStyle name="Calculation 24 11" xfId="21752"/>
    <cellStyle name="Calculation 24 12" xfId="22534"/>
    <cellStyle name="Calculation 24 2" xfId="13467"/>
    <cellStyle name="Calculation 24 3" xfId="14590"/>
    <cellStyle name="Calculation 24 4" xfId="15518"/>
    <cellStyle name="Calculation 24 5" xfId="16449"/>
    <cellStyle name="Calculation 24 6" xfId="17379"/>
    <cellStyle name="Calculation 24 7" xfId="18287"/>
    <cellStyle name="Calculation 24 8" xfId="19177"/>
    <cellStyle name="Calculation 24 9" xfId="20053"/>
    <cellStyle name="Calculation 25" xfId="13547"/>
    <cellStyle name="Calculation 26" xfId="13627"/>
    <cellStyle name="Calculation 27" xfId="10610"/>
    <cellStyle name="Calculation 28" xfId="14001"/>
    <cellStyle name="Calculation 29" xfId="11960"/>
    <cellStyle name="Calculation 3" xfId="8715"/>
    <cellStyle name="Calculation 30" xfId="15928"/>
    <cellStyle name="Calculation 31" xfId="16858"/>
    <cellStyle name="Calculation 32" xfId="17766"/>
    <cellStyle name="Calculation 33" xfId="18656"/>
    <cellStyle name="Calculation 34" xfId="19473"/>
    <cellStyle name="Calculation 35" xfId="20301"/>
    <cellStyle name="Calculation 36" xfId="21231"/>
    <cellStyle name="Calculation 37" xfId="22838"/>
    <cellStyle name="Calculation 38" xfId="23350"/>
    <cellStyle name="Calculation 39" xfId="28906"/>
    <cellStyle name="Calculation 4" xfId="8680"/>
    <cellStyle name="Calculation 40" xfId="30692"/>
    <cellStyle name="Calculation 41" xfId="32465"/>
    <cellStyle name="Calculation 42" xfId="34215"/>
    <cellStyle name="Calculation 43" xfId="35915"/>
    <cellStyle name="Calculation 44" xfId="37542"/>
    <cellStyle name="Calculation 45" xfId="39077"/>
    <cellStyle name="Calculation 46" xfId="40486"/>
    <cellStyle name="Calculation 47" xfId="42619"/>
    <cellStyle name="Calculation 48" xfId="42650"/>
    <cellStyle name="Calculation 49" xfId="42600"/>
    <cellStyle name="Calculation 5" xfId="8805"/>
    <cellStyle name="Calculation 50" xfId="42670"/>
    <cellStyle name="Calculation 51" xfId="42715"/>
    <cellStyle name="Calculation 52" xfId="42712"/>
    <cellStyle name="Calculation 53" xfId="42756"/>
    <cellStyle name="Calculation 54" xfId="42798"/>
    <cellStyle name="Calculation 55" xfId="42839"/>
    <cellStyle name="Calculation 56" xfId="42880"/>
    <cellStyle name="Calculation 57" xfId="42920"/>
    <cellStyle name="Calculation 58" xfId="42960"/>
    <cellStyle name="Calculation 59" xfId="42997"/>
    <cellStyle name="Calculation 6" xfId="8898"/>
    <cellStyle name="Calculation 60" xfId="43152"/>
    <cellStyle name="Calculation 61" xfId="43168"/>
    <cellStyle name="Calculation 62" xfId="8650"/>
    <cellStyle name="Calculation 63" xfId="7712"/>
    <cellStyle name="Calculation 64" xfId="3694"/>
    <cellStyle name="Calculation 7" xfId="8976"/>
    <cellStyle name="Calculation 8" xfId="9275"/>
    <cellStyle name="Calculation 9" xfId="9659"/>
    <cellStyle name="Check Cell" xfId="14" builtinId="23" customBuiltin="1"/>
    <cellStyle name="Check Cell 10" xfId="9683"/>
    <cellStyle name="Check Cell 11" xfId="9705"/>
    <cellStyle name="Check Cell 11 10" xfId="35910"/>
    <cellStyle name="Check Cell 11 11" xfId="37537"/>
    <cellStyle name="Check Cell 11 2" xfId="24824"/>
    <cellStyle name="Check Cell 11 3" xfId="28209"/>
    <cellStyle name="Check Cell 11 4" xfId="27587"/>
    <cellStyle name="Check Cell 11 5" xfId="26688"/>
    <cellStyle name="Check Cell 11 6" xfId="28901"/>
    <cellStyle name="Check Cell 11 7" xfId="30687"/>
    <cellStyle name="Check Cell 11 8" xfId="32460"/>
    <cellStyle name="Check Cell 11 9" xfId="34210"/>
    <cellStyle name="Check Cell 12" xfId="9873"/>
    <cellStyle name="Check Cell 12 10" xfId="41056"/>
    <cellStyle name="Check Cell 12 11" xfId="42125"/>
    <cellStyle name="Check Cell 12 2" xfId="26554"/>
    <cellStyle name="Check Cell 12 3" xfId="29885"/>
    <cellStyle name="Check Cell 12 4" xfId="31660"/>
    <cellStyle name="Check Cell 12 5" xfId="33419"/>
    <cellStyle name="Check Cell 12 6" xfId="35133"/>
    <cellStyle name="Check Cell 12 7" xfId="36783"/>
    <cellStyle name="Check Cell 12 8" xfId="38349"/>
    <cellStyle name="Check Cell 12 9" xfId="39793"/>
    <cellStyle name="Check Cell 13" xfId="9953"/>
    <cellStyle name="Check Cell 13 10" xfId="41266"/>
    <cellStyle name="Check Cell 13 11" xfId="42318"/>
    <cellStyle name="Check Cell 13 2" xfId="26806"/>
    <cellStyle name="Check Cell 13 3" xfId="30134"/>
    <cellStyle name="Check Cell 13 4" xfId="31909"/>
    <cellStyle name="Check Cell 13 5" xfId="33664"/>
    <cellStyle name="Check Cell 13 6" xfId="35377"/>
    <cellStyle name="Check Cell 13 7" xfId="37022"/>
    <cellStyle name="Check Cell 13 8" xfId="38580"/>
    <cellStyle name="Check Cell 13 9" xfId="40016"/>
    <cellStyle name="Check Cell 14" xfId="10037"/>
    <cellStyle name="Check Cell 14 10" xfId="40921"/>
    <cellStyle name="Check Cell 14 11" xfId="41997"/>
    <cellStyle name="Check Cell 14 2" xfId="26387"/>
    <cellStyle name="Check Cell 14 3" xfId="29718"/>
    <cellStyle name="Check Cell 14 4" xfId="31493"/>
    <cellStyle name="Check Cell 14 5" xfId="33254"/>
    <cellStyle name="Check Cell 14 6" xfId="34972"/>
    <cellStyle name="Check Cell 14 7" xfId="36625"/>
    <cellStyle name="Check Cell 14 8" xfId="38198"/>
    <cellStyle name="Check Cell 14 9" xfId="39649"/>
    <cellStyle name="Check Cell 15" xfId="9384"/>
    <cellStyle name="Check Cell 15 10" xfId="19410"/>
    <cellStyle name="Check Cell 15 11" xfId="20276"/>
    <cellStyle name="Check Cell 15 12" xfId="20967"/>
    <cellStyle name="Check Cell 15 13" xfId="26708"/>
    <cellStyle name="Check Cell 15 14" xfId="30037"/>
    <cellStyle name="Check Cell 15 15" xfId="31812"/>
    <cellStyle name="Check Cell 15 16" xfId="33568"/>
    <cellStyle name="Check Cell 15 17" xfId="35281"/>
    <cellStyle name="Check Cell 15 18" xfId="36927"/>
    <cellStyle name="Check Cell 15 19" xfId="38488"/>
    <cellStyle name="Check Cell 15 2" xfId="12779"/>
    <cellStyle name="Check Cell 15 20" xfId="39928"/>
    <cellStyle name="Check Cell 15 21" xfId="41181"/>
    <cellStyle name="Check Cell 15 22" xfId="42237"/>
    <cellStyle name="Check Cell 15 3" xfId="13901"/>
    <cellStyle name="Check Cell 15 4" xfId="11974"/>
    <cellStyle name="Check Cell 15 5" xfId="14889"/>
    <cellStyle name="Check Cell 15 6" xfId="15495"/>
    <cellStyle name="Check Cell 15 7" xfId="16652"/>
    <cellStyle name="Check Cell 15 8" xfId="17580"/>
    <cellStyle name="Check Cell 15 9" xfId="18483"/>
    <cellStyle name="Check Cell 16" xfId="11222"/>
    <cellStyle name="Check Cell 16 10" xfId="17568"/>
    <cellStyle name="Check Cell 16 11" xfId="12092"/>
    <cellStyle name="Check Cell 16 12" xfId="17707"/>
    <cellStyle name="Check Cell 16 13" xfId="23708"/>
    <cellStyle name="Check Cell 16 14" xfId="27128"/>
    <cellStyle name="Check Cell 16 15" xfId="30018"/>
    <cellStyle name="Check Cell 16 16" xfId="31793"/>
    <cellStyle name="Check Cell 16 17" xfId="33550"/>
    <cellStyle name="Check Cell 16 18" xfId="35264"/>
    <cellStyle name="Check Cell 16 19" xfId="36911"/>
    <cellStyle name="Check Cell 16 2" xfId="12830"/>
    <cellStyle name="Check Cell 16 20" xfId="38473"/>
    <cellStyle name="Check Cell 16 21" xfId="39914"/>
    <cellStyle name="Check Cell 16 22" xfId="41168"/>
    <cellStyle name="Check Cell 16 3" xfId="13948"/>
    <cellStyle name="Check Cell 16 4" xfId="11273"/>
    <cellStyle name="Check Cell 16 5" xfId="12839"/>
    <cellStyle name="Check Cell 16 6" xfId="12703"/>
    <cellStyle name="Check Cell 16 7" xfId="14811"/>
    <cellStyle name="Check Cell 16 8" xfId="15846"/>
    <cellStyle name="Check Cell 16 9" xfId="16775"/>
    <cellStyle name="Check Cell 17" xfId="11413"/>
    <cellStyle name="Check Cell 17 10" xfId="20361"/>
    <cellStyle name="Check Cell 17 11" xfId="21204"/>
    <cellStyle name="Check Cell 17 12" xfId="22010"/>
    <cellStyle name="Check Cell 17 13" xfId="26822"/>
    <cellStyle name="Check Cell 17 14" xfId="30150"/>
    <cellStyle name="Check Cell 17 15" xfId="31925"/>
    <cellStyle name="Check Cell 17 16" xfId="33680"/>
    <cellStyle name="Check Cell 17 17" xfId="35393"/>
    <cellStyle name="Check Cell 17 18" xfId="37038"/>
    <cellStyle name="Check Cell 17 19" xfId="38595"/>
    <cellStyle name="Check Cell 17 2" xfId="12910"/>
    <cellStyle name="Check Cell 17 20" xfId="40029"/>
    <cellStyle name="Check Cell 17 21" xfId="41277"/>
    <cellStyle name="Check Cell 17 22" xfId="42328"/>
    <cellStyle name="Check Cell 17 3" xfId="14038"/>
    <cellStyle name="Check Cell 17 4" xfId="14966"/>
    <cellStyle name="Check Cell 17 5" xfId="15895"/>
    <cellStyle name="Check Cell 17 6" xfId="16824"/>
    <cellStyle name="Check Cell 17 7" xfId="17734"/>
    <cellStyle name="Check Cell 17 8" xfId="18626"/>
    <cellStyle name="Check Cell 17 9" xfId="19503"/>
    <cellStyle name="Check Cell 18" xfId="11604"/>
    <cellStyle name="Check Cell 18 10" xfId="20435"/>
    <cellStyle name="Check Cell 18 11" xfId="21271"/>
    <cellStyle name="Check Cell 18 12" xfId="22068"/>
    <cellStyle name="Check Cell 18 13" xfId="26529"/>
    <cellStyle name="Check Cell 18 14" xfId="29860"/>
    <cellStyle name="Check Cell 18 15" xfId="31635"/>
    <cellStyle name="Check Cell 18 16" xfId="33394"/>
    <cellStyle name="Check Cell 18 17" xfId="35108"/>
    <cellStyle name="Check Cell 18 18" xfId="36758"/>
    <cellStyle name="Check Cell 18 19" xfId="38326"/>
    <cellStyle name="Check Cell 18 2" xfId="12985"/>
    <cellStyle name="Check Cell 18 20" xfId="39772"/>
    <cellStyle name="Check Cell 18 21" xfId="41038"/>
    <cellStyle name="Check Cell 18 22" xfId="42109"/>
    <cellStyle name="Check Cell 18 3" xfId="14111"/>
    <cellStyle name="Check Cell 18 4" xfId="15041"/>
    <cellStyle name="Check Cell 18 5" xfId="15968"/>
    <cellStyle name="Check Cell 18 6" xfId="16898"/>
    <cellStyle name="Check Cell 18 7" xfId="17806"/>
    <cellStyle name="Check Cell 18 8" xfId="18696"/>
    <cellStyle name="Check Cell 18 9" xfId="19574"/>
    <cellStyle name="Check Cell 19" xfId="11785"/>
    <cellStyle name="Check Cell 19 10" xfId="20495"/>
    <cellStyle name="Check Cell 19 11" xfId="21331"/>
    <cellStyle name="Check Cell 19 12" xfId="22125"/>
    <cellStyle name="Check Cell 19 13" xfId="26726"/>
    <cellStyle name="Check Cell 19 14" xfId="30055"/>
    <cellStyle name="Check Cell 19 15" xfId="31830"/>
    <cellStyle name="Check Cell 19 16" xfId="33586"/>
    <cellStyle name="Check Cell 19 17" xfId="35299"/>
    <cellStyle name="Check Cell 19 18" xfId="36945"/>
    <cellStyle name="Check Cell 19 19" xfId="38506"/>
    <cellStyle name="Check Cell 19 2" xfId="13045"/>
    <cellStyle name="Check Cell 19 20" xfId="39946"/>
    <cellStyle name="Check Cell 19 21" xfId="41199"/>
    <cellStyle name="Check Cell 19 22" xfId="42255"/>
    <cellStyle name="Check Cell 19 3" xfId="14171"/>
    <cellStyle name="Check Cell 19 4" xfId="15100"/>
    <cellStyle name="Check Cell 19 5" xfId="16028"/>
    <cellStyle name="Check Cell 19 6" xfId="16958"/>
    <cellStyle name="Check Cell 19 7" xfId="17866"/>
    <cellStyle name="Check Cell 19 8" xfId="18756"/>
    <cellStyle name="Check Cell 19 9" xfId="19634"/>
    <cellStyle name="Check Cell 2" xfId="3992"/>
    <cellStyle name="Check Cell 2 10" xfId="11847"/>
    <cellStyle name="Check Cell 2 11" xfId="12497"/>
    <cellStyle name="Check Cell 2 12" xfId="12525"/>
    <cellStyle name="Check Cell 2 13" xfId="10964"/>
    <cellStyle name="Check Cell 2 14" xfId="12836"/>
    <cellStyle name="Check Cell 2 15" xfId="15788"/>
    <cellStyle name="Check Cell 2 16" xfId="12388"/>
    <cellStyle name="Check Cell 2 17" xfId="12459"/>
    <cellStyle name="Check Cell 2 18" xfId="12572"/>
    <cellStyle name="Check Cell 2 19" xfId="16699"/>
    <cellStyle name="Check Cell 2 2" xfId="9410"/>
    <cellStyle name="Check Cell 2 2 2" xfId="9578"/>
    <cellStyle name="Check Cell 2 20" xfId="16677"/>
    <cellStyle name="Check Cell 2 21" xfId="21155"/>
    <cellStyle name="Check Cell 2 22" xfId="16755"/>
    <cellStyle name="Check Cell 2 23" xfId="23030"/>
    <cellStyle name="Check Cell 2 24" xfId="23316"/>
    <cellStyle name="Check Cell 2 25" xfId="28694"/>
    <cellStyle name="Check Cell 2 26" xfId="30483"/>
    <cellStyle name="Check Cell 2 27" xfId="32258"/>
    <cellStyle name="Check Cell 2 28" xfId="34011"/>
    <cellStyle name="Check Cell 2 29" xfId="35721"/>
    <cellStyle name="Check Cell 2 3" xfId="10344"/>
    <cellStyle name="Check Cell 2 30" xfId="37360"/>
    <cellStyle name="Check Cell 2 31" xfId="38911"/>
    <cellStyle name="Check Cell 2 32" xfId="40335"/>
    <cellStyle name="Check Cell 2 33" xfId="8738"/>
    <cellStyle name="Check Cell 2 4" xfId="11201"/>
    <cellStyle name="Check Cell 2 5" xfId="11394"/>
    <cellStyle name="Check Cell 2 6" xfId="11582"/>
    <cellStyle name="Check Cell 2 7" xfId="11764"/>
    <cellStyle name="Check Cell 2 8" xfId="11947"/>
    <cellStyle name="Check Cell 2 9" xfId="12125"/>
    <cellStyle name="Check Cell 20" xfId="11968"/>
    <cellStyle name="Check Cell 20 10" xfId="20596"/>
    <cellStyle name="Check Cell 20 11" xfId="21433"/>
    <cellStyle name="Check Cell 20 12" xfId="22224"/>
    <cellStyle name="Check Cell 20 13" xfId="26484"/>
    <cellStyle name="Check Cell 20 14" xfId="29815"/>
    <cellStyle name="Check Cell 20 15" xfId="31590"/>
    <cellStyle name="Check Cell 20 16" xfId="33349"/>
    <cellStyle name="Check Cell 20 17" xfId="35065"/>
    <cellStyle name="Check Cell 20 18" xfId="36716"/>
    <cellStyle name="Check Cell 20 19" xfId="38285"/>
    <cellStyle name="Check Cell 20 2" xfId="13147"/>
    <cellStyle name="Check Cell 20 20" xfId="39735"/>
    <cellStyle name="Check Cell 20 21" xfId="41002"/>
    <cellStyle name="Check Cell 20 22" xfId="42076"/>
    <cellStyle name="Check Cell 20 3" xfId="14273"/>
    <cellStyle name="Check Cell 20 4" xfId="15201"/>
    <cellStyle name="Check Cell 20 5" xfId="16130"/>
    <cellStyle name="Check Cell 20 6" xfId="17060"/>
    <cellStyle name="Check Cell 20 7" xfId="17968"/>
    <cellStyle name="Check Cell 20 8" xfId="18858"/>
    <cellStyle name="Check Cell 20 9" xfId="19736"/>
    <cellStyle name="Check Cell 21" xfId="12144"/>
    <cellStyle name="Check Cell 21 10" xfId="20673"/>
    <cellStyle name="Check Cell 21 11" xfId="21511"/>
    <cellStyle name="Check Cell 21 12" xfId="22299"/>
    <cellStyle name="Check Cell 21 13" xfId="26832"/>
    <cellStyle name="Check Cell 21 14" xfId="30160"/>
    <cellStyle name="Check Cell 21 15" xfId="31935"/>
    <cellStyle name="Check Cell 21 16" xfId="33690"/>
    <cellStyle name="Check Cell 21 17" xfId="35403"/>
    <cellStyle name="Check Cell 21 18" xfId="37048"/>
    <cellStyle name="Check Cell 21 19" xfId="38605"/>
    <cellStyle name="Check Cell 21 2" xfId="13225"/>
    <cellStyle name="Check Cell 21 20" xfId="40039"/>
    <cellStyle name="Check Cell 21 21" xfId="41287"/>
    <cellStyle name="Check Cell 21 22" xfId="42338"/>
    <cellStyle name="Check Cell 21 3" xfId="14350"/>
    <cellStyle name="Check Cell 21 4" xfId="15278"/>
    <cellStyle name="Check Cell 21 5" xfId="16208"/>
    <cellStyle name="Check Cell 21 6" xfId="17138"/>
    <cellStyle name="Check Cell 21 7" xfId="18046"/>
    <cellStyle name="Check Cell 21 8" xfId="18936"/>
    <cellStyle name="Check Cell 21 9" xfId="19813"/>
    <cellStyle name="Check Cell 22" xfId="12328"/>
    <cellStyle name="Check Cell 22 10" xfId="20753"/>
    <cellStyle name="Check Cell 22 11" xfId="21591"/>
    <cellStyle name="Check Cell 22 12" xfId="22377"/>
    <cellStyle name="Check Cell 22 13" xfId="26369"/>
    <cellStyle name="Check Cell 22 14" xfId="29700"/>
    <cellStyle name="Check Cell 22 15" xfId="31475"/>
    <cellStyle name="Check Cell 22 16" xfId="33236"/>
    <cellStyle name="Check Cell 22 17" xfId="34954"/>
    <cellStyle name="Check Cell 22 18" xfId="36607"/>
    <cellStyle name="Check Cell 22 19" xfId="38181"/>
    <cellStyle name="Check Cell 22 2" xfId="13306"/>
    <cellStyle name="Check Cell 22 20" xfId="39634"/>
    <cellStyle name="Check Cell 22 21" xfId="40906"/>
    <cellStyle name="Check Cell 22 22" xfId="41985"/>
    <cellStyle name="Check Cell 22 3" xfId="14430"/>
    <cellStyle name="Check Cell 22 4" xfId="15359"/>
    <cellStyle name="Check Cell 22 5" xfId="16288"/>
    <cellStyle name="Check Cell 22 6" xfId="17218"/>
    <cellStyle name="Check Cell 22 7" xfId="18126"/>
    <cellStyle name="Check Cell 22 8" xfId="19016"/>
    <cellStyle name="Check Cell 22 9" xfId="19893"/>
    <cellStyle name="Check Cell 23" xfId="12516"/>
    <cellStyle name="Check Cell 23 10" xfId="20832"/>
    <cellStyle name="Check Cell 23 11" xfId="21671"/>
    <cellStyle name="Check Cell 23 12" xfId="22455"/>
    <cellStyle name="Check Cell 23 2" xfId="13386"/>
    <cellStyle name="Check Cell 23 3" xfId="14510"/>
    <cellStyle name="Check Cell 23 4" xfId="15437"/>
    <cellStyle name="Check Cell 23 5" xfId="16368"/>
    <cellStyle name="Check Cell 23 6" xfId="17298"/>
    <cellStyle name="Check Cell 23 7" xfId="18206"/>
    <cellStyle name="Check Cell 23 8" xfId="19096"/>
    <cellStyle name="Check Cell 23 9" xfId="19973"/>
    <cellStyle name="Check Cell 24" xfId="12575"/>
    <cellStyle name="Check Cell 24 10" xfId="20910"/>
    <cellStyle name="Check Cell 24 11" xfId="21751"/>
    <cellStyle name="Check Cell 24 12" xfId="22533"/>
    <cellStyle name="Check Cell 24 2" xfId="13466"/>
    <cellStyle name="Check Cell 24 3" xfId="14589"/>
    <cellStyle name="Check Cell 24 4" xfId="15517"/>
    <cellStyle name="Check Cell 24 5" xfId="16448"/>
    <cellStyle name="Check Cell 24 6" xfId="17378"/>
    <cellStyle name="Check Cell 24 7" xfId="18286"/>
    <cellStyle name="Check Cell 24 8" xfId="19176"/>
    <cellStyle name="Check Cell 24 9" xfId="20052"/>
    <cellStyle name="Check Cell 25" xfId="13546"/>
    <cellStyle name="Check Cell 26" xfId="13626"/>
    <cellStyle name="Check Cell 27" xfId="11055"/>
    <cellStyle name="Check Cell 28" xfId="13928"/>
    <cellStyle name="Check Cell 29" xfId="14858"/>
    <cellStyle name="Check Cell 3" xfId="8714"/>
    <cellStyle name="Check Cell 30" xfId="15861"/>
    <cellStyle name="Check Cell 31" xfId="16788"/>
    <cellStyle name="Check Cell 32" xfId="17699"/>
    <cellStyle name="Check Cell 33" xfId="18594"/>
    <cellStyle name="Check Cell 34" xfId="17494"/>
    <cellStyle name="Check Cell 35" xfId="12706"/>
    <cellStyle name="Check Cell 36" xfId="21178"/>
    <cellStyle name="Check Cell 37" xfId="22839"/>
    <cellStyle name="Check Cell 38" xfId="23270"/>
    <cellStyle name="Check Cell 39" xfId="28905"/>
    <cellStyle name="Check Cell 4" xfId="8681"/>
    <cellStyle name="Check Cell 40" xfId="30691"/>
    <cellStyle name="Check Cell 41" xfId="32464"/>
    <cellStyle name="Check Cell 42" xfId="34214"/>
    <cellStyle name="Check Cell 43" xfId="35914"/>
    <cellStyle name="Check Cell 44" xfId="37541"/>
    <cellStyle name="Check Cell 45" xfId="39076"/>
    <cellStyle name="Check Cell 46" xfId="40485"/>
    <cellStyle name="Check Cell 47" xfId="42620"/>
    <cellStyle name="Check Cell 48" xfId="42649"/>
    <cellStyle name="Check Cell 49" xfId="42601"/>
    <cellStyle name="Check Cell 5" xfId="8804"/>
    <cellStyle name="Check Cell 50" xfId="42661"/>
    <cellStyle name="Check Cell 51" xfId="42569"/>
    <cellStyle name="Check Cell 52" xfId="42704"/>
    <cellStyle name="Check Cell 53" xfId="42748"/>
    <cellStyle name="Check Cell 54" xfId="42790"/>
    <cellStyle name="Check Cell 55" xfId="42831"/>
    <cellStyle name="Check Cell 56" xfId="42872"/>
    <cellStyle name="Check Cell 57" xfId="42912"/>
    <cellStyle name="Check Cell 58" xfId="42952"/>
    <cellStyle name="Check Cell 59" xfId="42989"/>
    <cellStyle name="Check Cell 6" xfId="8896"/>
    <cellStyle name="Check Cell 60" xfId="43153"/>
    <cellStyle name="Check Cell 61" xfId="43167"/>
    <cellStyle name="Check Cell 62" xfId="8651"/>
    <cellStyle name="Check Cell 63" xfId="7713"/>
    <cellStyle name="Check Cell 64" xfId="3695"/>
    <cellStyle name="Check Cell 7" xfId="8974"/>
    <cellStyle name="Check Cell 8" xfId="9276"/>
    <cellStyle name="Check Cell 9" xfId="9643"/>
    <cellStyle name="Comma [00]" xfId="3697"/>
    <cellStyle name="Comma [00] 10" xfId="9680"/>
    <cellStyle name="Comma [00] 11" xfId="9788"/>
    <cellStyle name="Comma [00] 12" xfId="9874"/>
    <cellStyle name="Comma [00] 13" xfId="9954"/>
    <cellStyle name="Comma [00] 14" xfId="10038"/>
    <cellStyle name="Comma [00] 15" xfId="9383"/>
    <cellStyle name="Comma [00] 15 10" xfId="19469"/>
    <cellStyle name="Comma [00] 15 11" xfId="11801"/>
    <cellStyle name="Comma [00] 15 12" xfId="21952"/>
    <cellStyle name="Comma [00] 15 13" xfId="26707"/>
    <cellStyle name="Comma [00] 15 14" xfId="30036"/>
    <cellStyle name="Comma [00] 15 15" xfId="31811"/>
    <cellStyle name="Comma [00] 15 16" xfId="33567"/>
    <cellStyle name="Comma [00] 15 17" xfId="35280"/>
    <cellStyle name="Comma [00] 15 18" xfId="36926"/>
    <cellStyle name="Comma [00] 15 19" xfId="38487"/>
    <cellStyle name="Comma [00] 15 2" xfId="12762"/>
    <cellStyle name="Comma [00] 15 20" xfId="39927"/>
    <cellStyle name="Comma [00] 15 21" xfId="41180"/>
    <cellStyle name="Comma [00] 15 22" xfId="42236"/>
    <cellStyle name="Comma [00] 15 3" xfId="13885"/>
    <cellStyle name="Comma [00] 15 4" xfId="13996"/>
    <cellStyle name="Comma [00] 15 5" xfId="13993"/>
    <cellStyle name="Comma [00] 15 6" xfId="16691"/>
    <cellStyle name="Comma [00] 15 7" xfId="17615"/>
    <cellStyle name="Comma [00] 15 8" xfId="18519"/>
    <cellStyle name="Comma [00] 15 9" xfId="19399"/>
    <cellStyle name="Comma [00] 16" xfId="11162"/>
    <cellStyle name="Comma [00] 16 10" xfId="20360"/>
    <cellStyle name="Comma [00] 16 11" xfId="21203"/>
    <cellStyle name="Comma [00] 16 12" xfId="22009"/>
    <cellStyle name="Comma [00] 16 13" xfId="26273"/>
    <cellStyle name="Comma [00] 16 14" xfId="29604"/>
    <cellStyle name="Comma [00] 16 15" xfId="31379"/>
    <cellStyle name="Comma [00] 16 16" xfId="33142"/>
    <cellStyle name="Comma [00] 16 17" xfId="34860"/>
    <cellStyle name="Comma [00] 16 18" xfId="36513"/>
    <cellStyle name="Comma [00] 16 19" xfId="38087"/>
    <cellStyle name="Comma [00] 16 2" xfId="12909"/>
    <cellStyle name="Comma [00] 16 20" xfId="39540"/>
    <cellStyle name="Comma [00] 16 21" xfId="40814"/>
    <cellStyle name="Comma [00] 16 22" xfId="41893"/>
    <cellStyle name="Comma [00] 16 3" xfId="14037"/>
    <cellStyle name="Comma [00] 16 4" xfId="14965"/>
    <cellStyle name="Comma [00] 16 5" xfId="15894"/>
    <cellStyle name="Comma [00] 16 6" xfId="16823"/>
    <cellStyle name="Comma [00] 16 7" xfId="17733"/>
    <cellStyle name="Comma [00] 16 8" xfId="18625"/>
    <cellStyle name="Comma [00] 16 9" xfId="19502"/>
    <cellStyle name="Comma [00] 17" xfId="11355"/>
    <cellStyle name="Comma [00] 17 10" xfId="20342"/>
    <cellStyle name="Comma [00] 17 11" xfId="21186"/>
    <cellStyle name="Comma [00] 17 12" xfId="21995"/>
    <cellStyle name="Comma [00] 17 13" xfId="26821"/>
    <cellStyle name="Comma [00] 17 14" xfId="30149"/>
    <cellStyle name="Comma [00] 17 15" xfId="31924"/>
    <cellStyle name="Comma [00] 17 16" xfId="33679"/>
    <cellStyle name="Comma [00] 17 17" xfId="35392"/>
    <cellStyle name="Comma [00] 17 18" xfId="37037"/>
    <cellStyle name="Comma [00] 17 19" xfId="38594"/>
    <cellStyle name="Comma [00] 17 2" xfId="12883"/>
    <cellStyle name="Comma [00] 17 20" xfId="40028"/>
    <cellStyle name="Comma [00] 17 21" xfId="41276"/>
    <cellStyle name="Comma [00] 17 22" xfId="42327"/>
    <cellStyle name="Comma [00] 17 3" xfId="14013"/>
    <cellStyle name="Comma [00] 17 4" xfId="14943"/>
    <cellStyle name="Comma [00] 17 5" xfId="15871"/>
    <cellStyle name="Comma [00] 17 6" xfId="16798"/>
    <cellStyle name="Comma [00] 17 7" xfId="17710"/>
    <cellStyle name="Comma [00] 17 8" xfId="18603"/>
    <cellStyle name="Comma [00] 17 9" xfId="19483"/>
    <cellStyle name="Comma [00] 18" xfId="11546"/>
    <cellStyle name="Comma [00] 18 10" xfId="20417"/>
    <cellStyle name="Comma [00] 18 11" xfId="21253"/>
    <cellStyle name="Comma [00] 18 12" xfId="22050"/>
    <cellStyle name="Comma [00] 18 13" xfId="26530"/>
    <cellStyle name="Comma [00] 18 14" xfId="29861"/>
    <cellStyle name="Comma [00] 18 15" xfId="31636"/>
    <cellStyle name="Comma [00] 18 16" xfId="33395"/>
    <cellStyle name="Comma [00] 18 17" xfId="35109"/>
    <cellStyle name="Comma [00] 18 18" xfId="36759"/>
    <cellStyle name="Comma [00] 18 19" xfId="38327"/>
    <cellStyle name="Comma [00] 18 2" xfId="12967"/>
    <cellStyle name="Comma [00] 18 20" xfId="39773"/>
    <cellStyle name="Comma [00] 18 21" xfId="41039"/>
    <cellStyle name="Comma [00] 18 22" xfId="42110"/>
    <cellStyle name="Comma [00] 18 3" xfId="14093"/>
    <cellStyle name="Comma [00] 18 4" xfId="15023"/>
    <cellStyle name="Comma [00] 18 5" xfId="15950"/>
    <cellStyle name="Comma [00] 18 6" xfId="16880"/>
    <cellStyle name="Comma [00] 18 7" xfId="17788"/>
    <cellStyle name="Comma [00] 18 8" xfId="18678"/>
    <cellStyle name="Comma [00] 18 9" xfId="19556"/>
    <cellStyle name="Comma [00] 19" xfId="11726"/>
    <cellStyle name="Comma [00] 19 10" xfId="20595"/>
    <cellStyle name="Comma [00] 19 11" xfId="21432"/>
    <cellStyle name="Comma [00] 19 12" xfId="22223"/>
    <cellStyle name="Comma [00] 19 13" xfId="26725"/>
    <cellStyle name="Comma [00] 19 14" xfId="30054"/>
    <cellStyle name="Comma [00] 19 15" xfId="31829"/>
    <cellStyle name="Comma [00] 19 16" xfId="33585"/>
    <cellStyle name="Comma [00] 19 17" xfId="35298"/>
    <cellStyle name="Comma [00] 19 18" xfId="36944"/>
    <cellStyle name="Comma [00] 19 19" xfId="38505"/>
    <cellStyle name="Comma [00] 19 2" xfId="13146"/>
    <cellStyle name="Comma [00] 19 20" xfId="39945"/>
    <cellStyle name="Comma [00] 19 21" xfId="41198"/>
    <cellStyle name="Comma [00] 19 22" xfId="42254"/>
    <cellStyle name="Comma [00] 19 3" xfId="14272"/>
    <cellStyle name="Comma [00] 19 4" xfId="15200"/>
    <cellStyle name="Comma [00] 19 5" xfId="16129"/>
    <cellStyle name="Comma [00] 19 6" xfId="17059"/>
    <cellStyle name="Comma [00] 19 7" xfId="17967"/>
    <cellStyle name="Comma [00] 19 8" xfId="18857"/>
    <cellStyle name="Comma [00] 19 9" xfId="19735"/>
    <cellStyle name="Comma [00] 2" xfId="3698"/>
    <cellStyle name="Comma [00] 2 10" xfId="12357"/>
    <cellStyle name="Comma [00] 2 11" xfId="12437"/>
    <cellStyle name="Comma [00] 2 12" xfId="11908"/>
    <cellStyle name="Comma [00] 2 13" xfId="12254"/>
    <cellStyle name="Comma [00] 2 14" xfId="14899"/>
    <cellStyle name="Comma [00] 2 15" xfId="14975"/>
    <cellStyle name="Comma [00] 2 16" xfId="13962"/>
    <cellStyle name="Comma [00] 2 17" xfId="11928"/>
    <cellStyle name="Comma [00] 2 18" xfId="12375"/>
    <cellStyle name="Comma [00] 2 19" xfId="11735"/>
    <cellStyle name="Comma [00] 2 2" xfId="3994"/>
    <cellStyle name="Comma [00] 2 2 2" xfId="9579"/>
    <cellStyle name="Comma [00] 2 2 3" xfId="9411"/>
    <cellStyle name="Comma [00] 2 20" xfId="20309"/>
    <cellStyle name="Comma [00] 2 21" xfId="21135"/>
    <cellStyle name="Comma [00] 2 22" xfId="18537"/>
    <cellStyle name="Comma [00] 2 23" xfId="23031"/>
    <cellStyle name="Comma [00] 2 24" xfId="23234"/>
    <cellStyle name="Comma [00] 2 25" xfId="28693"/>
    <cellStyle name="Comma [00] 2 26" xfId="30482"/>
    <cellStyle name="Comma [00] 2 27" xfId="32257"/>
    <cellStyle name="Comma [00] 2 28" xfId="34010"/>
    <cellStyle name="Comma [00] 2 29" xfId="35720"/>
    <cellStyle name="Comma [00] 2 3" xfId="10345"/>
    <cellStyle name="Comma [00] 2 30" xfId="37359"/>
    <cellStyle name="Comma [00] 2 31" xfId="38910"/>
    <cellStyle name="Comma [00] 2 32" xfId="40334"/>
    <cellStyle name="Comma [00] 2 33" xfId="8739"/>
    <cellStyle name="Comma [00] 2 34" xfId="7715"/>
    <cellStyle name="Comma [00] 2 4" xfId="11136"/>
    <cellStyle name="Comma [00] 2 5" xfId="11330"/>
    <cellStyle name="Comma [00] 2 6" xfId="11522"/>
    <cellStyle name="Comma [00] 2 7" xfId="11704"/>
    <cellStyle name="Comma [00] 2 8" xfId="11888"/>
    <cellStyle name="Comma [00] 2 9" xfId="12072"/>
    <cellStyle name="Comma [00] 20" xfId="11912"/>
    <cellStyle name="Comma [00] 20 10" xfId="20568"/>
    <cellStyle name="Comma [00] 20 11" xfId="21404"/>
    <cellStyle name="Comma [00] 20 12" xfId="22198"/>
    <cellStyle name="Comma [00] 20 13" xfId="26485"/>
    <cellStyle name="Comma [00] 20 14" xfId="29816"/>
    <cellStyle name="Comma [00] 20 15" xfId="31591"/>
    <cellStyle name="Comma [00] 20 16" xfId="33350"/>
    <cellStyle name="Comma [00] 20 17" xfId="35066"/>
    <cellStyle name="Comma [00] 20 18" xfId="36717"/>
    <cellStyle name="Comma [00] 20 19" xfId="38286"/>
    <cellStyle name="Comma [00] 20 2" xfId="13118"/>
    <cellStyle name="Comma [00] 20 20" xfId="39736"/>
    <cellStyle name="Comma [00] 20 21" xfId="41003"/>
    <cellStyle name="Comma [00] 20 22" xfId="42077"/>
    <cellStyle name="Comma [00] 20 3" xfId="14244"/>
    <cellStyle name="Comma [00] 20 4" xfId="15173"/>
    <cellStyle name="Comma [00] 20 5" xfId="16101"/>
    <cellStyle name="Comma [00] 20 6" xfId="17031"/>
    <cellStyle name="Comma [00] 20 7" xfId="17939"/>
    <cellStyle name="Comma [00] 20 8" xfId="18829"/>
    <cellStyle name="Comma [00] 20 9" xfId="19707"/>
    <cellStyle name="Comma [00] 21" xfId="12094"/>
    <cellStyle name="Comma [00] 21 10" xfId="20655"/>
    <cellStyle name="Comma [00] 21 11" xfId="21493"/>
    <cellStyle name="Comma [00] 21 12" xfId="22281"/>
    <cellStyle name="Comma [00] 21 13" xfId="26831"/>
    <cellStyle name="Comma [00] 21 14" xfId="30159"/>
    <cellStyle name="Comma [00] 21 15" xfId="31934"/>
    <cellStyle name="Comma [00] 21 16" xfId="33689"/>
    <cellStyle name="Comma [00] 21 17" xfId="35402"/>
    <cellStyle name="Comma [00] 21 18" xfId="37047"/>
    <cellStyle name="Comma [00] 21 19" xfId="38604"/>
    <cellStyle name="Comma [00] 21 2" xfId="13207"/>
    <cellStyle name="Comma [00] 21 20" xfId="40038"/>
    <cellStyle name="Comma [00] 21 21" xfId="41286"/>
    <cellStyle name="Comma [00] 21 22" xfId="42337"/>
    <cellStyle name="Comma [00] 21 3" xfId="14332"/>
    <cellStyle name="Comma [00] 21 4" xfId="15260"/>
    <cellStyle name="Comma [00] 21 5" xfId="16190"/>
    <cellStyle name="Comma [00] 21 6" xfId="17120"/>
    <cellStyle name="Comma [00] 21 7" xfId="18028"/>
    <cellStyle name="Comma [00] 21 8" xfId="18918"/>
    <cellStyle name="Comma [00] 21 9" xfId="19795"/>
    <cellStyle name="Comma [00] 22" xfId="12271"/>
    <cellStyle name="Comma [00] 22 10" xfId="20732"/>
    <cellStyle name="Comma [00] 22 11" xfId="21570"/>
    <cellStyle name="Comma [00] 22 12" xfId="22356"/>
    <cellStyle name="Comma [00] 22 13" xfId="26370"/>
    <cellStyle name="Comma [00] 22 14" xfId="29701"/>
    <cellStyle name="Comma [00] 22 15" xfId="31476"/>
    <cellStyle name="Comma [00] 22 16" xfId="33237"/>
    <cellStyle name="Comma [00] 22 17" xfId="34955"/>
    <cellStyle name="Comma [00] 22 18" xfId="36608"/>
    <cellStyle name="Comma [00] 22 19" xfId="38182"/>
    <cellStyle name="Comma [00] 22 2" xfId="13285"/>
    <cellStyle name="Comma [00] 22 20" xfId="39635"/>
    <cellStyle name="Comma [00] 22 21" xfId="40907"/>
    <cellStyle name="Comma [00] 22 22" xfId="41986"/>
    <cellStyle name="Comma [00] 22 3" xfId="14409"/>
    <cellStyle name="Comma [00] 22 4" xfId="15338"/>
    <cellStyle name="Comma [00] 22 5" xfId="16267"/>
    <cellStyle name="Comma [00] 22 6" xfId="17197"/>
    <cellStyle name="Comma [00] 22 7" xfId="18105"/>
    <cellStyle name="Comma [00] 22 8" xfId="18995"/>
    <cellStyle name="Comma [00] 22 9" xfId="19872"/>
    <cellStyle name="Comma [00] 23" xfId="12463"/>
    <cellStyle name="Comma [00] 23 10" xfId="20812"/>
    <cellStyle name="Comma [00] 23 11" xfId="21651"/>
    <cellStyle name="Comma [00] 23 12" xfId="22435"/>
    <cellStyle name="Comma [00] 23 2" xfId="13366"/>
    <cellStyle name="Comma [00] 23 3" xfId="14490"/>
    <cellStyle name="Comma [00] 23 4" xfId="15417"/>
    <cellStyle name="Comma [00] 23 5" xfId="16348"/>
    <cellStyle name="Comma [00] 23 6" xfId="17278"/>
    <cellStyle name="Comma [00] 23 7" xfId="18186"/>
    <cellStyle name="Comma [00] 23 8" xfId="19076"/>
    <cellStyle name="Comma [00] 23 9" xfId="19953"/>
    <cellStyle name="Comma [00] 24" xfId="12350"/>
    <cellStyle name="Comma [00] 24 10" xfId="20890"/>
    <cellStyle name="Comma [00] 24 11" xfId="21731"/>
    <cellStyle name="Comma [00] 24 12" xfId="22513"/>
    <cellStyle name="Comma [00] 24 2" xfId="13446"/>
    <cellStyle name="Comma [00] 24 3" xfId="14569"/>
    <cellStyle name="Comma [00] 24 4" xfId="15497"/>
    <cellStyle name="Comma [00] 24 5" xfId="16428"/>
    <cellStyle name="Comma [00] 24 6" xfId="17358"/>
    <cellStyle name="Comma [00] 24 7" xfId="18266"/>
    <cellStyle name="Comma [00] 24 8" xfId="19156"/>
    <cellStyle name="Comma [00] 24 9" xfId="20032"/>
    <cellStyle name="Comma [00] 25" xfId="13526"/>
    <cellStyle name="Comma [00] 26" xfId="13606"/>
    <cellStyle name="Comma [00] 27" xfId="11476"/>
    <cellStyle name="Comma [00] 28" xfId="13869"/>
    <cellStyle name="Comma [00] 29" xfId="12925"/>
    <cellStyle name="Comma [00] 3" xfId="3699"/>
    <cellStyle name="Comma [00] 3 2" xfId="3995"/>
    <cellStyle name="Comma [00] 3 2 2" xfId="8707"/>
    <cellStyle name="Comma [00] 3 3" xfId="7716"/>
    <cellStyle name="Comma [00] 30" xfId="14939"/>
    <cellStyle name="Comma [00] 31" xfId="11700"/>
    <cellStyle name="Comma [00] 32" xfId="12426"/>
    <cellStyle name="Comma [00] 33" xfId="16566"/>
    <cellStyle name="Comma [00] 34" xfId="11342"/>
    <cellStyle name="Comma [00] 35" xfId="20283"/>
    <cellStyle name="Comma [00] 36" xfId="21128"/>
    <cellStyle name="Comma [00] 37" xfId="22840"/>
    <cellStyle name="Comma [00] 38" xfId="23191"/>
    <cellStyle name="Comma [00] 39" xfId="28903"/>
    <cellStyle name="Comma [00] 4" xfId="8684"/>
    <cellStyle name="Comma [00] 40" xfId="30689"/>
    <cellStyle name="Comma [00] 41" xfId="32462"/>
    <cellStyle name="Comma [00] 42" xfId="34212"/>
    <cellStyle name="Comma [00] 43" xfId="35912"/>
    <cellStyle name="Comma [00] 44" xfId="37539"/>
    <cellStyle name="Comma [00] 45" xfId="39074"/>
    <cellStyle name="Comma [00] 46" xfId="40483"/>
    <cellStyle name="Comma [00] 47" xfId="7830"/>
    <cellStyle name="Comma [00] 48" xfId="7714"/>
    <cellStyle name="Comma [00] 5" xfId="8801"/>
    <cellStyle name="Comma [00] 6" xfId="8892"/>
    <cellStyle name="Comma [00] 7" xfId="8970"/>
    <cellStyle name="Comma [00] 8" xfId="9277"/>
    <cellStyle name="Comma [00] 9" xfId="9639"/>
    <cellStyle name="Comma 2" xfId="3993"/>
    <cellStyle name="Comma 3" xfId="3696"/>
    <cellStyle name="Comma0" xfId="3700"/>
    <cellStyle name="Comma0 2" xfId="3701"/>
    <cellStyle name="Comma0 2 2" xfId="3996"/>
    <cellStyle name="Comma0 3" xfId="3702"/>
    <cellStyle name="Comma0 3 2" xfId="3997"/>
    <cellStyle name="Copied" xfId="3703"/>
    <cellStyle name="Copied 2" xfId="7831"/>
    <cellStyle name="Copied 3" xfId="7717"/>
    <cellStyle name="COST1" xfId="3704"/>
    <cellStyle name="COST1 2" xfId="7832"/>
    <cellStyle name="COST1 3" xfId="7718"/>
    <cellStyle name="Currency (0.00)" xfId="3705"/>
    <cellStyle name="Currency (0.00) 2" xfId="7833"/>
    <cellStyle name="Currency [00]" xfId="3706"/>
    <cellStyle name="Currency [00] 10" xfId="9719"/>
    <cellStyle name="Currency [00] 11" xfId="9803"/>
    <cellStyle name="Currency [00] 12" xfId="9896"/>
    <cellStyle name="Currency [00] 13" xfId="9975"/>
    <cellStyle name="Currency [00] 14" xfId="10056"/>
    <cellStyle name="Currency [00] 15" xfId="9367"/>
    <cellStyle name="Currency [00] 15 10" xfId="19481"/>
    <cellStyle name="Currency [00] 15 11" xfId="19367"/>
    <cellStyle name="Currency [00] 15 12" xfId="21959"/>
    <cellStyle name="Currency [00] 15 13" xfId="26703"/>
    <cellStyle name="Currency [00] 15 14" xfId="30032"/>
    <cellStyle name="Currency [00] 15 15" xfId="31807"/>
    <cellStyle name="Currency [00] 15 16" xfId="33563"/>
    <cellStyle name="Currency [00] 15 17" xfId="35276"/>
    <cellStyle name="Currency [00] 15 18" xfId="36922"/>
    <cellStyle name="Currency [00] 15 19" xfId="38483"/>
    <cellStyle name="Currency [00] 15 2" xfId="12849"/>
    <cellStyle name="Currency [00] 15 20" xfId="39923"/>
    <cellStyle name="Currency [00] 15 21" xfId="41176"/>
    <cellStyle name="Currency [00] 15 22" xfId="42232"/>
    <cellStyle name="Currency [00] 15 3" xfId="13969"/>
    <cellStyle name="Currency [00] 15 4" xfId="14011"/>
    <cellStyle name="Currency [00] 15 5" xfId="12472"/>
    <cellStyle name="Currency [00] 15 6" xfId="16704"/>
    <cellStyle name="Currency [00] 15 7" xfId="17625"/>
    <cellStyle name="Currency [00] 15 8" xfId="18527"/>
    <cellStyle name="Currency [00] 15 9" xfId="19407"/>
    <cellStyle name="Currency [00] 16" xfId="10869"/>
    <cellStyle name="Currency [00] 16 10" xfId="20364"/>
    <cellStyle name="Currency [00] 16 11" xfId="21207"/>
    <cellStyle name="Currency [00] 16 12" xfId="22013"/>
    <cellStyle name="Currency [00] 16 13" xfId="26275"/>
    <cellStyle name="Currency [00] 16 14" xfId="29606"/>
    <cellStyle name="Currency [00] 16 15" xfId="31381"/>
    <cellStyle name="Currency [00] 16 16" xfId="33144"/>
    <cellStyle name="Currency [00] 16 17" xfId="34862"/>
    <cellStyle name="Currency [00] 16 18" xfId="36515"/>
    <cellStyle name="Currency [00] 16 19" xfId="38089"/>
    <cellStyle name="Currency [00] 16 2" xfId="12913"/>
    <cellStyle name="Currency [00] 16 20" xfId="39542"/>
    <cellStyle name="Currency [00] 16 21" xfId="40816"/>
    <cellStyle name="Currency [00] 16 22" xfId="41895"/>
    <cellStyle name="Currency [00] 16 3" xfId="14041"/>
    <cellStyle name="Currency [00] 16 4" xfId="14969"/>
    <cellStyle name="Currency [00] 16 5" xfId="15898"/>
    <cellStyle name="Currency [00] 16 6" xfId="16827"/>
    <cellStyle name="Currency [00] 16 7" xfId="17737"/>
    <cellStyle name="Currency [00] 16 8" xfId="18629"/>
    <cellStyle name="Currency [00] 16 9" xfId="19506"/>
    <cellStyle name="Currency [00] 17" xfId="10710"/>
    <cellStyle name="Currency [00] 17 10" xfId="20438"/>
    <cellStyle name="Currency [00] 17 11" xfId="21274"/>
    <cellStyle name="Currency [00] 17 12" xfId="22071"/>
    <cellStyle name="Currency [00] 17 13" xfId="26820"/>
    <cellStyle name="Currency [00] 17 14" xfId="30148"/>
    <cellStyle name="Currency [00] 17 15" xfId="31923"/>
    <cellStyle name="Currency [00] 17 16" xfId="33678"/>
    <cellStyle name="Currency [00] 17 17" xfId="35391"/>
    <cellStyle name="Currency [00] 17 18" xfId="37036"/>
    <cellStyle name="Currency [00] 17 19" xfId="38593"/>
    <cellStyle name="Currency [00] 17 2" xfId="12988"/>
    <cellStyle name="Currency [00] 17 20" xfId="40027"/>
    <cellStyle name="Currency [00] 17 21" xfId="41275"/>
    <cellStyle name="Currency [00] 17 22" xfId="42326"/>
    <cellStyle name="Currency [00] 17 3" xfId="14114"/>
    <cellStyle name="Currency [00] 17 4" xfId="15044"/>
    <cellStyle name="Currency [00] 17 5" xfId="15971"/>
    <cellStyle name="Currency [00] 17 6" xfId="16901"/>
    <cellStyle name="Currency [00] 17 7" xfId="17809"/>
    <cellStyle name="Currency [00] 17 8" xfId="18699"/>
    <cellStyle name="Currency [00] 17 9" xfId="19577"/>
    <cellStyle name="Currency [00] 18" xfId="11120"/>
    <cellStyle name="Currency [00] 18 10" xfId="20519"/>
    <cellStyle name="Currency [00] 18 11" xfId="21355"/>
    <cellStyle name="Currency [00] 18 12" xfId="22149"/>
    <cellStyle name="Currency [00] 18 13" xfId="26531"/>
    <cellStyle name="Currency [00] 18 14" xfId="29862"/>
    <cellStyle name="Currency [00] 18 15" xfId="31637"/>
    <cellStyle name="Currency [00] 18 16" xfId="33396"/>
    <cellStyle name="Currency [00] 18 17" xfId="35110"/>
    <cellStyle name="Currency [00] 18 18" xfId="36760"/>
    <cellStyle name="Currency [00] 18 19" xfId="38328"/>
    <cellStyle name="Currency [00] 18 2" xfId="13069"/>
    <cellStyle name="Currency [00] 18 20" xfId="39774"/>
    <cellStyle name="Currency [00] 18 21" xfId="41040"/>
    <cellStyle name="Currency [00] 18 22" xfId="42111"/>
    <cellStyle name="Currency [00] 18 3" xfId="14195"/>
    <cellStyle name="Currency [00] 18 4" xfId="15124"/>
    <cellStyle name="Currency [00] 18 5" xfId="16052"/>
    <cellStyle name="Currency [00] 18 6" xfId="16982"/>
    <cellStyle name="Currency [00] 18 7" xfId="17890"/>
    <cellStyle name="Currency [00] 18 8" xfId="18780"/>
    <cellStyle name="Currency [00] 18 9" xfId="19658"/>
    <cellStyle name="Currency [00] 19" xfId="11314"/>
    <cellStyle name="Currency [00] 19 10" xfId="20599"/>
    <cellStyle name="Currency [00] 19 11" xfId="21436"/>
    <cellStyle name="Currency [00] 19 12" xfId="22227"/>
    <cellStyle name="Currency [00] 19 13" xfId="26724"/>
    <cellStyle name="Currency [00] 19 14" xfId="30053"/>
    <cellStyle name="Currency [00] 19 15" xfId="31828"/>
    <cellStyle name="Currency [00] 19 16" xfId="33584"/>
    <cellStyle name="Currency [00] 19 17" xfId="35297"/>
    <cellStyle name="Currency [00] 19 18" xfId="36943"/>
    <cellStyle name="Currency [00] 19 19" xfId="38504"/>
    <cellStyle name="Currency [00] 19 2" xfId="13150"/>
    <cellStyle name="Currency [00] 19 20" xfId="39944"/>
    <cellStyle name="Currency [00] 19 21" xfId="41197"/>
    <cellStyle name="Currency [00] 19 22" xfId="42253"/>
    <cellStyle name="Currency [00] 19 3" xfId="14276"/>
    <cellStyle name="Currency [00] 19 4" xfId="15204"/>
    <cellStyle name="Currency [00] 19 5" xfId="16133"/>
    <cellStyle name="Currency [00] 19 6" xfId="17063"/>
    <cellStyle name="Currency [00] 19 7" xfId="17971"/>
    <cellStyle name="Currency [00] 19 8" xfId="18861"/>
    <cellStyle name="Currency [00] 19 9" xfId="19739"/>
    <cellStyle name="Currency [00] 2" xfId="3707"/>
    <cellStyle name="Currency [00] 2 10" xfId="11910"/>
    <cellStyle name="Currency [00] 2 11" xfId="11188"/>
    <cellStyle name="Currency [00] 2 12" xfId="12268"/>
    <cellStyle name="Currency [00] 2 13" xfId="12412"/>
    <cellStyle name="Currency [00] 2 14" xfId="13908"/>
    <cellStyle name="Currency [00] 2 15" xfId="12561"/>
    <cellStyle name="Currency [00] 2 16" xfId="11159"/>
    <cellStyle name="Currency [00] 2 17" xfId="15337"/>
    <cellStyle name="Currency [00] 2 18" xfId="15707"/>
    <cellStyle name="Currency [00] 2 19" xfId="12657"/>
    <cellStyle name="Currency [00] 2 2" xfId="3998"/>
    <cellStyle name="Currency [00] 2 2 2" xfId="9580"/>
    <cellStyle name="Currency [00] 2 2 3" xfId="9415"/>
    <cellStyle name="Currency [00] 2 20" xfId="13860"/>
    <cellStyle name="Currency [00] 2 21" xfId="15806"/>
    <cellStyle name="Currency [00] 2 22" xfId="18534"/>
    <cellStyle name="Currency [00] 2 23" xfId="23035"/>
    <cellStyle name="Currency [00] 2 24" xfId="22881"/>
    <cellStyle name="Currency [00] 2 25" xfId="28688"/>
    <cellStyle name="Currency [00] 2 26" xfId="30477"/>
    <cellStyle name="Currency [00] 2 27" xfId="32252"/>
    <cellStyle name="Currency [00] 2 28" xfId="34005"/>
    <cellStyle name="Currency [00] 2 29" xfId="35716"/>
    <cellStyle name="Currency [00] 2 3" xfId="10349"/>
    <cellStyle name="Currency [00] 2 30" xfId="37356"/>
    <cellStyle name="Currency [00] 2 31" xfId="38907"/>
    <cellStyle name="Currency [00] 2 32" xfId="40332"/>
    <cellStyle name="Currency [00] 2 33" xfId="8743"/>
    <cellStyle name="Currency [00] 2 4" xfId="10916"/>
    <cellStyle name="Currency [00] 2 5" xfId="10563"/>
    <cellStyle name="Currency [00] 2 6" xfId="11182"/>
    <cellStyle name="Currency [00] 2 7" xfId="11375"/>
    <cellStyle name="Currency [00] 2 8" xfId="11565"/>
    <cellStyle name="Currency [00] 2 9" xfId="11745"/>
    <cellStyle name="Currency [00] 20" xfId="11507"/>
    <cellStyle name="Currency [00] 20 10" xfId="20676"/>
    <cellStyle name="Currency [00] 20 11" xfId="21514"/>
    <cellStyle name="Currency [00] 20 12" xfId="22302"/>
    <cellStyle name="Currency [00] 20 13" xfId="26486"/>
    <cellStyle name="Currency [00] 20 14" xfId="29817"/>
    <cellStyle name="Currency [00] 20 15" xfId="31592"/>
    <cellStyle name="Currency [00] 20 16" xfId="33351"/>
    <cellStyle name="Currency [00] 20 17" xfId="35067"/>
    <cellStyle name="Currency [00] 20 18" xfId="36718"/>
    <cellStyle name="Currency [00] 20 19" xfId="38287"/>
    <cellStyle name="Currency [00] 20 2" xfId="13228"/>
    <cellStyle name="Currency [00] 20 20" xfId="39737"/>
    <cellStyle name="Currency [00] 20 21" xfId="41004"/>
    <cellStyle name="Currency [00] 20 22" xfId="42078"/>
    <cellStyle name="Currency [00] 20 3" xfId="14353"/>
    <cellStyle name="Currency [00] 20 4" xfId="15281"/>
    <cellStyle name="Currency [00] 20 5" xfId="16211"/>
    <cellStyle name="Currency [00] 20 6" xfId="17141"/>
    <cellStyle name="Currency [00] 20 7" xfId="18049"/>
    <cellStyle name="Currency [00] 20 8" xfId="18939"/>
    <cellStyle name="Currency [00] 20 9" xfId="19816"/>
    <cellStyle name="Currency [00] 21" xfId="11690"/>
    <cellStyle name="Currency [00] 21 10" xfId="20756"/>
    <cellStyle name="Currency [00] 21 11" xfId="21594"/>
    <cellStyle name="Currency [00] 21 12" xfId="22380"/>
    <cellStyle name="Currency [00] 21 13" xfId="26830"/>
    <cellStyle name="Currency [00] 21 14" xfId="30158"/>
    <cellStyle name="Currency [00] 21 15" xfId="31933"/>
    <cellStyle name="Currency [00] 21 16" xfId="33688"/>
    <cellStyle name="Currency [00] 21 17" xfId="35401"/>
    <cellStyle name="Currency [00] 21 18" xfId="37046"/>
    <cellStyle name="Currency [00] 21 19" xfId="38603"/>
    <cellStyle name="Currency [00] 21 2" xfId="13309"/>
    <cellStyle name="Currency [00] 21 20" xfId="40037"/>
    <cellStyle name="Currency [00] 21 21" xfId="41285"/>
    <cellStyle name="Currency [00] 21 22" xfId="42336"/>
    <cellStyle name="Currency [00] 21 3" xfId="14433"/>
    <cellStyle name="Currency [00] 21 4" xfId="15362"/>
    <cellStyle name="Currency [00] 21 5" xfId="16291"/>
    <cellStyle name="Currency [00] 21 6" xfId="17221"/>
    <cellStyle name="Currency [00] 21 7" xfId="18129"/>
    <cellStyle name="Currency [00] 21 8" xfId="19019"/>
    <cellStyle name="Currency [00] 21 9" xfId="19896"/>
    <cellStyle name="Currency [00] 22" xfId="11295"/>
    <cellStyle name="Currency [00] 22 10" xfId="20835"/>
    <cellStyle name="Currency [00] 22 11" xfId="21674"/>
    <cellStyle name="Currency [00] 22 12" xfId="22458"/>
    <cellStyle name="Currency [00] 22 13" xfId="26371"/>
    <cellStyle name="Currency [00] 22 14" xfId="29702"/>
    <cellStyle name="Currency [00] 22 15" xfId="31477"/>
    <cellStyle name="Currency [00] 22 16" xfId="33238"/>
    <cellStyle name="Currency [00] 22 17" xfId="34956"/>
    <cellStyle name="Currency [00] 22 18" xfId="36609"/>
    <cellStyle name="Currency [00] 22 19" xfId="38183"/>
    <cellStyle name="Currency [00] 22 2" xfId="13389"/>
    <cellStyle name="Currency [00] 22 20" xfId="39636"/>
    <cellStyle name="Currency [00] 22 21" xfId="40908"/>
    <cellStyle name="Currency [00] 22 22" xfId="41987"/>
    <cellStyle name="Currency [00] 22 3" xfId="14513"/>
    <cellStyle name="Currency [00] 22 4" xfId="15440"/>
    <cellStyle name="Currency [00] 22 5" xfId="16371"/>
    <cellStyle name="Currency [00] 22 6" xfId="17301"/>
    <cellStyle name="Currency [00] 22 7" xfId="18209"/>
    <cellStyle name="Currency [00] 22 8" xfId="19099"/>
    <cellStyle name="Currency [00] 22 9" xfId="19976"/>
    <cellStyle name="Currency [00] 23" xfId="10498"/>
    <cellStyle name="Currency [00] 23 10" xfId="20913"/>
    <cellStyle name="Currency [00] 23 11" xfId="21754"/>
    <cellStyle name="Currency [00] 23 12" xfId="22536"/>
    <cellStyle name="Currency [00] 23 2" xfId="13469"/>
    <cellStyle name="Currency [00] 23 3" xfId="14592"/>
    <cellStyle name="Currency [00] 23 4" xfId="15520"/>
    <cellStyle name="Currency [00] 23 5" xfId="16451"/>
    <cellStyle name="Currency [00] 23 6" xfId="17381"/>
    <cellStyle name="Currency [00] 23 7" xfId="18289"/>
    <cellStyle name="Currency [00] 23 8" xfId="19179"/>
    <cellStyle name="Currency [00] 23 9" xfId="20055"/>
    <cellStyle name="Currency [00] 24" xfId="12423"/>
    <cellStyle name="Currency [00] 24 10" xfId="20988"/>
    <cellStyle name="Currency [00] 24 11" xfId="21828"/>
    <cellStyle name="Currency [00] 24 12" xfId="22609"/>
    <cellStyle name="Currency [00] 24 2" xfId="13549"/>
    <cellStyle name="Currency [00] 24 3" xfId="14668"/>
    <cellStyle name="Currency [00] 24 4" xfId="15599"/>
    <cellStyle name="Currency [00] 24 5" xfId="16529"/>
    <cellStyle name="Currency [00] 24 6" xfId="17458"/>
    <cellStyle name="Currency [00] 24 7" xfId="18365"/>
    <cellStyle name="Currency [00] 24 8" xfId="19254"/>
    <cellStyle name="Currency [00] 24 9" xfId="20128"/>
    <cellStyle name="Currency [00] 25" xfId="13629"/>
    <cellStyle name="Currency [00] 26" xfId="13704"/>
    <cellStyle name="Currency [00] 27" xfId="12810"/>
    <cellStyle name="Currency [00] 28" xfId="11307"/>
    <cellStyle name="Currency [00] 29" xfId="13845"/>
    <cellStyle name="Currency [00] 3" xfId="3708"/>
    <cellStyle name="Currency [00] 3 2" xfId="3999"/>
    <cellStyle name="Currency [00] 3 2 2" xfId="8704"/>
    <cellStyle name="Currency [00] 30" xfId="12658"/>
    <cellStyle name="Currency [00] 31" xfId="13877"/>
    <cellStyle name="Currency [00] 32" xfId="15798"/>
    <cellStyle name="Currency [00] 33" xfId="12249"/>
    <cellStyle name="Currency [00] 34" xfId="15717"/>
    <cellStyle name="Currency [00] 35" xfId="19415"/>
    <cellStyle name="Currency [00] 36" xfId="16747"/>
    <cellStyle name="Currency [00] 37" xfId="22844"/>
    <cellStyle name="Currency [00] 38" xfId="24860"/>
    <cellStyle name="Currency [00] 39" xfId="28899"/>
    <cellStyle name="Currency [00] 4" xfId="8705"/>
    <cellStyle name="Currency [00] 40" xfId="30685"/>
    <cellStyle name="Currency [00] 41" xfId="32458"/>
    <cellStyle name="Currency [00] 42" xfId="34209"/>
    <cellStyle name="Currency [00] 43" xfId="35909"/>
    <cellStyle name="Currency [00] 44" xfId="37536"/>
    <cellStyle name="Currency [00] 45" xfId="39073"/>
    <cellStyle name="Currency [00] 46" xfId="40482"/>
    <cellStyle name="Currency [00] 47" xfId="7834"/>
    <cellStyle name="Currency [00] 5" xfId="8703"/>
    <cellStyle name="Currency [00] 6" xfId="8706"/>
    <cellStyle name="Currency [00] 7" xfId="8696"/>
    <cellStyle name="Currency [00] 8" xfId="9278"/>
    <cellStyle name="Currency [00] 9" xfId="9681"/>
    <cellStyle name="Currency 2" xfId="7935"/>
    <cellStyle name="Currency0" xfId="3709"/>
    <cellStyle name="Currency0 2" xfId="3710"/>
    <cellStyle name="Currency0 2 2" xfId="4000"/>
    <cellStyle name="Currency0 3" xfId="3711"/>
    <cellStyle name="Currency0 3 2" xfId="4001"/>
    <cellStyle name="Date" xfId="3712"/>
    <cellStyle name="Date 2" xfId="3713"/>
    <cellStyle name="Date 2 2" xfId="4002"/>
    <cellStyle name="Date 3" xfId="3714"/>
    <cellStyle name="Date 3 2" xfId="4003"/>
    <cellStyle name="Date Short" xfId="3715"/>
    <cellStyle name="Date_OpticalStorage_pricelist 31 10 2005" xfId="3716"/>
    <cellStyle name="Dezimal [0]_Pivot Table (2)" xfId="3717"/>
    <cellStyle name="Dezimal_RESULTS" xfId="3718"/>
    <cellStyle name="Dziesiętny [0]_laroux" xfId="3719"/>
    <cellStyle name="Dziesiętny_laroux" xfId="3720"/>
    <cellStyle name="Enter Currency (0)" xfId="3721"/>
    <cellStyle name="Enter Currency (0) 10" xfId="9730"/>
    <cellStyle name="Enter Currency (0) 11" xfId="9819"/>
    <cellStyle name="Enter Currency (0) 12" xfId="9912"/>
    <cellStyle name="Enter Currency (0) 13" xfId="9991"/>
    <cellStyle name="Enter Currency (0) 14" xfId="10070"/>
    <cellStyle name="Enter Currency (0) 15" xfId="9352"/>
    <cellStyle name="Enter Currency (0) 15 10" xfId="20325"/>
    <cellStyle name="Enter Currency (0) 15 11" xfId="21172"/>
    <cellStyle name="Enter Currency (0) 15 12" xfId="21985"/>
    <cellStyle name="Enter Currency (0) 15 13" xfId="26911"/>
    <cellStyle name="Enter Currency (0) 15 14" xfId="30239"/>
    <cellStyle name="Enter Currency (0) 15 15" xfId="32014"/>
    <cellStyle name="Enter Currency (0) 15 16" xfId="33769"/>
    <cellStyle name="Enter Currency (0) 15 17" xfId="35482"/>
    <cellStyle name="Enter Currency (0) 15 18" xfId="37126"/>
    <cellStyle name="Enter Currency (0) 15 19" xfId="38682"/>
    <cellStyle name="Enter Currency (0) 15 2" xfId="12864"/>
    <cellStyle name="Enter Currency (0) 15 20" xfId="40116"/>
    <cellStyle name="Enter Currency (0) 15 21" xfId="41363"/>
    <cellStyle name="Enter Currency (0) 15 22" xfId="42414"/>
    <cellStyle name="Enter Currency (0) 15 3" xfId="13987"/>
    <cellStyle name="Enter Currency (0) 15 4" xfId="14920"/>
    <cellStyle name="Enter Currency (0) 15 5" xfId="15849"/>
    <cellStyle name="Enter Currency (0) 15 6" xfId="16778"/>
    <cellStyle name="Enter Currency (0) 15 7" xfId="17685"/>
    <cellStyle name="Enter Currency (0) 15 8" xfId="18586"/>
    <cellStyle name="Enter Currency (0) 15 9" xfId="19463"/>
    <cellStyle name="Enter Currency (0) 16" xfId="11264"/>
    <cellStyle name="Enter Currency (0) 16 10" xfId="20381"/>
    <cellStyle name="Enter Currency (0) 16 11" xfId="21220"/>
    <cellStyle name="Enter Currency (0) 16 12" xfId="22023"/>
    <cellStyle name="Enter Currency (0) 16 13" xfId="26279"/>
    <cellStyle name="Enter Currency (0) 16 14" xfId="29610"/>
    <cellStyle name="Enter Currency (0) 16 15" xfId="31385"/>
    <cellStyle name="Enter Currency (0) 16 16" xfId="33148"/>
    <cellStyle name="Enter Currency (0) 16 17" xfId="34866"/>
    <cellStyle name="Enter Currency (0) 16 18" xfId="36519"/>
    <cellStyle name="Enter Currency (0) 16 19" xfId="38093"/>
    <cellStyle name="Enter Currency (0) 16 2" xfId="12932"/>
    <cellStyle name="Enter Currency (0) 16 20" xfId="39546"/>
    <cellStyle name="Enter Currency (0) 16 21" xfId="40820"/>
    <cellStyle name="Enter Currency (0) 16 22" xfId="41899"/>
    <cellStyle name="Enter Currency (0) 16 3" xfId="14058"/>
    <cellStyle name="Enter Currency (0) 16 4" xfId="14988"/>
    <cellStyle name="Enter Currency (0) 16 5" xfId="15916"/>
    <cellStyle name="Enter Currency (0) 16 6" xfId="16845"/>
    <cellStyle name="Enter Currency (0) 16 7" xfId="17754"/>
    <cellStyle name="Enter Currency (0) 16 8" xfId="18644"/>
    <cellStyle name="Enter Currency (0) 16 9" xfId="19523"/>
    <cellStyle name="Enter Currency (0) 17" xfId="11455"/>
    <cellStyle name="Enter Currency (0) 17 10" xfId="20458"/>
    <cellStyle name="Enter Currency (0) 17 11" xfId="21294"/>
    <cellStyle name="Enter Currency (0) 17 12" xfId="22091"/>
    <cellStyle name="Enter Currency (0) 17 13" xfId="26819"/>
    <cellStyle name="Enter Currency (0) 17 14" xfId="30147"/>
    <cellStyle name="Enter Currency (0) 17 15" xfId="31922"/>
    <cellStyle name="Enter Currency (0) 17 16" xfId="33677"/>
    <cellStyle name="Enter Currency (0) 17 17" xfId="35390"/>
    <cellStyle name="Enter Currency (0) 17 18" xfId="37035"/>
    <cellStyle name="Enter Currency (0) 17 19" xfId="38592"/>
    <cellStyle name="Enter Currency (0) 17 2" xfId="13008"/>
    <cellStyle name="Enter Currency (0) 17 20" xfId="40026"/>
    <cellStyle name="Enter Currency (0) 17 21" xfId="41274"/>
    <cellStyle name="Enter Currency (0) 17 22" xfId="42325"/>
    <cellStyle name="Enter Currency (0) 17 3" xfId="14134"/>
    <cellStyle name="Enter Currency (0) 17 4" xfId="15064"/>
    <cellStyle name="Enter Currency (0) 17 5" xfId="15991"/>
    <cellStyle name="Enter Currency (0) 17 6" xfId="16921"/>
    <cellStyle name="Enter Currency (0) 17 7" xfId="17829"/>
    <cellStyle name="Enter Currency (0) 17 8" xfId="18719"/>
    <cellStyle name="Enter Currency (0) 17 9" xfId="19597"/>
    <cellStyle name="Enter Currency (0) 18" xfId="11642"/>
    <cellStyle name="Enter Currency (0) 18 10" xfId="20539"/>
    <cellStyle name="Enter Currency (0) 18 11" xfId="21375"/>
    <cellStyle name="Enter Currency (0) 18 12" xfId="22169"/>
    <cellStyle name="Enter Currency (0) 18 13" xfId="26532"/>
    <cellStyle name="Enter Currency (0) 18 14" xfId="29863"/>
    <cellStyle name="Enter Currency (0) 18 15" xfId="31638"/>
    <cellStyle name="Enter Currency (0) 18 16" xfId="33397"/>
    <cellStyle name="Enter Currency (0) 18 17" xfId="35111"/>
    <cellStyle name="Enter Currency (0) 18 18" xfId="36761"/>
    <cellStyle name="Enter Currency (0) 18 19" xfId="38329"/>
    <cellStyle name="Enter Currency (0) 18 2" xfId="13089"/>
    <cellStyle name="Enter Currency (0) 18 20" xfId="39775"/>
    <cellStyle name="Enter Currency (0) 18 21" xfId="41041"/>
    <cellStyle name="Enter Currency (0) 18 22" xfId="42112"/>
    <cellStyle name="Enter Currency (0) 18 3" xfId="14215"/>
    <cellStyle name="Enter Currency (0) 18 4" xfId="15144"/>
    <cellStyle name="Enter Currency (0) 18 5" xfId="16072"/>
    <cellStyle name="Enter Currency (0) 18 6" xfId="17002"/>
    <cellStyle name="Enter Currency (0) 18 7" xfId="17910"/>
    <cellStyle name="Enter Currency (0) 18 8" xfId="18800"/>
    <cellStyle name="Enter Currency (0) 18 9" xfId="19678"/>
    <cellStyle name="Enter Currency (0) 19" xfId="11825"/>
    <cellStyle name="Enter Currency (0) 19 10" xfId="20619"/>
    <cellStyle name="Enter Currency (0) 19 11" xfId="21456"/>
    <cellStyle name="Enter Currency (0) 19 12" xfId="22247"/>
    <cellStyle name="Enter Currency (0) 19 13" xfId="26947"/>
    <cellStyle name="Enter Currency (0) 19 14" xfId="30275"/>
    <cellStyle name="Enter Currency (0) 19 15" xfId="32050"/>
    <cellStyle name="Enter Currency (0) 19 16" xfId="33805"/>
    <cellStyle name="Enter Currency (0) 19 17" xfId="35518"/>
    <cellStyle name="Enter Currency (0) 19 18" xfId="37162"/>
    <cellStyle name="Enter Currency (0) 19 19" xfId="38718"/>
    <cellStyle name="Enter Currency (0) 19 2" xfId="13170"/>
    <cellStyle name="Enter Currency (0) 19 20" xfId="40152"/>
    <cellStyle name="Enter Currency (0) 19 21" xfId="41397"/>
    <cellStyle name="Enter Currency (0) 19 22" xfId="42447"/>
    <cellStyle name="Enter Currency (0) 19 3" xfId="14296"/>
    <cellStyle name="Enter Currency (0) 19 4" xfId="15224"/>
    <cellStyle name="Enter Currency (0) 19 5" xfId="16153"/>
    <cellStyle name="Enter Currency (0) 19 6" xfId="17083"/>
    <cellStyle name="Enter Currency (0) 19 7" xfId="17991"/>
    <cellStyle name="Enter Currency (0) 19 8" xfId="18881"/>
    <cellStyle name="Enter Currency (0) 19 9" xfId="19759"/>
    <cellStyle name="Enter Currency (0) 2" xfId="3722"/>
    <cellStyle name="Enter Currency (0) 2 10" xfId="11794"/>
    <cellStyle name="Enter Currency (0) 2 11" xfId="11984"/>
    <cellStyle name="Enter Currency (0) 2 12" xfId="12429"/>
    <cellStyle name="Enter Currency (0) 2 13" xfId="12567"/>
    <cellStyle name="Enter Currency (0) 2 14" xfId="12689"/>
    <cellStyle name="Enter Currency (0) 2 15" xfId="12232"/>
    <cellStyle name="Enter Currency (0) 2 16" xfId="11817"/>
    <cellStyle name="Enter Currency (0) 2 17" xfId="16584"/>
    <cellStyle name="Enter Currency (0) 2 18" xfId="17513"/>
    <cellStyle name="Enter Currency (0) 2 19" xfId="18417"/>
    <cellStyle name="Enter Currency (0) 2 2" xfId="4004"/>
    <cellStyle name="Enter Currency (0) 2 2 2" xfId="9581"/>
    <cellStyle name="Enter Currency (0) 2 2 3" xfId="9419"/>
    <cellStyle name="Enter Currency (0) 2 20" xfId="13887"/>
    <cellStyle name="Enter Currency (0) 2 21" xfId="14648"/>
    <cellStyle name="Enter Currency (0) 2 22" xfId="13995"/>
    <cellStyle name="Enter Currency (0) 2 23" xfId="23039"/>
    <cellStyle name="Enter Currency (0) 2 24" xfId="23397"/>
    <cellStyle name="Enter Currency (0) 2 25" xfId="28684"/>
    <cellStyle name="Enter Currency (0) 2 26" xfId="30473"/>
    <cellStyle name="Enter Currency (0) 2 27" xfId="32248"/>
    <cellStyle name="Enter Currency (0) 2 28" xfId="34001"/>
    <cellStyle name="Enter Currency (0) 2 29" xfId="35712"/>
    <cellStyle name="Enter Currency (0) 2 3" xfId="10352"/>
    <cellStyle name="Enter Currency (0) 2 30" xfId="37352"/>
    <cellStyle name="Enter Currency (0) 2 31" xfId="38905"/>
    <cellStyle name="Enter Currency (0) 2 32" xfId="40331"/>
    <cellStyle name="Enter Currency (0) 2 33" xfId="8746"/>
    <cellStyle name="Enter Currency (0) 2 34" xfId="7720"/>
    <cellStyle name="Enter Currency (0) 2 4" xfId="10617"/>
    <cellStyle name="Enter Currency (0) 2 5" xfId="10720"/>
    <cellStyle name="Enter Currency (0) 2 6" xfId="10293"/>
    <cellStyle name="Enter Currency (0) 2 7" xfId="11142"/>
    <cellStyle name="Enter Currency (0) 2 8" xfId="11336"/>
    <cellStyle name="Enter Currency (0) 2 9" xfId="11529"/>
    <cellStyle name="Enter Currency (0) 20" xfId="12007"/>
    <cellStyle name="Enter Currency (0) 20 10" xfId="20696"/>
    <cellStyle name="Enter Currency (0) 20 11" xfId="21534"/>
    <cellStyle name="Enter Currency (0) 20 12" xfId="22322"/>
    <cellStyle name="Enter Currency (0) 20 13" xfId="26963"/>
    <cellStyle name="Enter Currency (0) 20 14" xfId="30292"/>
    <cellStyle name="Enter Currency (0) 20 15" xfId="32067"/>
    <cellStyle name="Enter Currency (0) 20 16" xfId="33822"/>
    <cellStyle name="Enter Currency (0) 20 17" xfId="35535"/>
    <cellStyle name="Enter Currency (0) 20 18" xfId="37179"/>
    <cellStyle name="Enter Currency (0) 20 19" xfId="38735"/>
    <cellStyle name="Enter Currency (0) 20 2" xfId="13248"/>
    <cellStyle name="Enter Currency (0) 20 20" xfId="40169"/>
    <cellStyle name="Enter Currency (0) 20 21" xfId="41412"/>
    <cellStyle name="Enter Currency (0) 20 22" xfId="42461"/>
    <cellStyle name="Enter Currency (0) 20 3" xfId="14373"/>
    <cellStyle name="Enter Currency (0) 20 4" xfId="15301"/>
    <cellStyle name="Enter Currency (0) 20 5" xfId="16231"/>
    <cellStyle name="Enter Currency (0) 20 6" xfId="17161"/>
    <cellStyle name="Enter Currency (0) 20 7" xfId="18069"/>
    <cellStyle name="Enter Currency (0) 20 8" xfId="18959"/>
    <cellStyle name="Enter Currency (0) 20 9" xfId="19836"/>
    <cellStyle name="Enter Currency (0) 21" xfId="12181"/>
    <cellStyle name="Enter Currency (0) 21 10" xfId="20776"/>
    <cellStyle name="Enter Currency (0) 21 11" xfId="21614"/>
    <cellStyle name="Enter Currency (0) 21 12" xfId="22400"/>
    <cellStyle name="Enter Currency (0) 21 13" xfId="26992"/>
    <cellStyle name="Enter Currency (0) 21 14" xfId="30321"/>
    <cellStyle name="Enter Currency (0) 21 15" xfId="32096"/>
    <cellStyle name="Enter Currency (0) 21 16" xfId="33851"/>
    <cellStyle name="Enter Currency (0) 21 17" xfId="35564"/>
    <cellStyle name="Enter Currency (0) 21 18" xfId="37208"/>
    <cellStyle name="Enter Currency (0) 21 19" xfId="38764"/>
    <cellStyle name="Enter Currency (0) 21 2" xfId="13329"/>
    <cellStyle name="Enter Currency (0) 21 20" xfId="40197"/>
    <cellStyle name="Enter Currency (0) 21 21" xfId="41440"/>
    <cellStyle name="Enter Currency (0) 21 22" xfId="42489"/>
    <cellStyle name="Enter Currency (0) 21 3" xfId="14453"/>
    <cellStyle name="Enter Currency (0) 21 4" xfId="15382"/>
    <cellStyle name="Enter Currency (0) 21 5" xfId="16311"/>
    <cellStyle name="Enter Currency (0) 21 6" xfId="17241"/>
    <cellStyle name="Enter Currency (0) 21 7" xfId="18149"/>
    <cellStyle name="Enter Currency (0) 21 8" xfId="19039"/>
    <cellStyle name="Enter Currency (0) 21 9" xfId="19916"/>
    <cellStyle name="Enter Currency (0) 22" xfId="11178"/>
    <cellStyle name="Enter Currency (0) 22 10" xfId="20855"/>
    <cellStyle name="Enter Currency (0) 22 11" xfId="21694"/>
    <cellStyle name="Enter Currency (0) 22 12" xfId="22478"/>
    <cellStyle name="Enter Currency (0) 22 13" xfId="27001"/>
    <cellStyle name="Enter Currency (0) 22 14" xfId="30330"/>
    <cellStyle name="Enter Currency (0) 22 15" xfId="32105"/>
    <cellStyle name="Enter Currency (0) 22 16" xfId="33860"/>
    <cellStyle name="Enter Currency (0) 22 17" xfId="35573"/>
    <cellStyle name="Enter Currency (0) 22 18" xfId="37217"/>
    <cellStyle name="Enter Currency (0) 22 19" xfId="38773"/>
    <cellStyle name="Enter Currency (0) 22 2" xfId="13409"/>
    <cellStyle name="Enter Currency (0) 22 20" xfId="40206"/>
    <cellStyle name="Enter Currency (0) 22 21" xfId="41449"/>
    <cellStyle name="Enter Currency (0) 22 22" xfId="42498"/>
    <cellStyle name="Enter Currency (0) 22 3" xfId="14533"/>
    <cellStyle name="Enter Currency (0) 22 4" xfId="15460"/>
    <cellStyle name="Enter Currency (0) 22 5" xfId="16391"/>
    <cellStyle name="Enter Currency (0) 22 6" xfId="17321"/>
    <cellStyle name="Enter Currency (0) 22 7" xfId="18229"/>
    <cellStyle name="Enter Currency (0) 22 8" xfId="19119"/>
    <cellStyle name="Enter Currency (0) 22 9" xfId="19996"/>
    <cellStyle name="Enter Currency (0) 23" xfId="12553"/>
    <cellStyle name="Enter Currency (0) 23 10" xfId="20933"/>
    <cellStyle name="Enter Currency (0) 23 11" xfId="21774"/>
    <cellStyle name="Enter Currency (0) 23 12" xfId="22556"/>
    <cellStyle name="Enter Currency (0) 23 2" xfId="13489"/>
    <cellStyle name="Enter Currency (0) 23 3" xfId="14612"/>
    <cellStyle name="Enter Currency (0) 23 4" xfId="15540"/>
    <cellStyle name="Enter Currency (0) 23 5" xfId="16471"/>
    <cellStyle name="Enter Currency (0) 23 6" xfId="17401"/>
    <cellStyle name="Enter Currency (0) 23 7" xfId="18309"/>
    <cellStyle name="Enter Currency (0) 23 8" xfId="19199"/>
    <cellStyle name="Enter Currency (0) 23 9" xfId="20075"/>
    <cellStyle name="Enter Currency (0) 24" xfId="12636"/>
    <cellStyle name="Enter Currency (0) 24 10" xfId="21006"/>
    <cellStyle name="Enter Currency (0) 24 11" xfId="21845"/>
    <cellStyle name="Enter Currency (0) 24 12" xfId="22626"/>
    <cellStyle name="Enter Currency (0) 24 2" xfId="13569"/>
    <cellStyle name="Enter Currency (0) 24 3" xfId="14688"/>
    <cellStyle name="Enter Currency (0) 24 4" xfId="15617"/>
    <cellStyle name="Enter Currency (0) 24 5" xfId="16548"/>
    <cellStyle name="Enter Currency (0) 24 6" xfId="17476"/>
    <cellStyle name="Enter Currency (0) 24 7" xfId="18383"/>
    <cellStyle name="Enter Currency (0) 24 8" xfId="19271"/>
    <cellStyle name="Enter Currency (0) 24 9" xfId="20145"/>
    <cellStyle name="Enter Currency (0) 25" xfId="13649"/>
    <cellStyle name="Enter Currency (0) 26" xfId="13721"/>
    <cellStyle name="Enter Currency (0) 27" xfId="12599"/>
    <cellStyle name="Enter Currency (0) 28" xfId="10414"/>
    <cellStyle name="Enter Currency (0) 29" xfId="15805"/>
    <cellStyle name="Enter Currency (0) 3" xfId="3723"/>
    <cellStyle name="Enter Currency (0) 3 2" xfId="4005"/>
    <cellStyle name="Enter Currency (0) 3 2 2" xfId="8695"/>
    <cellStyle name="Enter Currency (0) 3 3" xfId="7721"/>
    <cellStyle name="Enter Currency (0) 30" xfId="13855"/>
    <cellStyle name="Enter Currency (0) 31" xfId="15884"/>
    <cellStyle name="Enter Currency (0) 32" xfId="16811"/>
    <cellStyle name="Enter Currency (0) 33" xfId="17723"/>
    <cellStyle name="Enter Currency (0) 34" xfId="19413"/>
    <cellStyle name="Enter Currency (0) 35" xfId="21165"/>
    <cellStyle name="Enter Currency (0) 36" xfId="16712"/>
    <cellStyle name="Enter Currency (0) 37" xfId="22847"/>
    <cellStyle name="Enter Currency (0) 38" xfId="23510"/>
    <cellStyle name="Enter Currency (0) 39" xfId="28894"/>
    <cellStyle name="Enter Currency (0) 4" xfId="8763"/>
    <cellStyle name="Enter Currency (0) 40" xfId="30680"/>
    <cellStyle name="Enter Currency (0) 41" xfId="32453"/>
    <cellStyle name="Enter Currency (0) 42" xfId="34204"/>
    <cellStyle name="Enter Currency (0) 43" xfId="35904"/>
    <cellStyle name="Enter Currency (0) 44" xfId="37531"/>
    <cellStyle name="Enter Currency (0) 45" xfId="39070"/>
    <cellStyle name="Enter Currency (0) 46" xfId="40480"/>
    <cellStyle name="Enter Currency (0) 47" xfId="7835"/>
    <cellStyle name="Enter Currency (0) 48" xfId="7719"/>
    <cellStyle name="Enter Currency (0) 5" xfId="8871"/>
    <cellStyle name="Enter Currency (0) 6" xfId="8949"/>
    <cellStyle name="Enter Currency (0) 7" xfId="9027"/>
    <cellStyle name="Enter Currency (0) 8" xfId="9279"/>
    <cellStyle name="Enter Currency (0) 9" xfId="9686"/>
    <cellStyle name="Enter Currency (2)" xfId="3724"/>
    <cellStyle name="Enter Currency (2) 10" xfId="9731"/>
    <cellStyle name="Enter Currency (2) 11" xfId="9820"/>
    <cellStyle name="Enter Currency (2) 12" xfId="9913"/>
    <cellStyle name="Enter Currency (2) 13" xfId="9992"/>
    <cellStyle name="Enter Currency (2) 14" xfId="10071"/>
    <cellStyle name="Enter Currency (2) 15" xfId="9351"/>
    <cellStyle name="Enter Currency (2) 15 10" xfId="20326"/>
    <cellStyle name="Enter Currency (2) 15 11" xfId="21173"/>
    <cellStyle name="Enter Currency (2) 15 12" xfId="21986"/>
    <cellStyle name="Enter Currency (2) 15 13" xfId="26910"/>
    <cellStyle name="Enter Currency (2) 15 14" xfId="30238"/>
    <cellStyle name="Enter Currency (2) 15 15" xfId="32013"/>
    <cellStyle name="Enter Currency (2) 15 16" xfId="33768"/>
    <cellStyle name="Enter Currency (2) 15 17" xfId="35481"/>
    <cellStyle name="Enter Currency (2) 15 18" xfId="37125"/>
    <cellStyle name="Enter Currency (2) 15 19" xfId="38681"/>
    <cellStyle name="Enter Currency (2) 15 2" xfId="12865"/>
    <cellStyle name="Enter Currency (2) 15 20" xfId="40115"/>
    <cellStyle name="Enter Currency (2) 15 21" xfId="41362"/>
    <cellStyle name="Enter Currency (2) 15 22" xfId="42413"/>
    <cellStyle name="Enter Currency (2) 15 3" xfId="13988"/>
    <cellStyle name="Enter Currency (2) 15 4" xfId="14921"/>
    <cellStyle name="Enter Currency (2) 15 5" xfId="15850"/>
    <cellStyle name="Enter Currency (2) 15 6" xfId="16779"/>
    <cellStyle name="Enter Currency (2) 15 7" xfId="17686"/>
    <cellStyle name="Enter Currency (2) 15 8" xfId="18587"/>
    <cellStyle name="Enter Currency (2) 15 9" xfId="19464"/>
    <cellStyle name="Enter Currency (2) 16" xfId="11221"/>
    <cellStyle name="Enter Currency (2) 16 10" xfId="20382"/>
    <cellStyle name="Enter Currency (2) 16 11" xfId="21221"/>
    <cellStyle name="Enter Currency (2) 16 12" xfId="22024"/>
    <cellStyle name="Enter Currency (2) 16 13" xfId="26280"/>
    <cellStyle name="Enter Currency (2) 16 14" xfId="29611"/>
    <cellStyle name="Enter Currency (2) 16 15" xfId="31386"/>
    <cellStyle name="Enter Currency (2) 16 16" xfId="33149"/>
    <cellStyle name="Enter Currency (2) 16 17" xfId="34867"/>
    <cellStyle name="Enter Currency (2) 16 18" xfId="36520"/>
    <cellStyle name="Enter Currency (2) 16 19" xfId="38094"/>
    <cellStyle name="Enter Currency (2) 16 2" xfId="12933"/>
    <cellStyle name="Enter Currency (2) 16 20" xfId="39547"/>
    <cellStyle name="Enter Currency (2) 16 21" xfId="40821"/>
    <cellStyle name="Enter Currency (2) 16 22" xfId="41900"/>
    <cellStyle name="Enter Currency (2) 16 3" xfId="14059"/>
    <cellStyle name="Enter Currency (2) 16 4" xfId="14989"/>
    <cellStyle name="Enter Currency (2) 16 5" xfId="15917"/>
    <cellStyle name="Enter Currency (2) 16 6" xfId="16846"/>
    <cellStyle name="Enter Currency (2) 16 7" xfId="17755"/>
    <cellStyle name="Enter Currency (2) 16 8" xfId="18645"/>
    <cellStyle name="Enter Currency (2) 16 9" xfId="19524"/>
    <cellStyle name="Enter Currency (2) 17" xfId="11412"/>
    <cellStyle name="Enter Currency (2) 17 10" xfId="20459"/>
    <cellStyle name="Enter Currency (2) 17 11" xfId="21295"/>
    <cellStyle name="Enter Currency (2) 17 12" xfId="22092"/>
    <cellStyle name="Enter Currency (2) 17 13" xfId="26818"/>
    <cellStyle name="Enter Currency (2) 17 14" xfId="30146"/>
    <cellStyle name="Enter Currency (2) 17 15" xfId="31921"/>
    <cellStyle name="Enter Currency (2) 17 16" xfId="33676"/>
    <cellStyle name="Enter Currency (2) 17 17" xfId="35389"/>
    <cellStyle name="Enter Currency (2) 17 18" xfId="37034"/>
    <cellStyle name="Enter Currency (2) 17 19" xfId="38591"/>
    <cellStyle name="Enter Currency (2) 17 2" xfId="13009"/>
    <cellStyle name="Enter Currency (2) 17 20" xfId="40025"/>
    <cellStyle name="Enter Currency (2) 17 21" xfId="41273"/>
    <cellStyle name="Enter Currency (2) 17 22" xfId="42324"/>
    <cellStyle name="Enter Currency (2) 17 3" xfId="14135"/>
    <cellStyle name="Enter Currency (2) 17 4" xfId="15065"/>
    <cellStyle name="Enter Currency (2) 17 5" xfId="15992"/>
    <cellStyle name="Enter Currency (2) 17 6" xfId="16922"/>
    <cellStyle name="Enter Currency (2) 17 7" xfId="17830"/>
    <cellStyle name="Enter Currency (2) 17 8" xfId="18720"/>
    <cellStyle name="Enter Currency (2) 17 9" xfId="19598"/>
    <cellStyle name="Enter Currency (2) 18" xfId="11603"/>
    <cellStyle name="Enter Currency (2) 18 10" xfId="20540"/>
    <cellStyle name="Enter Currency (2) 18 11" xfId="21376"/>
    <cellStyle name="Enter Currency (2) 18 12" xfId="22170"/>
    <cellStyle name="Enter Currency (2) 18 13" xfId="26533"/>
    <cellStyle name="Enter Currency (2) 18 14" xfId="29864"/>
    <cellStyle name="Enter Currency (2) 18 15" xfId="31639"/>
    <cellStyle name="Enter Currency (2) 18 16" xfId="33398"/>
    <cellStyle name="Enter Currency (2) 18 17" xfId="35112"/>
    <cellStyle name="Enter Currency (2) 18 18" xfId="36762"/>
    <cellStyle name="Enter Currency (2) 18 19" xfId="38330"/>
    <cellStyle name="Enter Currency (2) 18 2" xfId="13090"/>
    <cellStyle name="Enter Currency (2) 18 20" xfId="39776"/>
    <cellStyle name="Enter Currency (2) 18 21" xfId="41042"/>
    <cellStyle name="Enter Currency (2) 18 22" xfId="42113"/>
    <cellStyle name="Enter Currency (2) 18 3" xfId="14216"/>
    <cellStyle name="Enter Currency (2) 18 4" xfId="15145"/>
    <cellStyle name="Enter Currency (2) 18 5" xfId="16073"/>
    <cellStyle name="Enter Currency (2) 18 6" xfId="17003"/>
    <cellStyle name="Enter Currency (2) 18 7" xfId="17911"/>
    <cellStyle name="Enter Currency (2) 18 8" xfId="18801"/>
    <cellStyle name="Enter Currency (2) 18 9" xfId="19679"/>
    <cellStyle name="Enter Currency (2) 19" xfId="11784"/>
    <cellStyle name="Enter Currency (2) 19 10" xfId="20620"/>
    <cellStyle name="Enter Currency (2) 19 11" xfId="21457"/>
    <cellStyle name="Enter Currency (2) 19 12" xfId="22248"/>
    <cellStyle name="Enter Currency (2) 19 13" xfId="26946"/>
    <cellStyle name="Enter Currency (2) 19 14" xfId="30274"/>
    <cellStyle name="Enter Currency (2) 19 15" xfId="32049"/>
    <cellStyle name="Enter Currency (2) 19 16" xfId="33804"/>
    <cellStyle name="Enter Currency (2) 19 17" xfId="35517"/>
    <cellStyle name="Enter Currency (2) 19 18" xfId="37161"/>
    <cellStyle name="Enter Currency (2) 19 19" xfId="38717"/>
    <cellStyle name="Enter Currency (2) 19 2" xfId="13171"/>
    <cellStyle name="Enter Currency (2) 19 20" xfId="40151"/>
    <cellStyle name="Enter Currency (2) 19 21" xfId="41396"/>
    <cellStyle name="Enter Currency (2) 19 22" xfId="42446"/>
    <cellStyle name="Enter Currency (2) 19 3" xfId="14297"/>
    <cellStyle name="Enter Currency (2) 19 4" xfId="15225"/>
    <cellStyle name="Enter Currency (2) 19 5" xfId="16154"/>
    <cellStyle name="Enter Currency (2) 19 6" xfId="17084"/>
    <cellStyle name="Enter Currency (2) 19 7" xfId="17992"/>
    <cellStyle name="Enter Currency (2) 19 8" xfId="18882"/>
    <cellStyle name="Enter Currency (2) 19 9" xfId="19760"/>
    <cellStyle name="Enter Currency (2) 2" xfId="3725"/>
    <cellStyle name="Enter Currency (2) 2 10" xfId="12065"/>
    <cellStyle name="Enter Currency (2) 2 11" xfId="10547"/>
    <cellStyle name="Enter Currency (2) 2 12" xfId="12207"/>
    <cellStyle name="Enter Currency (2) 2 13" xfId="12609"/>
    <cellStyle name="Enter Currency (2) 2 14" xfId="11010"/>
    <cellStyle name="Enter Currency (2) 2 15" xfId="12444"/>
    <cellStyle name="Enter Currency (2) 2 16" xfId="14876"/>
    <cellStyle name="Enter Currency (2) 2 17" xfId="14651"/>
    <cellStyle name="Enter Currency (2) 2 18" xfId="15808"/>
    <cellStyle name="Enter Currency (2) 2 19" xfId="15723"/>
    <cellStyle name="Enter Currency (2) 2 2" xfId="4006"/>
    <cellStyle name="Enter Currency (2) 2 2 2" xfId="9582"/>
    <cellStyle name="Enter Currency (2) 2 2 3" xfId="9420"/>
    <cellStyle name="Enter Currency (2) 2 20" xfId="15574"/>
    <cellStyle name="Enter Currency (2) 2 21" xfId="12756"/>
    <cellStyle name="Enter Currency (2) 2 22" xfId="21026"/>
    <cellStyle name="Enter Currency (2) 2 23" xfId="23040"/>
    <cellStyle name="Enter Currency (2) 2 24" xfId="23315"/>
    <cellStyle name="Enter Currency (2) 2 25" xfId="28683"/>
    <cellStyle name="Enter Currency (2) 2 26" xfId="30472"/>
    <cellStyle name="Enter Currency (2) 2 27" xfId="32247"/>
    <cellStyle name="Enter Currency (2) 2 28" xfId="34000"/>
    <cellStyle name="Enter Currency (2) 2 29" xfId="35711"/>
    <cellStyle name="Enter Currency (2) 2 3" xfId="10353"/>
    <cellStyle name="Enter Currency (2) 2 30" xfId="37351"/>
    <cellStyle name="Enter Currency (2) 2 31" xfId="38904"/>
    <cellStyle name="Enter Currency (2) 2 32" xfId="40330"/>
    <cellStyle name="Enter Currency (2) 2 33" xfId="8747"/>
    <cellStyle name="Enter Currency (2) 2 4" xfId="10540"/>
    <cellStyle name="Enter Currency (2) 2 5" xfId="10519"/>
    <cellStyle name="Enter Currency (2) 2 6" xfId="10899"/>
    <cellStyle name="Enter Currency (2) 2 7" xfId="11079"/>
    <cellStyle name="Enter Currency (2) 2 8" xfId="11272"/>
    <cellStyle name="Enter Currency (2) 2 9" xfId="11463"/>
    <cellStyle name="Enter Currency (2) 20" xfId="11967"/>
    <cellStyle name="Enter Currency (2) 20 10" xfId="20697"/>
    <cellStyle name="Enter Currency (2) 20 11" xfId="21535"/>
    <cellStyle name="Enter Currency (2) 20 12" xfId="22323"/>
    <cellStyle name="Enter Currency (2) 20 13" xfId="26962"/>
    <cellStyle name="Enter Currency (2) 20 14" xfId="30291"/>
    <cellStyle name="Enter Currency (2) 20 15" xfId="32066"/>
    <cellStyle name="Enter Currency (2) 20 16" xfId="33821"/>
    <cellStyle name="Enter Currency (2) 20 17" xfId="35534"/>
    <cellStyle name="Enter Currency (2) 20 18" xfId="37178"/>
    <cellStyle name="Enter Currency (2) 20 19" xfId="38734"/>
    <cellStyle name="Enter Currency (2) 20 2" xfId="13249"/>
    <cellStyle name="Enter Currency (2) 20 20" xfId="40168"/>
    <cellStyle name="Enter Currency (2) 20 21" xfId="41411"/>
    <cellStyle name="Enter Currency (2) 20 22" xfId="42460"/>
    <cellStyle name="Enter Currency (2) 20 3" xfId="14374"/>
    <cellStyle name="Enter Currency (2) 20 4" xfId="15302"/>
    <cellStyle name="Enter Currency (2) 20 5" xfId="16232"/>
    <cellStyle name="Enter Currency (2) 20 6" xfId="17162"/>
    <cellStyle name="Enter Currency (2) 20 7" xfId="18070"/>
    <cellStyle name="Enter Currency (2) 20 8" xfId="18960"/>
    <cellStyle name="Enter Currency (2) 20 9" xfId="19837"/>
    <cellStyle name="Enter Currency (2) 21" xfId="12143"/>
    <cellStyle name="Enter Currency (2) 21 10" xfId="20777"/>
    <cellStyle name="Enter Currency (2) 21 11" xfId="21615"/>
    <cellStyle name="Enter Currency (2) 21 12" xfId="22401"/>
    <cellStyle name="Enter Currency (2) 21 13" xfId="26991"/>
    <cellStyle name="Enter Currency (2) 21 14" xfId="30320"/>
    <cellStyle name="Enter Currency (2) 21 15" xfId="32095"/>
    <cellStyle name="Enter Currency (2) 21 16" xfId="33850"/>
    <cellStyle name="Enter Currency (2) 21 17" xfId="35563"/>
    <cellStyle name="Enter Currency (2) 21 18" xfId="37207"/>
    <cellStyle name="Enter Currency (2) 21 19" xfId="38763"/>
    <cellStyle name="Enter Currency (2) 21 2" xfId="13330"/>
    <cellStyle name="Enter Currency (2) 21 20" xfId="40196"/>
    <cellStyle name="Enter Currency (2) 21 21" xfId="41439"/>
    <cellStyle name="Enter Currency (2) 21 22" xfId="42488"/>
    <cellStyle name="Enter Currency (2) 21 3" xfId="14454"/>
    <cellStyle name="Enter Currency (2) 21 4" xfId="15383"/>
    <cellStyle name="Enter Currency (2) 21 5" xfId="16312"/>
    <cellStyle name="Enter Currency (2) 21 6" xfId="17242"/>
    <cellStyle name="Enter Currency (2) 21 7" xfId="18150"/>
    <cellStyle name="Enter Currency (2) 21 8" xfId="19040"/>
    <cellStyle name="Enter Currency (2) 21 9" xfId="19917"/>
    <cellStyle name="Enter Currency (2) 22" xfId="10508"/>
    <cellStyle name="Enter Currency (2) 22 10" xfId="20856"/>
    <cellStyle name="Enter Currency (2) 22 11" xfId="21695"/>
    <cellStyle name="Enter Currency (2) 22 12" xfId="22479"/>
    <cellStyle name="Enter Currency (2) 22 13" xfId="27000"/>
    <cellStyle name="Enter Currency (2) 22 14" xfId="30329"/>
    <cellStyle name="Enter Currency (2) 22 15" xfId="32104"/>
    <cellStyle name="Enter Currency (2) 22 16" xfId="33859"/>
    <cellStyle name="Enter Currency (2) 22 17" xfId="35572"/>
    <cellStyle name="Enter Currency (2) 22 18" xfId="37216"/>
    <cellStyle name="Enter Currency (2) 22 19" xfId="38772"/>
    <cellStyle name="Enter Currency (2) 22 2" xfId="13410"/>
    <cellStyle name="Enter Currency (2) 22 20" xfId="40205"/>
    <cellStyle name="Enter Currency (2) 22 21" xfId="41448"/>
    <cellStyle name="Enter Currency (2) 22 22" xfId="42497"/>
    <cellStyle name="Enter Currency (2) 22 3" xfId="14534"/>
    <cellStyle name="Enter Currency (2) 22 4" xfId="15461"/>
    <cellStyle name="Enter Currency (2) 22 5" xfId="16392"/>
    <cellStyle name="Enter Currency (2) 22 6" xfId="17322"/>
    <cellStyle name="Enter Currency (2) 22 7" xfId="18230"/>
    <cellStyle name="Enter Currency (2) 22 8" xfId="19120"/>
    <cellStyle name="Enter Currency (2) 22 9" xfId="19997"/>
    <cellStyle name="Enter Currency (2) 23" xfId="12515"/>
    <cellStyle name="Enter Currency (2) 23 10" xfId="20934"/>
    <cellStyle name="Enter Currency (2) 23 11" xfId="21775"/>
    <cellStyle name="Enter Currency (2) 23 12" xfId="22557"/>
    <cellStyle name="Enter Currency (2) 23 2" xfId="13490"/>
    <cellStyle name="Enter Currency (2) 23 3" xfId="14613"/>
    <cellStyle name="Enter Currency (2) 23 4" xfId="15541"/>
    <cellStyle name="Enter Currency (2) 23 5" xfId="16472"/>
    <cellStyle name="Enter Currency (2) 23 6" xfId="17402"/>
    <cellStyle name="Enter Currency (2) 23 7" xfId="18310"/>
    <cellStyle name="Enter Currency (2) 23 8" xfId="19200"/>
    <cellStyle name="Enter Currency (2) 23 9" xfId="20076"/>
    <cellStyle name="Enter Currency (2) 24" xfId="12574"/>
    <cellStyle name="Enter Currency (2) 24 10" xfId="21007"/>
    <cellStyle name="Enter Currency (2) 24 11" xfId="21846"/>
    <cellStyle name="Enter Currency (2) 24 12" xfId="22627"/>
    <cellStyle name="Enter Currency (2) 24 2" xfId="13570"/>
    <cellStyle name="Enter Currency (2) 24 3" xfId="14689"/>
    <cellStyle name="Enter Currency (2) 24 4" xfId="15618"/>
    <cellStyle name="Enter Currency (2) 24 5" xfId="16549"/>
    <cellStyle name="Enter Currency (2) 24 6" xfId="17477"/>
    <cellStyle name="Enter Currency (2) 24 7" xfId="18384"/>
    <cellStyle name="Enter Currency (2) 24 8" xfId="19272"/>
    <cellStyle name="Enter Currency (2) 24 9" xfId="20146"/>
    <cellStyle name="Enter Currency (2) 25" xfId="13650"/>
    <cellStyle name="Enter Currency (2) 26" xfId="13722"/>
    <cellStyle name="Enter Currency (2) 27" xfId="12297"/>
    <cellStyle name="Enter Currency (2) 28" xfId="14911"/>
    <cellStyle name="Enter Currency (2) 29" xfId="14998"/>
    <cellStyle name="Enter Currency (2) 3" xfId="3726"/>
    <cellStyle name="Enter Currency (2) 3 2" xfId="4007"/>
    <cellStyle name="Enter Currency (2) 3 2 2" xfId="8694"/>
    <cellStyle name="Enter Currency (2) 30" xfId="14834"/>
    <cellStyle name="Enter Currency (2) 31" xfId="16715"/>
    <cellStyle name="Enter Currency (2) 32" xfId="17632"/>
    <cellStyle name="Enter Currency (2) 33" xfId="18535"/>
    <cellStyle name="Enter Currency (2) 34" xfId="20318"/>
    <cellStyle name="Enter Currency (2) 35" xfId="21146"/>
    <cellStyle name="Enter Currency (2) 36" xfId="15653"/>
    <cellStyle name="Enter Currency (2) 37" xfId="22848"/>
    <cellStyle name="Enter Currency (2) 38" xfId="23431"/>
    <cellStyle name="Enter Currency (2) 39" xfId="28893"/>
    <cellStyle name="Enter Currency (2) 4" xfId="8765"/>
    <cellStyle name="Enter Currency (2) 40" xfId="30679"/>
    <cellStyle name="Enter Currency (2) 41" xfId="32452"/>
    <cellStyle name="Enter Currency (2) 42" xfId="34203"/>
    <cellStyle name="Enter Currency (2) 43" xfId="35903"/>
    <cellStyle name="Enter Currency (2) 44" xfId="37530"/>
    <cellStyle name="Enter Currency (2) 45" xfId="39069"/>
    <cellStyle name="Enter Currency (2) 46" xfId="40479"/>
    <cellStyle name="Enter Currency (2) 47" xfId="7836"/>
    <cellStyle name="Enter Currency (2) 5" xfId="8872"/>
    <cellStyle name="Enter Currency (2) 6" xfId="8950"/>
    <cellStyle name="Enter Currency (2) 7" xfId="9028"/>
    <cellStyle name="Enter Currency (2) 8" xfId="9280"/>
    <cellStyle name="Enter Currency (2) 9" xfId="9687"/>
    <cellStyle name="Enter Units (0)" xfId="3727"/>
    <cellStyle name="Enter Units (0) 10" xfId="9732"/>
    <cellStyle name="Enter Units (0) 11" xfId="9828"/>
    <cellStyle name="Enter Units (0) 12" xfId="9914"/>
    <cellStyle name="Enter Units (0) 13" xfId="9993"/>
    <cellStyle name="Enter Units (0) 14" xfId="10072"/>
    <cellStyle name="Enter Units (0) 15" xfId="9350"/>
    <cellStyle name="Enter Units (0) 15 10" xfId="20327"/>
    <cellStyle name="Enter Units (0) 15 11" xfId="21174"/>
    <cellStyle name="Enter Units (0) 15 12" xfId="21987"/>
    <cellStyle name="Enter Units (0) 15 13" xfId="26909"/>
    <cellStyle name="Enter Units (0) 15 14" xfId="30237"/>
    <cellStyle name="Enter Units (0) 15 15" xfId="32012"/>
    <cellStyle name="Enter Units (0) 15 16" xfId="33767"/>
    <cellStyle name="Enter Units (0) 15 17" xfId="35480"/>
    <cellStyle name="Enter Units (0) 15 18" xfId="37124"/>
    <cellStyle name="Enter Units (0) 15 19" xfId="38680"/>
    <cellStyle name="Enter Units (0) 15 2" xfId="12866"/>
    <cellStyle name="Enter Units (0) 15 20" xfId="40114"/>
    <cellStyle name="Enter Units (0) 15 21" xfId="41361"/>
    <cellStyle name="Enter Units (0) 15 22" xfId="42412"/>
    <cellStyle name="Enter Units (0) 15 3" xfId="13989"/>
    <cellStyle name="Enter Units (0) 15 4" xfId="14922"/>
    <cellStyle name="Enter Units (0) 15 5" xfId="15851"/>
    <cellStyle name="Enter Units (0) 15 6" xfId="16780"/>
    <cellStyle name="Enter Units (0) 15 7" xfId="17687"/>
    <cellStyle name="Enter Units (0) 15 8" xfId="18588"/>
    <cellStyle name="Enter Units (0) 15 9" xfId="19465"/>
    <cellStyle name="Enter Units (0) 16" xfId="11161"/>
    <cellStyle name="Enter Units (0) 16 10" xfId="20394"/>
    <cellStyle name="Enter Units (0) 16 11" xfId="21230"/>
    <cellStyle name="Enter Units (0) 16 12" xfId="22031"/>
    <cellStyle name="Enter Units (0) 16 13" xfId="26281"/>
    <cellStyle name="Enter Units (0) 16 14" xfId="29612"/>
    <cellStyle name="Enter Units (0) 16 15" xfId="31387"/>
    <cellStyle name="Enter Units (0) 16 16" xfId="33150"/>
    <cellStyle name="Enter Units (0) 16 17" xfId="34868"/>
    <cellStyle name="Enter Units (0) 16 18" xfId="36521"/>
    <cellStyle name="Enter Units (0) 16 19" xfId="38095"/>
    <cellStyle name="Enter Units (0) 16 2" xfId="12944"/>
    <cellStyle name="Enter Units (0) 16 20" xfId="39548"/>
    <cellStyle name="Enter Units (0) 16 21" xfId="40822"/>
    <cellStyle name="Enter Units (0) 16 22" xfId="41901"/>
    <cellStyle name="Enter Units (0) 16 3" xfId="14070"/>
    <cellStyle name="Enter Units (0) 16 4" xfId="15000"/>
    <cellStyle name="Enter Units (0) 16 5" xfId="15927"/>
    <cellStyle name="Enter Units (0) 16 6" xfId="16857"/>
    <cellStyle name="Enter Units (0) 16 7" xfId="17765"/>
    <cellStyle name="Enter Units (0) 16 8" xfId="18655"/>
    <cellStyle name="Enter Units (0) 16 9" xfId="19533"/>
    <cellStyle name="Enter Units (0) 17" xfId="11354"/>
    <cellStyle name="Enter Units (0) 17 10" xfId="20460"/>
    <cellStyle name="Enter Units (0) 17 11" xfId="21296"/>
    <cellStyle name="Enter Units (0) 17 12" xfId="22093"/>
    <cellStyle name="Enter Units (0) 17 13" xfId="26817"/>
    <cellStyle name="Enter Units (0) 17 14" xfId="30145"/>
    <cellStyle name="Enter Units (0) 17 15" xfId="31920"/>
    <cellStyle name="Enter Units (0) 17 16" xfId="33675"/>
    <cellStyle name="Enter Units (0) 17 17" xfId="35388"/>
    <cellStyle name="Enter Units (0) 17 18" xfId="37033"/>
    <cellStyle name="Enter Units (0) 17 19" xfId="38590"/>
    <cellStyle name="Enter Units (0) 17 2" xfId="13010"/>
    <cellStyle name="Enter Units (0) 17 20" xfId="40024"/>
    <cellStyle name="Enter Units (0) 17 21" xfId="41272"/>
    <cellStyle name="Enter Units (0) 17 22" xfId="42323"/>
    <cellStyle name="Enter Units (0) 17 3" xfId="14136"/>
    <cellStyle name="Enter Units (0) 17 4" xfId="15066"/>
    <cellStyle name="Enter Units (0) 17 5" xfId="15993"/>
    <cellStyle name="Enter Units (0) 17 6" xfId="16923"/>
    <cellStyle name="Enter Units (0) 17 7" xfId="17831"/>
    <cellStyle name="Enter Units (0) 17 8" xfId="18721"/>
    <cellStyle name="Enter Units (0) 17 9" xfId="19599"/>
    <cellStyle name="Enter Units (0) 18" xfId="11545"/>
    <cellStyle name="Enter Units (0) 18 10" xfId="20541"/>
    <cellStyle name="Enter Units (0) 18 11" xfId="21377"/>
    <cellStyle name="Enter Units (0) 18 12" xfId="22171"/>
    <cellStyle name="Enter Units (0) 18 13" xfId="26534"/>
    <cellStyle name="Enter Units (0) 18 14" xfId="29865"/>
    <cellStyle name="Enter Units (0) 18 15" xfId="31640"/>
    <cellStyle name="Enter Units (0) 18 16" xfId="33399"/>
    <cellStyle name="Enter Units (0) 18 17" xfId="35113"/>
    <cellStyle name="Enter Units (0) 18 18" xfId="36763"/>
    <cellStyle name="Enter Units (0) 18 19" xfId="38331"/>
    <cellStyle name="Enter Units (0) 18 2" xfId="13091"/>
    <cellStyle name="Enter Units (0) 18 20" xfId="39777"/>
    <cellStyle name="Enter Units (0) 18 21" xfId="41043"/>
    <cellStyle name="Enter Units (0) 18 22" xfId="42114"/>
    <cellStyle name="Enter Units (0) 18 3" xfId="14217"/>
    <cellStyle name="Enter Units (0) 18 4" xfId="15146"/>
    <cellStyle name="Enter Units (0) 18 5" xfId="16074"/>
    <cellStyle name="Enter Units (0) 18 6" xfId="17004"/>
    <cellStyle name="Enter Units (0) 18 7" xfId="17912"/>
    <cellStyle name="Enter Units (0) 18 8" xfId="18802"/>
    <cellStyle name="Enter Units (0) 18 9" xfId="19680"/>
    <cellStyle name="Enter Units (0) 19" xfId="11725"/>
    <cellStyle name="Enter Units (0) 19 10" xfId="20633"/>
    <cellStyle name="Enter Units (0) 19 11" xfId="21470"/>
    <cellStyle name="Enter Units (0) 19 12" xfId="22261"/>
    <cellStyle name="Enter Units (0) 19 13" xfId="26945"/>
    <cellStyle name="Enter Units (0) 19 14" xfId="30273"/>
    <cellStyle name="Enter Units (0) 19 15" xfId="32048"/>
    <cellStyle name="Enter Units (0) 19 16" xfId="33803"/>
    <cellStyle name="Enter Units (0) 19 17" xfId="35516"/>
    <cellStyle name="Enter Units (0) 19 18" xfId="37160"/>
    <cellStyle name="Enter Units (0) 19 19" xfId="38716"/>
    <cellStyle name="Enter Units (0) 19 2" xfId="13184"/>
    <cellStyle name="Enter Units (0) 19 20" xfId="40150"/>
    <cellStyle name="Enter Units (0) 19 21" xfId="41395"/>
    <cellStyle name="Enter Units (0) 19 22" xfId="42445"/>
    <cellStyle name="Enter Units (0) 19 3" xfId="14310"/>
    <cellStyle name="Enter Units (0) 19 4" xfId="15238"/>
    <cellStyle name="Enter Units (0) 19 5" xfId="16167"/>
    <cellStyle name="Enter Units (0) 19 6" xfId="17097"/>
    <cellStyle name="Enter Units (0) 19 7" xfId="18005"/>
    <cellStyle name="Enter Units (0) 19 8" xfId="18895"/>
    <cellStyle name="Enter Units (0) 19 9" xfId="19773"/>
    <cellStyle name="Enter Units (0) 2" xfId="3728"/>
    <cellStyle name="Enter Units (0) 2 10" xfId="10727"/>
    <cellStyle name="Enter Units (0) 2 11" xfId="12238"/>
    <cellStyle name="Enter Units (0) 2 12" xfId="12712"/>
    <cellStyle name="Enter Units (0) 2 13" xfId="11934"/>
    <cellStyle name="Enter Units (0) 2 14" xfId="12202"/>
    <cellStyle name="Enter Units (0) 2 15" xfId="13892"/>
    <cellStyle name="Enter Units (0) 2 16" xfId="13983"/>
    <cellStyle name="Enter Units (0) 2 17" xfId="15756"/>
    <cellStyle name="Enter Units (0) 2 18" xfId="11601"/>
    <cellStyle name="Enter Units (0) 2 19" xfId="10760"/>
    <cellStyle name="Enter Units (0) 2 2" xfId="4008"/>
    <cellStyle name="Enter Units (0) 2 2 2" xfId="9583"/>
    <cellStyle name="Enter Units (0) 2 2 3" xfId="9421"/>
    <cellStyle name="Enter Units (0) 2 20" xfId="18511"/>
    <cellStyle name="Enter Units (0) 2 21" xfId="18416"/>
    <cellStyle name="Enter Units (0) 2 22" xfId="12513"/>
    <cellStyle name="Enter Units (0) 2 23" xfId="23041"/>
    <cellStyle name="Enter Units (0) 2 24" xfId="23233"/>
    <cellStyle name="Enter Units (0) 2 25" xfId="28682"/>
    <cellStyle name="Enter Units (0) 2 26" xfId="30471"/>
    <cellStyle name="Enter Units (0) 2 27" xfId="32246"/>
    <cellStyle name="Enter Units (0) 2 28" xfId="33999"/>
    <cellStyle name="Enter Units (0) 2 29" xfId="35710"/>
    <cellStyle name="Enter Units (0) 2 3" xfId="10354"/>
    <cellStyle name="Enter Units (0) 2 30" xfId="37350"/>
    <cellStyle name="Enter Units (0) 2 31" xfId="38903"/>
    <cellStyle name="Enter Units (0) 2 32" xfId="40329"/>
    <cellStyle name="Enter Units (0) 2 33" xfId="8748"/>
    <cellStyle name="Enter Units (0) 2 34" xfId="7723"/>
    <cellStyle name="Enter Units (0) 2 4" xfId="10464"/>
    <cellStyle name="Enter Units (0) 2 5" xfId="11126"/>
    <cellStyle name="Enter Units (0) 2 6" xfId="11320"/>
    <cellStyle name="Enter Units (0) 2 7" xfId="11511"/>
    <cellStyle name="Enter Units (0) 2 8" xfId="11696"/>
    <cellStyle name="Enter Units (0) 2 9" xfId="11877"/>
    <cellStyle name="Enter Units (0) 20" xfId="11911"/>
    <cellStyle name="Enter Units (0) 20 10" xfId="20698"/>
    <cellStyle name="Enter Units (0) 20 11" xfId="21536"/>
    <cellStyle name="Enter Units (0) 20 12" xfId="22324"/>
    <cellStyle name="Enter Units (0) 20 13" xfId="26961"/>
    <cellStyle name="Enter Units (0) 20 14" xfId="30290"/>
    <cellStyle name="Enter Units (0) 20 15" xfId="32065"/>
    <cellStyle name="Enter Units (0) 20 16" xfId="33820"/>
    <cellStyle name="Enter Units (0) 20 17" xfId="35533"/>
    <cellStyle name="Enter Units (0) 20 18" xfId="37177"/>
    <cellStyle name="Enter Units (0) 20 19" xfId="38733"/>
    <cellStyle name="Enter Units (0) 20 2" xfId="13250"/>
    <cellStyle name="Enter Units (0) 20 20" xfId="40167"/>
    <cellStyle name="Enter Units (0) 20 21" xfId="41410"/>
    <cellStyle name="Enter Units (0) 20 22" xfId="42459"/>
    <cellStyle name="Enter Units (0) 20 3" xfId="14375"/>
    <cellStyle name="Enter Units (0) 20 4" xfId="15303"/>
    <cellStyle name="Enter Units (0) 20 5" xfId="16233"/>
    <cellStyle name="Enter Units (0) 20 6" xfId="17163"/>
    <cellStyle name="Enter Units (0) 20 7" xfId="18071"/>
    <cellStyle name="Enter Units (0) 20 8" xfId="18961"/>
    <cellStyle name="Enter Units (0) 20 9" xfId="19838"/>
    <cellStyle name="Enter Units (0) 21" xfId="12093"/>
    <cellStyle name="Enter Units (0) 21 10" xfId="20778"/>
    <cellStyle name="Enter Units (0) 21 11" xfId="21616"/>
    <cellStyle name="Enter Units (0) 21 12" xfId="22402"/>
    <cellStyle name="Enter Units (0) 21 13" xfId="26990"/>
    <cellStyle name="Enter Units (0) 21 14" xfId="30319"/>
    <cellStyle name="Enter Units (0) 21 15" xfId="32094"/>
    <cellStyle name="Enter Units (0) 21 16" xfId="33849"/>
    <cellStyle name="Enter Units (0) 21 17" xfId="35562"/>
    <cellStyle name="Enter Units (0) 21 18" xfId="37206"/>
    <cellStyle name="Enter Units (0) 21 19" xfId="38762"/>
    <cellStyle name="Enter Units (0) 21 2" xfId="13331"/>
    <cellStyle name="Enter Units (0) 21 20" xfId="40195"/>
    <cellStyle name="Enter Units (0) 21 21" xfId="41438"/>
    <cellStyle name="Enter Units (0) 21 22" xfId="42487"/>
    <cellStyle name="Enter Units (0) 21 3" xfId="14455"/>
    <cellStyle name="Enter Units (0) 21 4" xfId="15384"/>
    <cellStyle name="Enter Units (0) 21 5" xfId="16313"/>
    <cellStyle name="Enter Units (0) 21 6" xfId="17243"/>
    <cellStyle name="Enter Units (0) 21 7" xfId="18151"/>
    <cellStyle name="Enter Units (0) 21 8" xfId="19041"/>
    <cellStyle name="Enter Units (0) 21 9" xfId="19918"/>
    <cellStyle name="Enter Units (0) 22" xfId="12368"/>
    <cellStyle name="Enter Units (0) 22 10" xfId="20857"/>
    <cellStyle name="Enter Units (0) 22 11" xfId="21696"/>
    <cellStyle name="Enter Units (0) 22 12" xfId="22480"/>
    <cellStyle name="Enter Units (0) 22 13" xfId="26999"/>
    <cellStyle name="Enter Units (0) 22 14" xfId="30328"/>
    <cellStyle name="Enter Units (0) 22 15" xfId="32103"/>
    <cellStyle name="Enter Units (0) 22 16" xfId="33858"/>
    <cellStyle name="Enter Units (0) 22 17" xfId="35571"/>
    <cellStyle name="Enter Units (0) 22 18" xfId="37215"/>
    <cellStyle name="Enter Units (0) 22 19" xfId="38771"/>
    <cellStyle name="Enter Units (0) 22 2" xfId="13411"/>
    <cellStyle name="Enter Units (0) 22 20" xfId="40204"/>
    <cellStyle name="Enter Units (0) 22 21" xfId="41447"/>
    <cellStyle name="Enter Units (0) 22 22" xfId="42496"/>
    <cellStyle name="Enter Units (0) 22 3" xfId="14535"/>
    <cellStyle name="Enter Units (0) 22 4" xfId="15462"/>
    <cellStyle name="Enter Units (0) 22 5" xfId="16393"/>
    <cellStyle name="Enter Units (0) 22 6" xfId="17323"/>
    <cellStyle name="Enter Units (0) 22 7" xfId="18231"/>
    <cellStyle name="Enter Units (0) 22 8" xfId="19121"/>
    <cellStyle name="Enter Units (0) 22 9" xfId="19998"/>
    <cellStyle name="Enter Units (0) 23" xfId="12462"/>
    <cellStyle name="Enter Units (0) 23 10" xfId="20935"/>
    <cellStyle name="Enter Units (0) 23 11" xfId="21776"/>
    <cellStyle name="Enter Units (0) 23 12" xfId="22558"/>
    <cellStyle name="Enter Units (0) 23 2" xfId="13491"/>
    <cellStyle name="Enter Units (0) 23 3" xfId="14614"/>
    <cellStyle name="Enter Units (0) 23 4" xfId="15542"/>
    <cellStyle name="Enter Units (0) 23 5" xfId="16473"/>
    <cellStyle name="Enter Units (0) 23 6" xfId="17403"/>
    <cellStyle name="Enter Units (0) 23 7" xfId="18311"/>
    <cellStyle name="Enter Units (0) 23 8" xfId="19201"/>
    <cellStyle name="Enter Units (0) 23 9" xfId="20077"/>
    <cellStyle name="Enter Units (0) 24" xfId="12091"/>
    <cellStyle name="Enter Units (0) 24 10" xfId="21008"/>
    <cellStyle name="Enter Units (0) 24 11" xfId="21847"/>
    <cellStyle name="Enter Units (0) 24 12" xfId="22628"/>
    <cellStyle name="Enter Units (0) 24 2" xfId="13571"/>
    <cellStyle name="Enter Units (0) 24 3" xfId="14690"/>
    <cellStyle name="Enter Units (0) 24 4" xfId="15619"/>
    <cellStyle name="Enter Units (0) 24 5" xfId="16550"/>
    <cellStyle name="Enter Units (0) 24 6" xfId="17478"/>
    <cellStyle name="Enter Units (0) 24 7" xfId="18385"/>
    <cellStyle name="Enter Units (0) 24 8" xfId="19273"/>
    <cellStyle name="Enter Units (0) 24 9" xfId="20147"/>
    <cellStyle name="Enter Units (0) 25" xfId="13651"/>
    <cellStyle name="Enter Units (0) 26" xfId="13723"/>
    <cellStyle name="Enter Units (0) 27" xfId="10521"/>
    <cellStyle name="Enter Units (0) 28" xfId="14880"/>
    <cellStyle name="Enter Units (0) 29" xfId="14930"/>
    <cellStyle name="Enter Units (0) 3" xfId="3729"/>
    <cellStyle name="Enter Units (0) 3 2" xfId="4009"/>
    <cellStyle name="Enter Units (0) 3 2 2" xfId="8687"/>
    <cellStyle name="Enter Units (0) 3 3" xfId="7724"/>
    <cellStyle name="Enter Units (0) 30" xfId="16769"/>
    <cellStyle name="Enter Units (0) 31" xfId="17679"/>
    <cellStyle name="Enter Units (0) 32" xfId="18579"/>
    <cellStyle name="Enter Units (0) 33" xfId="19457"/>
    <cellStyle name="Enter Units (0) 34" xfId="20299"/>
    <cellStyle name="Enter Units (0) 35" xfId="20392"/>
    <cellStyle name="Enter Units (0) 36" xfId="21980"/>
    <cellStyle name="Enter Units (0) 37" xfId="22849"/>
    <cellStyle name="Enter Units (0) 38" xfId="23347"/>
    <cellStyle name="Enter Units (0) 39" xfId="28892"/>
    <cellStyle name="Enter Units (0) 4" xfId="8774"/>
    <cellStyle name="Enter Units (0) 40" xfId="30678"/>
    <cellStyle name="Enter Units (0) 41" xfId="32451"/>
    <cellStyle name="Enter Units (0) 42" xfId="34202"/>
    <cellStyle name="Enter Units (0) 43" xfId="35902"/>
    <cellStyle name="Enter Units (0) 44" xfId="37529"/>
    <cellStyle name="Enter Units (0) 45" xfId="39068"/>
    <cellStyle name="Enter Units (0) 46" xfId="40478"/>
    <cellStyle name="Enter Units (0) 47" xfId="7837"/>
    <cellStyle name="Enter Units (0) 48" xfId="7722"/>
    <cellStyle name="Enter Units (0) 5" xfId="8878"/>
    <cellStyle name="Enter Units (0) 6" xfId="8956"/>
    <cellStyle name="Enter Units (0) 7" xfId="9034"/>
    <cellStyle name="Enter Units (0) 8" xfId="9281"/>
    <cellStyle name="Enter Units (0) 9" xfId="9688"/>
    <cellStyle name="Enter Units (1)" xfId="3730"/>
    <cellStyle name="Enter Units (1) 10" xfId="9733"/>
    <cellStyle name="Enter Units (1) 11" xfId="9829"/>
    <cellStyle name="Enter Units (1) 12" xfId="9921"/>
    <cellStyle name="Enter Units (1) 13" xfId="10000"/>
    <cellStyle name="Enter Units (1) 14" xfId="10079"/>
    <cellStyle name="Enter Units (1) 15" xfId="9349"/>
    <cellStyle name="Enter Units (1) 15 10" xfId="20332"/>
    <cellStyle name="Enter Units (1) 15 11" xfId="21177"/>
    <cellStyle name="Enter Units (1) 15 12" xfId="21988"/>
    <cellStyle name="Enter Units (1) 15 13" xfId="26908"/>
    <cellStyle name="Enter Units (1) 15 14" xfId="30236"/>
    <cellStyle name="Enter Units (1) 15 15" xfId="32011"/>
    <cellStyle name="Enter Units (1) 15 16" xfId="33766"/>
    <cellStyle name="Enter Units (1) 15 17" xfId="35479"/>
    <cellStyle name="Enter Units (1) 15 18" xfId="37123"/>
    <cellStyle name="Enter Units (1) 15 19" xfId="38679"/>
    <cellStyle name="Enter Units (1) 15 2" xfId="12874"/>
    <cellStyle name="Enter Units (1) 15 20" xfId="40113"/>
    <cellStyle name="Enter Units (1) 15 21" xfId="41360"/>
    <cellStyle name="Enter Units (1) 15 22" xfId="42411"/>
    <cellStyle name="Enter Units (1) 15 3" xfId="14000"/>
    <cellStyle name="Enter Units (1) 15 4" xfId="14931"/>
    <cellStyle name="Enter Units (1) 15 5" xfId="15860"/>
    <cellStyle name="Enter Units (1) 15 6" xfId="16787"/>
    <cellStyle name="Enter Units (1) 15 7" xfId="17698"/>
    <cellStyle name="Enter Units (1) 15 8" xfId="18593"/>
    <cellStyle name="Enter Units (1) 15 9" xfId="19472"/>
    <cellStyle name="Enter Units (1) 16" xfId="11090"/>
    <cellStyle name="Enter Units (1) 16 10" xfId="20396"/>
    <cellStyle name="Enter Units (1) 16 11" xfId="21232"/>
    <cellStyle name="Enter Units (1) 16 12" xfId="22032"/>
    <cellStyle name="Enter Units (1) 16 13" xfId="26282"/>
    <cellStyle name="Enter Units (1) 16 14" xfId="29613"/>
    <cellStyle name="Enter Units (1) 16 15" xfId="31388"/>
    <cellStyle name="Enter Units (1) 16 16" xfId="33151"/>
    <cellStyle name="Enter Units (1) 16 17" xfId="34869"/>
    <cellStyle name="Enter Units (1) 16 18" xfId="36522"/>
    <cellStyle name="Enter Units (1) 16 19" xfId="38096"/>
    <cellStyle name="Enter Units (1) 16 2" xfId="12946"/>
    <cellStyle name="Enter Units (1) 16 20" xfId="39549"/>
    <cellStyle name="Enter Units (1) 16 21" xfId="40823"/>
    <cellStyle name="Enter Units (1) 16 22" xfId="41902"/>
    <cellStyle name="Enter Units (1) 16 3" xfId="14072"/>
    <cellStyle name="Enter Units (1) 16 4" xfId="15002"/>
    <cellStyle name="Enter Units (1) 16 5" xfId="15929"/>
    <cellStyle name="Enter Units (1) 16 6" xfId="16859"/>
    <cellStyle name="Enter Units (1) 16 7" xfId="17767"/>
    <cellStyle name="Enter Units (1) 16 8" xfId="18657"/>
    <cellStyle name="Enter Units (1) 16 9" xfId="19535"/>
    <cellStyle name="Enter Units (1) 17" xfId="11284"/>
    <cellStyle name="Enter Units (1) 17 10" xfId="20473"/>
    <cellStyle name="Enter Units (1) 17 11" xfId="21309"/>
    <cellStyle name="Enter Units (1) 17 12" xfId="22106"/>
    <cellStyle name="Enter Units (1) 17 13" xfId="26816"/>
    <cellStyle name="Enter Units (1) 17 14" xfId="30144"/>
    <cellStyle name="Enter Units (1) 17 15" xfId="31919"/>
    <cellStyle name="Enter Units (1) 17 16" xfId="33674"/>
    <cellStyle name="Enter Units (1) 17 17" xfId="35387"/>
    <cellStyle name="Enter Units (1) 17 18" xfId="37032"/>
    <cellStyle name="Enter Units (1) 17 19" xfId="38589"/>
    <cellStyle name="Enter Units (1) 17 2" xfId="13023"/>
    <cellStyle name="Enter Units (1) 17 20" xfId="40023"/>
    <cellStyle name="Enter Units (1) 17 21" xfId="41271"/>
    <cellStyle name="Enter Units (1) 17 22" xfId="42322"/>
    <cellStyle name="Enter Units (1) 17 3" xfId="14149"/>
    <cellStyle name="Enter Units (1) 17 4" xfId="15079"/>
    <cellStyle name="Enter Units (1) 17 5" xfId="16006"/>
    <cellStyle name="Enter Units (1) 17 6" xfId="16936"/>
    <cellStyle name="Enter Units (1) 17 7" xfId="17844"/>
    <cellStyle name="Enter Units (1) 17 8" xfId="18734"/>
    <cellStyle name="Enter Units (1) 17 9" xfId="19612"/>
    <cellStyle name="Enter Units (1) 18" xfId="11475"/>
    <cellStyle name="Enter Units (1) 18 10" xfId="20554"/>
    <cellStyle name="Enter Units (1) 18 11" xfId="21390"/>
    <cellStyle name="Enter Units (1) 18 12" xfId="22184"/>
    <cellStyle name="Enter Units (1) 18 13" xfId="26535"/>
    <cellStyle name="Enter Units (1) 18 14" xfId="29866"/>
    <cellStyle name="Enter Units (1) 18 15" xfId="31641"/>
    <cellStyle name="Enter Units (1) 18 16" xfId="33400"/>
    <cellStyle name="Enter Units (1) 18 17" xfId="35114"/>
    <cellStyle name="Enter Units (1) 18 18" xfId="36764"/>
    <cellStyle name="Enter Units (1) 18 19" xfId="38332"/>
    <cellStyle name="Enter Units (1) 18 2" xfId="13104"/>
    <cellStyle name="Enter Units (1) 18 20" xfId="39778"/>
    <cellStyle name="Enter Units (1) 18 21" xfId="41044"/>
    <cellStyle name="Enter Units (1) 18 22" xfId="42115"/>
    <cellStyle name="Enter Units (1) 18 3" xfId="14230"/>
    <cellStyle name="Enter Units (1) 18 4" xfId="15159"/>
    <cellStyle name="Enter Units (1) 18 5" xfId="16087"/>
    <cellStyle name="Enter Units (1) 18 6" xfId="17017"/>
    <cellStyle name="Enter Units (1) 18 7" xfId="17925"/>
    <cellStyle name="Enter Units (1) 18 8" xfId="18815"/>
    <cellStyle name="Enter Units (1) 18 9" xfId="19693"/>
    <cellStyle name="Enter Units (1) 19" xfId="11660"/>
    <cellStyle name="Enter Units (1) 19 10" xfId="20635"/>
    <cellStyle name="Enter Units (1) 19 11" xfId="21472"/>
    <cellStyle name="Enter Units (1) 19 12" xfId="22263"/>
    <cellStyle name="Enter Units (1) 19 13" xfId="26944"/>
    <cellStyle name="Enter Units (1) 19 14" xfId="30272"/>
    <cellStyle name="Enter Units (1) 19 15" xfId="32047"/>
    <cellStyle name="Enter Units (1) 19 16" xfId="33802"/>
    <cellStyle name="Enter Units (1) 19 17" xfId="35515"/>
    <cellStyle name="Enter Units (1) 19 18" xfId="37159"/>
    <cellStyle name="Enter Units (1) 19 19" xfId="38715"/>
    <cellStyle name="Enter Units (1) 19 2" xfId="13186"/>
    <cellStyle name="Enter Units (1) 19 20" xfId="40149"/>
    <cellStyle name="Enter Units (1) 19 21" xfId="41394"/>
    <cellStyle name="Enter Units (1) 19 22" xfId="42444"/>
    <cellStyle name="Enter Units (1) 19 3" xfId="14312"/>
    <cellStyle name="Enter Units (1) 19 4" xfId="15240"/>
    <cellStyle name="Enter Units (1) 19 5" xfId="16169"/>
    <cellStyle name="Enter Units (1) 19 6" xfId="17099"/>
    <cellStyle name="Enter Units (1) 19 7" xfId="18007"/>
    <cellStyle name="Enter Units (1) 19 8" xfId="18897"/>
    <cellStyle name="Enter Units (1) 19 9" xfId="19775"/>
    <cellStyle name="Enter Units (1) 2" xfId="3731"/>
    <cellStyle name="Enter Units (1) 2 10" xfId="10598"/>
    <cellStyle name="Enter Units (1) 2 11" xfId="12246"/>
    <cellStyle name="Enter Units (1) 2 12" xfId="12667"/>
    <cellStyle name="Enter Units (1) 2 13" xfId="12190"/>
    <cellStyle name="Enter Units (1) 2 14" xfId="12734"/>
    <cellStyle name="Enter Units (1) 2 15" xfId="13961"/>
    <cellStyle name="Enter Units (1) 2 16" xfId="10918"/>
    <cellStyle name="Enter Units (1) 2 17" xfId="12036"/>
    <cellStyle name="Enter Units (1) 2 18" xfId="16685"/>
    <cellStyle name="Enter Units (1) 2 19" xfId="17609"/>
    <cellStyle name="Enter Units (1) 2 2" xfId="4010"/>
    <cellStyle name="Enter Units (1) 2 2 2" xfId="9584"/>
    <cellStyle name="Enter Units (1) 2 2 3" xfId="9422"/>
    <cellStyle name="Enter Units (1) 2 20" xfId="15645"/>
    <cellStyle name="Enter Units (1) 2 21" xfId="18525"/>
    <cellStyle name="Enter Units (1) 2 22" xfId="15853"/>
    <cellStyle name="Enter Units (1) 2 23" xfId="23042"/>
    <cellStyle name="Enter Units (1) 2 24" xfId="23155"/>
    <cellStyle name="Enter Units (1) 2 25" xfId="28680"/>
    <cellStyle name="Enter Units (1) 2 26" xfId="30469"/>
    <cellStyle name="Enter Units (1) 2 27" xfId="32244"/>
    <cellStyle name="Enter Units (1) 2 28" xfId="33997"/>
    <cellStyle name="Enter Units (1) 2 29" xfId="35708"/>
    <cellStyle name="Enter Units (1) 2 3" xfId="10355"/>
    <cellStyle name="Enter Units (1) 2 30" xfId="37348"/>
    <cellStyle name="Enter Units (1) 2 31" xfId="38901"/>
    <cellStyle name="Enter Units (1) 2 32" xfId="40327"/>
    <cellStyle name="Enter Units (1) 2 33" xfId="8749"/>
    <cellStyle name="Enter Units (1) 2 4" xfId="10387"/>
    <cellStyle name="Enter Units (1) 2 5" xfId="10985"/>
    <cellStyle name="Enter Units (1) 2 6" xfId="11094"/>
    <cellStyle name="Enter Units (1) 2 7" xfId="11288"/>
    <cellStyle name="Enter Units (1) 2 8" xfId="11480"/>
    <cellStyle name="Enter Units (1) 2 9" xfId="11663"/>
    <cellStyle name="Enter Units (1) 20" xfId="11842"/>
    <cellStyle name="Enter Units (1) 20 10" xfId="20711"/>
    <cellStyle name="Enter Units (1) 20 11" xfId="21549"/>
    <cellStyle name="Enter Units (1) 20 12" xfId="22337"/>
    <cellStyle name="Enter Units (1) 20 13" xfId="26960"/>
    <cellStyle name="Enter Units (1) 20 14" xfId="30289"/>
    <cellStyle name="Enter Units (1) 20 15" xfId="32064"/>
    <cellStyle name="Enter Units (1) 20 16" xfId="33819"/>
    <cellStyle name="Enter Units (1) 20 17" xfId="35532"/>
    <cellStyle name="Enter Units (1) 20 18" xfId="37176"/>
    <cellStyle name="Enter Units (1) 20 19" xfId="38732"/>
    <cellStyle name="Enter Units (1) 20 2" xfId="13263"/>
    <cellStyle name="Enter Units (1) 20 20" xfId="40166"/>
    <cellStyle name="Enter Units (1) 20 21" xfId="41409"/>
    <cellStyle name="Enter Units (1) 20 22" xfId="42458"/>
    <cellStyle name="Enter Units (1) 20 3" xfId="14388"/>
    <cellStyle name="Enter Units (1) 20 4" xfId="15316"/>
    <cellStyle name="Enter Units (1) 20 5" xfId="16246"/>
    <cellStyle name="Enter Units (1) 20 6" xfId="17176"/>
    <cellStyle name="Enter Units (1) 20 7" xfId="18084"/>
    <cellStyle name="Enter Units (1) 20 8" xfId="18974"/>
    <cellStyle name="Enter Units (1) 20 9" xfId="19851"/>
    <cellStyle name="Enter Units (1) 21" xfId="12028"/>
    <cellStyle name="Enter Units (1) 21 10" xfId="20791"/>
    <cellStyle name="Enter Units (1) 21 11" xfId="21629"/>
    <cellStyle name="Enter Units (1) 21 12" xfId="22415"/>
    <cellStyle name="Enter Units (1) 21 13" xfId="26989"/>
    <cellStyle name="Enter Units (1) 21 14" xfId="30318"/>
    <cellStyle name="Enter Units (1) 21 15" xfId="32093"/>
    <cellStyle name="Enter Units (1) 21 16" xfId="33848"/>
    <cellStyle name="Enter Units (1) 21 17" xfId="35561"/>
    <cellStyle name="Enter Units (1) 21 18" xfId="37205"/>
    <cellStyle name="Enter Units (1) 21 19" xfId="38761"/>
    <cellStyle name="Enter Units (1) 21 2" xfId="13344"/>
    <cellStyle name="Enter Units (1) 21 20" xfId="40194"/>
    <cellStyle name="Enter Units (1) 21 21" xfId="41437"/>
    <cellStyle name="Enter Units (1) 21 22" xfId="42486"/>
    <cellStyle name="Enter Units (1) 21 3" xfId="14468"/>
    <cellStyle name="Enter Units (1) 21 4" xfId="15397"/>
    <cellStyle name="Enter Units (1) 21 5" xfId="16326"/>
    <cellStyle name="Enter Units (1) 21 6" xfId="17256"/>
    <cellStyle name="Enter Units (1) 21 7" xfId="18164"/>
    <cellStyle name="Enter Units (1) 21 8" xfId="19054"/>
    <cellStyle name="Enter Units (1) 21 9" xfId="19931"/>
    <cellStyle name="Enter Units (1) 22" xfId="12326"/>
    <cellStyle name="Enter Units (1) 22 10" xfId="20870"/>
    <cellStyle name="Enter Units (1) 22 11" xfId="21709"/>
    <cellStyle name="Enter Units (1) 22 12" xfId="22493"/>
    <cellStyle name="Enter Units (1) 22 13" xfId="26998"/>
    <cellStyle name="Enter Units (1) 22 14" xfId="30327"/>
    <cellStyle name="Enter Units (1) 22 15" xfId="32102"/>
    <cellStyle name="Enter Units (1) 22 16" xfId="33857"/>
    <cellStyle name="Enter Units (1) 22 17" xfId="35570"/>
    <cellStyle name="Enter Units (1) 22 18" xfId="37214"/>
    <cellStyle name="Enter Units (1) 22 19" xfId="38770"/>
    <cellStyle name="Enter Units (1) 22 2" xfId="13424"/>
    <cellStyle name="Enter Units (1) 22 20" xfId="40203"/>
    <cellStyle name="Enter Units (1) 22 21" xfId="41446"/>
    <cellStyle name="Enter Units (1) 22 22" xfId="42495"/>
    <cellStyle name="Enter Units (1) 22 3" xfId="14548"/>
    <cellStyle name="Enter Units (1) 22 4" xfId="15475"/>
    <cellStyle name="Enter Units (1) 22 5" xfId="16406"/>
    <cellStyle name="Enter Units (1) 22 6" xfId="17336"/>
    <cellStyle name="Enter Units (1) 22 7" xfId="18244"/>
    <cellStyle name="Enter Units (1) 22 8" xfId="19134"/>
    <cellStyle name="Enter Units (1) 22 9" xfId="20011"/>
    <cellStyle name="Enter Units (1) 23" xfId="12396"/>
    <cellStyle name="Enter Units (1) 23 10" xfId="20948"/>
    <cellStyle name="Enter Units (1) 23 11" xfId="21789"/>
    <cellStyle name="Enter Units (1) 23 12" xfId="22571"/>
    <cellStyle name="Enter Units (1) 23 2" xfId="13504"/>
    <cellStyle name="Enter Units (1) 23 3" xfId="14627"/>
    <cellStyle name="Enter Units (1) 23 4" xfId="15555"/>
    <cellStyle name="Enter Units (1) 23 5" xfId="16486"/>
    <cellStyle name="Enter Units (1) 23 6" xfId="17416"/>
    <cellStyle name="Enter Units (1) 23 7" xfId="18324"/>
    <cellStyle name="Enter Units (1) 23 8" xfId="19214"/>
    <cellStyle name="Enter Units (1) 23 9" xfId="20090"/>
    <cellStyle name="Enter Units (1) 24" xfId="10933"/>
    <cellStyle name="Enter Units (1) 24 10" xfId="21021"/>
    <cellStyle name="Enter Units (1) 24 11" xfId="21860"/>
    <cellStyle name="Enter Units (1) 24 12" xfId="22641"/>
    <cellStyle name="Enter Units (1) 24 2" xfId="13584"/>
    <cellStyle name="Enter Units (1) 24 3" xfId="14703"/>
    <cellStyle name="Enter Units (1) 24 4" xfId="15632"/>
    <cellStyle name="Enter Units (1) 24 5" xfId="16563"/>
    <cellStyle name="Enter Units (1) 24 6" xfId="17491"/>
    <cellStyle name="Enter Units (1) 24 7" xfId="18398"/>
    <cellStyle name="Enter Units (1) 24 8" xfId="19286"/>
    <cellStyle name="Enter Units (1) 24 9" xfId="20160"/>
    <cellStyle name="Enter Units (1) 25" xfId="13664"/>
    <cellStyle name="Enter Units (1) 26" xfId="13736"/>
    <cellStyle name="Enter Units (1) 27" xfId="12604"/>
    <cellStyle name="Enter Units (1) 28" xfId="14068"/>
    <cellStyle name="Enter Units (1) 29" xfId="12813"/>
    <cellStyle name="Enter Units (1) 3" xfId="3732"/>
    <cellStyle name="Enter Units (1) 3 2" xfId="4011"/>
    <cellStyle name="Enter Units (1) 3 2 2" xfId="8686"/>
    <cellStyle name="Enter Units (1) 30" xfId="16740"/>
    <cellStyle name="Enter Units (1) 31" xfId="17654"/>
    <cellStyle name="Enter Units (1) 32" xfId="18554"/>
    <cellStyle name="Enter Units (1) 33" xfId="19431"/>
    <cellStyle name="Enter Units (1) 34" xfId="19531"/>
    <cellStyle name="Enter Units (1) 35" xfId="20331"/>
    <cellStyle name="Enter Units (1) 36" xfId="21967"/>
    <cellStyle name="Enter Units (1) 37" xfId="22850"/>
    <cellStyle name="Enter Units (1) 38" xfId="23267"/>
    <cellStyle name="Enter Units (1) 39" xfId="28891"/>
    <cellStyle name="Enter Units (1) 4" xfId="8783"/>
    <cellStyle name="Enter Units (1) 40" xfId="30677"/>
    <cellStyle name="Enter Units (1) 41" xfId="32450"/>
    <cellStyle name="Enter Units (1) 42" xfId="34201"/>
    <cellStyle name="Enter Units (1) 43" xfId="35901"/>
    <cellStyle name="Enter Units (1) 44" xfId="37528"/>
    <cellStyle name="Enter Units (1) 45" xfId="39067"/>
    <cellStyle name="Enter Units (1) 46" xfId="40477"/>
    <cellStyle name="Enter Units (1) 47" xfId="7838"/>
    <cellStyle name="Enter Units (1) 5" xfId="8884"/>
    <cellStyle name="Enter Units (1) 6" xfId="8962"/>
    <cellStyle name="Enter Units (1) 7" xfId="9040"/>
    <cellStyle name="Enter Units (1) 8" xfId="9282"/>
    <cellStyle name="Enter Units (1) 9" xfId="9689"/>
    <cellStyle name="Enter Units (2)" xfId="3733"/>
    <cellStyle name="Enter Units (2) 10" xfId="9734"/>
    <cellStyle name="Enter Units (2) 11" xfId="9830"/>
    <cellStyle name="Enter Units (2) 12" xfId="9922"/>
    <cellStyle name="Enter Units (2) 13" xfId="10001"/>
    <cellStyle name="Enter Units (2) 14" xfId="10080"/>
    <cellStyle name="Enter Units (2) 15" xfId="9348"/>
    <cellStyle name="Enter Units (2) 15 10" xfId="20334"/>
    <cellStyle name="Enter Units (2) 15 11" xfId="21179"/>
    <cellStyle name="Enter Units (2) 15 12" xfId="21989"/>
    <cellStyle name="Enter Units (2) 15 13" xfId="26907"/>
    <cellStyle name="Enter Units (2) 15 14" xfId="30235"/>
    <cellStyle name="Enter Units (2) 15 15" xfId="32010"/>
    <cellStyle name="Enter Units (2) 15 16" xfId="33765"/>
    <cellStyle name="Enter Units (2) 15 17" xfId="35478"/>
    <cellStyle name="Enter Units (2) 15 18" xfId="37122"/>
    <cellStyle name="Enter Units (2) 15 19" xfId="38678"/>
    <cellStyle name="Enter Units (2) 15 2" xfId="12876"/>
    <cellStyle name="Enter Units (2) 15 20" xfId="40112"/>
    <cellStyle name="Enter Units (2) 15 21" xfId="41359"/>
    <cellStyle name="Enter Units (2) 15 22" xfId="42410"/>
    <cellStyle name="Enter Units (2) 15 3" xfId="14002"/>
    <cellStyle name="Enter Units (2) 15 4" xfId="14933"/>
    <cellStyle name="Enter Units (2) 15 5" xfId="15862"/>
    <cellStyle name="Enter Units (2) 15 6" xfId="16789"/>
    <cellStyle name="Enter Units (2) 15 7" xfId="17700"/>
    <cellStyle name="Enter Units (2) 15 8" xfId="18595"/>
    <cellStyle name="Enter Units (2) 15 9" xfId="19474"/>
    <cellStyle name="Enter Units (2) 16" xfId="11021"/>
    <cellStyle name="Enter Units (2) 16 10" xfId="20397"/>
    <cellStyle name="Enter Units (2) 16 11" xfId="21233"/>
    <cellStyle name="Enter Units (2) 16 12" xfId="22033"/>
    <cellStyle name="Enter Units (2) 16 13" xfId="26283"/>
    <cellStyle name="Enter Units (2) 16 14" xfId="29614"/>
    <cellStyle name="Enter Units (2) 16 15" xfId="31389"/>
    <cellStyle name="Enter Units (2) 16 16" xfId="33152"/>
    <cellStyle name="Enter Units (2) 16 17" xfId="34870"/>
    <cellStyle name="Enter Units (2) 16 18" xfId="36523"/>
    <cellStyle name="Enter Units (2) 16 19" xfId="38097"/>
    <cellStyle name="Enter Units (2) 16 2" xfId="12947"/>
    <cellStyle name="Enter Units (2) 16 20" xfId="39550"/>
    <cellStyle name="Enter Units (2) 16 21" xfId="40824"/>
    <cellStyle name="Enter Units (2) 16 22" xfId="41903"/>
    <cellStyle name="Enter Units (2) 16 3" xfId="14073"/>
    <cellStyle name="Enter Units (2) 16 4" xfId="15003"/>
    <cellStyle name="Enter Units (2) 16 5" xfId="15930"/>
    <cellStyle name="Enter Units (2) 16 6" xfId="16860"/>
    <cellStyle name="Enter Units (2) 16 7" xfId="17768"/>
    <cellStyle name="Enter Units (2) 16 8" xfId="18658"/>
    <cellStyle name="Enter Units (2) 16 9" xfId="19536"/>
    <cellStyle name="Enter Units (2) 17" xfId="10513"/>
    <cellStyle name="Enter Units (2) 17 10" xfId="20474"/>
    <cellStyle name="Enter Units (2) 17 11" xfId="21310"/>
    <cellStyle name="Enter Units (2) 17 12" xfId="22107"/>
    <cellStyle name="Enter Units (2) 17 13" xfId="26815"/>
    <cellStyle name="Enter Units (2) 17 14" xfId="30143"/>
    <cellStyle name="Enter Units (2) 17 15" xfId="31918"/>
    <cellStyle name="Enter Units (2) 17 16" xfId="33673"/>
    <cellStyle name="Enter Units (2) 17 17" xfId="35386"/>
    <cellStyle name="Enter Units (2) 17 18" xfId="37031"/>
    <cellStyle name="Enter Units (2) 17 19" xfId="38588"/>
    <cellStyle name="Enter Units (2) 17 2" xfId="13024"/>
    <cellStyle name="Enter Units (2) 17 20" xfId="40022"/>
    <cellStyle name="Enter Units (2) 17 21" xfId="41270"/>
    <cellStyle name="Enter Units (2) 17 22" xfId="42321"/>
    <cellStyle name="Enter Units (2) 17 3" xfId="14150"/>
    <cellStyle name="Enter Units (2) 17 4" xfId="15080"/>
    <cellStyle name="Enter Units (2) 17 5" xfId="16007"/>
    <cellStyle name="Enter Units (2) 17 6" xfId="16937"/>
    <cellStyle name="Enter Units (2) 17 7" xfId="17845"/>
    <cellStyle name="Enter Units (2) 17 8" xfId="18735"/>
    <cellStyle name="Enter Units (2) 17 9" xfId="19613"/>
    <cellStyle name="Enter Units (2) 18" xfId="10526"/>
    <cellStyle name="Enter Units (2) 18 10" xfId="20556"/>
    <cellStyle name="Enter Units (2) 18 11" xfId="21392"/>
    <cellStyle name="Enter Units (2) 18 12" xfId="22186"/>
    <cellStyle name="Enter Units (2) 18 13" xfId="26536"/>
    <cellStyle name="Enter Units (2) 18 14" xfId="29867"/>
    <cellStyle name="Enter Units (2) 18 15" xfId="31642"/>
    <cellStyle name="Enter Units (2) 18 16" xfId="33401"/>
    <cellStyle name="Enter Units (2) 18 17" xfId="35115"/>
    <cellStyle name="Enter Units (2) 18 18" xfId="36765"/>
    <cellStyle name="Enter Units (2) 18 19" xfId="38333"/>
    <cellStyle name="Enter Units (2) 18 2" xfId="13106"/>
    <cellStyle name="Enter Units (2) 18 20" xfId="39779"/>
    <cellStyle name="Enter Units (2) 18 21" xfId="41045"/>
    <cellStyle name="Enter Units (2) 18 22" xfId="42116"/>
    <cellStyle name="Enter Units (2) 18 3" xfId="14232"/>
    <cellStyle name="Enter Units (2) 18 4" xfId="15161"/>
    <cellStyle name="Enter Units (2) 18 5" xfId="16089"/>
    <cellStyle name="Enter Units (2) 18 6" xfId="17019"/>
    <cellStyle name="Enter Units (2) 18 7" xfId="17927"/>
    <cellStyle name="Enter Units (2) 18 8" xfId="18817"/>
    <cellStyle name="Enter Units (2) 18 9" xfId="19695"/>
    <cellStyle name="Enter Units (2) 19" xfId="10824"/>
    <cellStyle name="Enter Units (2) 19 10" xfId="20636"/>
    <cellStyle name="Enter Units (2) 19 11" xfId="21473"/>
    <cellStyle name="Enter Units (2) 19 12" xfId="22264"/>
    <cellStyle name="Enter Units (2) 19 13" xfId="26943"/>
    <cellStyle name="Enter Units (2) 19 14" xfId="30271"/>
    <cellStyle name="Enter Units (2) 19 15" xfId="32046"/>
    <cellStyle name="Enter Units (2) 19 16" xfId="33801"/>
    <cellStyle name="Enter Units (2) 19 17" xfId="35514"/>
    <cellStyle name="Enter Units (2) 19 18" xfId="37158"/>
    <cellStyle name="Enter Units (2) 19 19" xfId="38714"/>
    <cellStyle name="Enter Units (2) 19 2" xfId="13187"/>
    <cellStyle name="Enter Units (2) 19 20" xfId="40148"/>
    <cellStyle name="Enter Units (2) 19 21" xfId="41393"/>
    <cellStyle name="Enter Units (2) 19 22" xfId="42443"/>
    <cellStyle name="Enter Units (2) 19 3" xfId="14313"/>
    <cellStyle name="Enter Units (2) 19 4" xfId="15241"/>
    <cellStyle name="Enter Units (2) 19 5" xfId="16170"/>
    <cellStyle name="Enter Units (2) 19 6" xfId="17100"/>
    <cellStyle name="Enter Units (2) 19 7" xfId="18008"/>
    <cellStyle name="Enter Units (2) 19 8" xfId="18898"/>
    <cellStyle name="Enter Units (2) 19 9" xfId="19776"/>
    <cellStyle name="Enter Units (2) 2" xfId="3734"/>
    <cellStyle name="Enter Units (2) 2 10" xfId="12116"/>
    <cellStyle name="Enter Units (2) 2 11" xfId="12539"/>
    <cellStyle name="Enter Units (2) 2 12" xfId="12613"/>
    <cellStyle name="Enter Units (2) 2 13" xfId="12607"/>
    <cellStyle name="Enter Units (2) 2 14" xfId="10874"/>
    <cellStyle name="Enter Units (2) 2 15" xfId="15826"/>
    <cellStyle name="Enter Units (2) 2 16" xfId="12352"/>
    <cellStyle name="Enter Units (2) 2 17" xfId="12742"/>
    <cellStyle name="Enter Units (2) 2 18" xfId="12632"/>
    <cellStyle name="Enter Units (2) 2 19" xfId="12751"/>
    <cellStyle name="Enter Units (2) 2 2" xfId="4012"/>
    <cellStyle name="Enter Units (2) 2 2 2" xfId="9585"/>
    <cellStyle name="Enter Units (2) 2 2 3" xfId="9423"/>
    <cellStyle name="Enter Units (2) 2 20" xfId="18559"/>
    <cellStyle name="Enter Units (2) 2 21" xfId="17603"/>
    <cellStyle name="Enter Units (2) 2 22" xfId="12285"/>
    <cellStyle name="Enter Units (2) 2 23" xfId="23043"/>
    <cellStyle name="Enter Units (2) 2 24" xfId="23072"/>
    <cellStyle name="Enter Units (2) 2 25" xfId="28679"/>
    <cellStyle name="Enter Units (2) 2 26" xfId="30468"/>
    <cellStyle name="Enter Units (2) 2 27" xfId="32243"/>
    <cellStyle name="Enter Units (2) 2 28" xfId="33996"/>
    <cellStyle name="Enter Units (2) 2 29" xfId="35707"/>
    <cellStyle name="Enter Units (2) 2 3" xfId="10356"/>
    <cellStyle name="Enter Units (2) 2 30" xfId="37347"/>
    <cellStyle name="Enter Units (2) 2 31" xfId="38900"/>
    <cellStyle name="Enter Units (2) 2 32" xfId="40326"/>
    <cellStyle name="Enter Units (2) 2 33" xfId="8750"/>
    <cellStyle name="Enter Units (2) 2 4" xfId="11250"/>
    <cellStyle name="Enter Units (2) 2 5" xfId="11441"/>
    <cellStyle name="Enter Units (2) 2 6" xfId="11630"/>
    <cellStyle name="Enter Units (2) 2 7" xfId="11812"/>
    <cellStyle name="Enter Units (2) 2 8" xfId="11994"/>
    <cellStyle name="Enter Units (2) 2 9" xfId="12171"/>
    <cellStyle name="Enter Units (2) 20" xfId="10843"/>
    <cellStyle name="Enter Units (2) 20 10" xfId="20712"/>
    <cellStyle name="Enter Units (2) 20 11" xfId="21550"/>
    <cellStyle name="Enter Units (2) 20 12" xfId="22338"/>
    <cellStyle name="Enter Units (2) 20 13" xfId="26959"/>
    <cellStyle name="Enter Units (2) 20 14" xfId="30288"/>
    <cellStyle name="Enter Units (2) 20 15" xfId="32063"/>
    <cellStyle name="Enter Units (2) 20 16" xfId="33818"/>
    <cellStyle name="Enter Units (2) 20 17" xfId="35531"/>
    <cellStyle name="Enter Units (2) 20 18" xfId="37175"/>
    <cellStyle name="Enter Units (2) 20 19" xfId="38731"/>
    <cellStyle name="Enter Units (2) 20 2" xfId="13264"/>
    <cellStyle name="Enter Units (2) 20 20" xfId="40165"/>
    <cellStyle name="Enter Units (2) 20 21" xfId="41408"/>
    <cellStyle name="Enter Units (2) 20 22" xfId="42457"/>
    <cellStyle name="Enter Units (2) 20 3" xfId="14389"/>
    <cellStyle name="Enter Units (2) 20 4" xfId="15317"/>
    <cellStyle name="Enter Units (2) 20 5" xfId="16247"/>
    <cellStyle name="Enter Units (2) 20 6" xfId="17177"/>
    <cellStyle name="Enter Units (2) 20 7" xfId="18085"/>
    <cellStyle name="Enter Units (2) 20 8" xfId="18975"/>
    <cellStyle name="Enter Units (2) 20 9" xfId="19852"/>
    <cellStyle name="Enter Units (2) 21" xfId="10845"/>
    <cellStyle name="Enter Units (2) 21 10" xfId="20793"/>
    <cellStyle name="Enter Units (2) 21 11" xfId="21631"/>
    <cellStyle name="Enter Units (2) 21 12" xfId="22417"/>
    <cellStyle name="Enter Units (2) 21 13" xfId="26988"/>
    <cellStyle name="Enter Units (2) 21 14" xfId="30317"/>
    <cellStyle name="Enter Units (2) 21 15" xfId="32092"/>
    <cellStyle name="Enter Units (2) 21 16" xfId="33847"/>
    <cellStyle name="Enter Units (2) 21 17" xfId="35560"/>
    <cellStyle name="Enter Units (2) 21 18" xfId="37204"/>
    <cellStyle name="Enter Units (2) 21 19" xfId="38760"/>
    <cellStyle name="Enter Units (2) 21 2" xfId="13346"/>
    <cellStyle name="Enter Units (2) 21 20" xfId="40193"/>
    <cellStyle name="Enter Units (2) 21 21" xfId="41436"/>
    <cellStyle name="Enter Units (2) 21 22" xfId="42485"/>
    <cellStyle name="Enter Units (2) 21 3" xfId="14470"/>
    <cellStyle name="Enter Units (2) 21 4" xfId="15399"/>
    <cellStyle name="Enter Units (2) 21 5" xfId="16328"/>
    <cellStyle name="Enter Units (2) 21 6" xfId="17258"/>
    <cellStyle name="Enter Units (2) 21 7" xfId="18166"/>
    <cellStyle name="Enter Units (2) 21 8" xfId="19056"/>
    <cellStyle name="Enter Units (2) 21 9" xfId="19933"/>
    <cellStyle name="Enter Units (2) 22" xfId="12269"/>
    <cellStyle name="Enter Units (2) 22 10" xfId="20872"/>
    <cellStyle name="Enter Units (2) 22 11" xfId="21711"/>
    <cellStyle name="Enter Units (2) 22 12" xfId="22495"/>
    <cellStyle name="Enter Units (2) 22 13" xfId="26997"/>
    <cellStyle name="Enter Units (2) 22 14" xfId="30326"/>
    <cellStyle name="Enter Units (2) 22 15" xfId="32101"/>
    <cellStyle name="Enter Units (2) 22 16" xfId="33856"/>
    <cellStyle name="Enter Units (2) 22 17" xfId="35569"/>
    <cellStyle name="Enter Units (2) 22 18" xfId="37213"/>
    <cellStyle name="Enter Units (2) 22 19" xfId="38769"/>
    <cellStyle name="Enter Units (2) 22 2" xfId="13426"/>
    <cellStyle name="Enter Units (2) 22 20" xfId="40202"/>
    <cellStyle name="Enter Units (2) 22 21" xfId="41445"/>
    <cellStyle name="Enter Units (2) 22 22" xfId="42494"/>
    <cellStyle name="Enter Units (2) 22 3" xfId="14550"/>
    <cellStyle name="Enter Units (2) 22 4" xfId="15477"/>
    <cellStyle name="Enter Units (2) 22 5" xfId="16408"/>
    <cellStyle name="Enter Units (2) 22 6" xfId="17338"/>
    <cellStyle name="Enter Units (2) 22 7" xfId="18246"/>
    <cellStyle name="Enter Units (2) 22 8" xfId="19136"/>
    <cellStyle name="Enter Units (2) 22 9" xfId="20013"/>
    <cellStyle name="Enter Units (2) 23" xfId="11940"/>
    <cellStyle name="Enter Units (2) 23 10" xfId="20950"/>
    <cellStyle name="Enter Units (2) 23 11" xfId="21791"/>
    <cellStyle name="Enter Units (2) 23 12" xfId="22573"/>
    <cellStyle name="Enter Units (2) 23 2" xfId="13506"/>
    <cellStyle name="Enter Units (2) 23 3" xfId="14629"/>
    <cellStyle name="Enter Units (2) 23 4" xfId="15557"/>
    <cellStyle name="Enter Units (2) 23 5" xfId="16488"/>
    <cellStyle name="Enter Units (2) 23 6" xfId="17418"/>
    <cellStyle name="Enter Units (2) 23 7" xfId="18326"/>
    <cellStyle name="Enter Units (2) 23 8" xfId="19216"/>
    <cellStyle name="Enter Units (2) 23 9" xfId="20092"/>
    <cellStyle name="Enter Units (2) 24" xfId="10427"/>
    <cellStyle name="Enter Units (2) 24 10" xfId="21023"/>
    <cellStyle name="Enter Units (2) 24 11" xfId="21862"/>
    <cellStyle name="Enter Units (2) 24 12" xfId="22643"/>
    <cellStyle name="Enter Units (2) 24 2" xfId="13586"/>
    <cellStyle name="Enter Units (2) 24 3" xfId="14705"/>
    <cellStyle name="Enter Units (2) 24 4" xfId="15634"/>
    <cellStyle name="Enter Units (2) 24 5" xfId="16565"/>
    <cellStyle name="Enter Units (2) 24 6" xfId="17493"/>
    <cellStyle name="Enter Units (2) 24 7" xfId="18400"/>
    <cellStyle name="Enter Units (2) 24 8" xfId="19288"/>
    <cellStyle name="Enter Units (2) 24 9" xfId="20162"/>
    <cellStyle name="Enter Units (2) 25" xfId="13666"/>
    <cellStyle name="Enter Units (2) 26" xfId="13738"/>
    <cellStyle name="Enter Units (2) 27" xfId="12939"/>
    <cellStyle name="Enter Units (2) 28" xfId="13999"/>
    <cellStyle name="Enter Units (2) 29" xfId="11651"/>
    <cellStyle name="Enter Units (2) 3" xfId="3735"/>
    <cellStyle name="Enter Units (2) 3 2" xfId="4013"/>
    <cellStyle name="Enter Units (2) 3 2 2" xfId="8685"/>
    <cellStyle name="Enter Units (2) 30" xfId="15925"/>
    <cellStyle name="Enter Units (2) 31" xfId="16855"/>
    <cellStyle name="Enter Units (2) 32" xfId="17763"/>
    <cellStyle name="Enter Units (2) 33" xfId="18653"/>
    <cellStyle name="Enter Units (2) 34" xfId="19471"/>
    <cellStyle name="Enter Units (2) 35" xfId="19411"/>
    <cellStyle name="Enter Units (2) 36" xfId="21228"/>
    <cellStyle name="Enter Units (2) 37" xfId="22851"/>
    <cellStyle name="Enter Units (2) 38" xfId="23188"/>
    <cellStyle name="Enter Units (2) 39" xfId="28890"/>
    <cellStyle name="Enter Units (2) 4" xfId="8800"/>
    <cellStyle name="Enter Units (2) 40" xfId="30676"/>
    <cellStyle name="Enter Units (2) 41" xfId="32449"/>
    <cellStyle name="Enter Units (2) 42" xfId="34200"/>
    <cellStyle name="Enter Units (2) 43" xfId="35900"/>
    <cellStyle name="Enter Units (2) 44" xfId="37527"/>
    <cellStyle name="Enter Units (2) 45" xfId="39066"/>
    <cellStyle name="Enter Units (2) 46" xfId="40476"/>
    <cellStyle name="Enter Units (2) 47" xfId="7839"/>
    <cellStyle name="Enter Units (2) 5" xfId="8891"/>
    <cellStyle name="Enter Units (2) 6" xfId="8969"/>
    <cellStyle name="Enter Units (2) 7" xfId="9047"/>
    <cellStyle name="Enter Units (2) 8" xfId="9283"/>
    <cellStyle name="Enter Units (2) 9" xfId="9690"/>
    <cellStyle name="Entered" xfId="3736"/>
    <cellStyle name="Entered 2" xfId="7840"/>
    <cellStyle name="Entered 3" xfId="7725"/>
    <cellStyle name="Euro" xfId="3737"/>
    <cellStyle name="Euro 2" xfId="3738"/>
    <cellStyle name="Euro 2 2" xfId="4014"/>
    <cellStyle name="Euro 2 3" xfId="7727"/>
    <cellStyle name="Euro 3" xfId="3739"/>
    <cellStyle name="Euro 3 2" xfId="4015"/>
    <cellStyle name="Euro 3 3" xfId="7728"/>
    <cellStyle name="Euro 4" xfId="7726"/>
    <cellStyle name="Explanatory Text" xfId="17" builtinId="53" customBuiltin="1"/>
    <cellStyle name="Explanatory Text 10" xfId="9742"/>
    <cellStyle name="Explanatory Text 11" xfId="9832"/>
    <cellStyle name="Explanatory Text 11 10" xfId="35907"/>
    <cellStyle name="Explanatory Text 11 11" xfId="37534"/>
    <cellStyle name="Explanatory Text 11 2" xfId="24836"/>
    <cellStyle name="Explanatory Text 11 3" xfId="28223"/>
    <cellStyle name="Explanatory Text 11 4" xfId="27572"/>
    <cellStyle name="Explanatory Text 11 5" xfId="23653"/>
    <cellStyle name="Explanatory Text 11 6" xfId="28897"/>
    <cellStyle name="Explanatory Text 11 7" xfId="30683"/>
    <cellStyle name="Explanatory Text 11 8" xfId="32456"/>
    <cellStyle name="Explanatory Text 11 9" xfId="34207"/>
    <cellStyle name="Explanatory Text 12" xfId="9931"/>
    <cellStyle name="Explanatory Text 12 10" xfId="41061"/>
    <cellStyle name="Explanatory Text 12 11" xfId="42128"/>
    <cellStyle name="Explanatory Text 12 2" xfId="26564"/>
    <cellStyle name="Explanatory Text 12 3" xfId="29894"/>
    <cellStyle name="Explanatory Text 12 4" xfId="31669"/>
    <cellStyle name="Explanatory Text 12 5" xfId="33428"/>
    <cellStyle name="Explanatory Text 12 6" xfId="35142"/>
    <cellStyle name="Explanatory Text 12 7" xfId="36792"/>
    <cellStyle name="Explanatory Text 12 8" xfId="38357"/>
    <cellStyle name="Explanatory Text 12 9" xfId="39800"/>
    <cellStyle name="Explanatory Text 13" xfId="10004"/>
    <cellStyle name="Explanatory Text 13 10" xfId="41260"/>
    <cellStyle name="Explanatory Text 13 11" xfId="42314"/>
    <cellStyle name="Explanatory Text 13 2" xfId="26795"/>
    <cellStyle name="Explanatory Text 13 3" xfId="30123"/>
    <cellStyle name="Explanatory Text 13 4" xfId="31898"/>
    <cellStyle name="Explanatory Text 13 5" xfId="33653"/>
    <cellStyle name="Explanatory Text 13 6" xfId="35366"/>
    <cellStyle name="Explanatory Text 13 7" xfId="37011"/>
    <cellStyle name="Explanatory Text 13 8" xfId="38570"/>
    <cellStyle name="Explanatory Text 13 9" xfId="40008"/>
    <cellStyle name="Explanatory Text 14" xfId="10082"/>
    <cellStyle name="Explanatory Text 14 10" xfId="40925"/>
    <cellStyle name="Explanatory Text 14 11" xfId="42000"/>
    <cellStyle name="Explanatory Text 14 2" xfId="26397"/>
    <cellStyle name="Explanatory Text 14 3" xfId="29728"/>
    <cellStyle name="Explanatory Text 14 4" xfId="31503"/>
    <cellStyle name="Explanatory Text 14 5" xfId="33264"/>
    <cellStyle name="Explanatory Text 14 6" xfId="34982"/>
    <cellStyle name="Explanatory Text 14 7" xfId="36635"/>
    <cellStyle name="Explanatory Text 14 8" xfId="38205"/>
    <cellStyle name="Explanatory Text 14 9" xfId="39655"/>
    <cellStyle name="Explanatory Text 15" xfId="9340"/>
    <cellStyle name="Explanatory Text 15 10" xfId="20336"/>
    <cellStyle name="Explanatory Text 15 11" xfId="21181"/>
    <cellStyle name="Explanatory Text 15 12" xfId="21991"/>
    <cellStyle name="Explanatory Text 15 13" xfId="26906"/>
    <cellStyle name="Explanatory Text 15 14" xfId="30234"/>
    <cellStyle name="Explanatory Text 15 15" xfId="32009"/>
    <cellStyle name="Explanatory Text 15 16" xfId="33764"/>
    <cellStyle name="Explanatory Text 15 17" xfId="35477"/>
    <cellStyle name="Explanatory Text 15 18" xfId="37121"/>
    <cellStyle name="Explanatory Text 15 19" xfId="38677"/>
    <cellStyle name="Explanatory Text 15 2" xfId="12878"/>
    <cellStyle name="Explanatory Text 15 20" xfId="40111"/>
    <cellStyle name="Explanatory Text 15 21" xfId="41358"/>
    <cellStyle name="Explanatory Text 15 22" xfId="42409"/>
    <cellStyle name="Explanatory Text 15 3" xfId="14004"/>
    <cellStyle name="Explanatory Text 15 4" xfId="14935"/>
    <cellStyle name="Explanatory Text 15 5" xfId="15864"/>
    <cellStyle name="Explanatory Text 15 6" xfId="16791"/>
    <cellStyle name="Explanatory Text 15 7" xfId="17702"/>
    <cellStyle name="Explanatory Text 15 8" xfId="18597"/>
    <cellStyle name="Explanatory Text 15 9" xfId="19476"/>
    <cellStyle name="Explanatory Text 16" xfId="10229"/>
    <cellStyle name="Explanatory Text 16 10" xfId="20399"/>
    <cellStyle name="Explanatory Text 16 11" xfId="21235"/>
    <cellStyle name="Explanatory Text 16 12" xfId="22035"/>
    <cellStyle name="Explanatory Text 16 13" xfId="26284"/>
    <cellStyle name="Explanatory Text 16 14" xfId="29615"/>
    <cellStyle name="Explanatory Text 16 15" xfId="31390"/>
    <cellStyle name="Explanatory Text 16 16" xfId="33153"/>
    <cellStyle name="Explanatory Text 16 17" xfId="34871"/>
    <cellStyle name="Explanatory Text 16 18" xfId="36524"/>
    <cellStyle name="Explanatory Text 16 19" xfId="38098"/>
    <cellStyle name="Explanatory Text 16 2" xfId="12949"/>
    <cellStyle name="Explanatory Text 16 20" xfId="39551"/>
    <cellStyle name="Explanatory Text 16 21" xfId="40825"/>
    <cellStyle name="Explanatory Text 16 22" xfId="41904"/>
    <cellStyle name="Explanatory Text 16 3" xfId="14075"/>
    <cellStyle name="Explanatory Text 16 4" xfId="15005"/>
    <cellStyle name="Explanatory Text 16 5" xfId="15932"/>
    <cellStyle name="Explanatory Text 16 6" xfId="16862"/>
    <cellStyle name="Explanatory Text 16 7" xfId="17770"/>
    <cellStyle name="Explanatory Text 16 8" xfId="18660"/>
    <cellStyle name="Explanatory Text 16 9" xfId="19538"/>
    <cellStyle name="Explanatory Text 17" xfId="11004"/>
    <cellStyle name="Explanatory Text 17 10" xfId="20477"/>
    <cellStyle name="Explanatory Text 17 11" xfId="21313"/>
    <cellStyle name="Explanatory Text 17 12" xfId="22110"/>
    <cellStyle name="Explanatory Text 17 13" xfId="26677"/>
    <cellStyle name="Explanatory Text 17 14" xfId="30006"/>
    <cellStyle name="Explanatory Text 17 15" xfId="31781"/>
    <cellStyle name="Explanatory Text 17 16" xfId="33539"/>
    <cellStyle name="Explanatory Text 17 17" xfId="35253"/>
    <cellStyle name="Explanatory Text 17 18" xfId="36900"/>
    <cellStyle name="Explanatory Text 17 19" xfId="38463"/>
    <cellStyle name="Explanatory Text 17 2" xfId="13027"/>
    <cellStyle name="Explanatory Text 17 20" xfId="39904"/>
    <cellStyle name="Explanatory Text 17 21" xfId="41158"/>
    <cellStyle name="Explanatory Text 17 22" xfId="42218"/>
    <cellStyle name="Explanatory Text 17 3" xfId="14153"/>
    <cellStyle name="Explanatory Text 17 4" xfId="15083"/>
    <cellStyle name="Explanatory Text 17 5" xfId="16010"/>
    <cellStyle name="Explanatory Text 17 6" xfId="16940"/>
    <cellStyle name="Explanatory Text 17 7" xfId="17848"/>
    <cellStyle name="Explanatory Text 17 8" xfId="18738"/>
    <cellStyle name="Explanatory Text 17 9" xfId="19616"/>
    <cellStyle name="Explanatory Text 18" xfId="9513"/>
    <cellStyle name="Explanatory Text 18 10" xfId="20558"/>
    <cellStyle name="Explanatory Text 18 11" xfId="21394"/>
    <cellStyle name="Explanatory Text 18 12" xfId="22188"/>
    <cellStyle name="Explanatory Text 18 13" xfId="26556"/>
    <cellStyle name="Explanatory Text 18 14" xfId="29887"/>
    <cellStyle name="Explanatory Text 18 15" xfId="31662"/>
    <cellStyle name="Explanatory Text 18 16" xfId="33421"/>
    <cellStyle name="Explanatory Text 18 17" xfId="35135"/>
    <cellStyle name="Explanatory Text 18 18" xfId="36785"/>
    <cellStyle name="Explanatory Text 18 19" xfId="38351"/>
    <cellStyle name="Explanatory Text 18 2" xfId="13108"/>
    <cellStyle name="Explanatory Text 18 20" xfId="39795"/>
    <cellStyle name="Explanatory Text 18 21" xfId="41057"/>
    <cellStyle name="Explanatory Text 18 22" xfId="42126"/>
    <cellStyle name="Explanatory Text 18 3" xfId="14234"/>
    <cellStyle name="Explanatory Text 18 4" xfId="15163"/>
    <cellStyle name="Explanatory Text 18 5" xfId="16091"/>
    <cellStyle name="Explanatory Text 18 6" xfId="17021"/>
    <cellStyle name="Explanatory Text 18 7" xfId="17929"/>
    <cellStyle name="Explanatory Text 18 8" xfId="18819"/>
    <cellStyle name="Explanatory Text 18 9" xfId="19697"/>
    <cellStyle name="Explanatory Text 19" xfId="10966"/>
    <cellStyle name="Explanatory Text 19 10" xfId="20638"/>
    <cellStyle name="Explanatory Text 19 11" xfId="21475"/>
    <cellStyle name="Explanatory Text 19 12" xfId="22266"/>
    <cellStyle name="Explanatory Text 19 13" xfId="26942"/>
    <cellStyle name="Explanatory Text 19 14" xfId="30270"/>
    <cellStyle name="Explanatory Text 19 15" xfId="32045"/>
    <cellStyle name="Explanatory Text 19 16" xfId="33800"/>
    <cellStyle name="Explanatory Text 19 17" xfId="35513"/>
    <cellStyle name="Explanatory Text 19 18" xfId="37157"/>
    <cellStyle name="Explanatory Text 19 19" xfId="38713"/>
    <cellStyle name="Explanatory Text 19 2" xfId="13189"/>
    <cellStyle name="Explanatory Text 19 20" xfId="40147"/>
    <cellStyle name="Explanatory Text 19 21" xfId="41392"/>
    <cellStyle name="Explanatory Text 19 22" xfId="42442"/>
    <cellStyle name="Explanatory Text 19 3" xfId="14315"/>
    <cellStyle name="Explanatory Text 19 4" xfId="15243"/>
    <cellStyle name="Explanatory Text 19 5" xfId="16172"/>
    <cellStyle name="Explanatory Text 19 6" xfId="17102"/>
    <cellStyle name="Explanatory Text 19 7" xfId="18010"/>
    <cellStyle name="Explanatory Text 19 8" xfId="18900"/>
    <cellStyle name="Explanatory Text 19 9" xfId="19778"/>
    <cellStyle name="Explanatory Text 2" xfId="4016"/>
    <cellStyle name="Explanatory Text 2 10" xfId="12356"/>
    <cellStyle name="Explanatory Text 2 11" xfId="12436"/>
    <cellStyle name="Explanatory Text 2 12" xfId="12270"/>
    <cellStyle name="Explanatory Text 2 13" xfId="12280"/>
    <cellStyle name="Explanatory Text 2 14" xfId="14898"/>
    <cellStyle name="Explanatory Text 2 15" xfId="14974"/>
    <cellStyle name="Explanatory Text 2 16" xfId="11804"/>
    <cellStyle name="Explanatory Text 2 17" xfId="15890"/>
    <cellStyle name="Explanatory Text 2 18" xfId="16818"/>
    <cellStyle name="Explanatory Text 2 19" xfId="17728"/>
    <cellStyle name="Explanatory Text 2 2" xfId="9425"/>
    <cellStyle name="Explanatory Text 2 2 2" xfId="9586"/>
    <cellStyle name="Explanatory Text 2 20" xfId="20308"/>
    <cellStyle name="Explanatory Text 2 21" xfId="21134"/>
    <cellStyle name="Explanatory Text 2 22" xfId="18532"/>
    <cellStyle name="Explanatory Text 2 23" xfId="23045"/>
    <cellStyle name="Explanatory Text 2 24" xfId="22880"/>
    <cellStyle name="Explanatory Text 2 25" xfId="28677"/>
    <cellStyle name="Explanatory Text 2 26" xfId="30466"/>
    <cellStyle name="Explanatory Text 2 27" xfId="32241"/>
    <cellStyle name="Explanatory Text 2 28" xfId="33994"/>
    <cellStyle name="Explanatory Text 2 29" xfId="35705"/>
    <cellStyle name="Explanatory Text 2 3" xfId="10358"/>
    <cellStyle name="Explanatory Text 2 30" xfId="37345"/>
    <cellStyle name="Explanatory Text 2 31" xfId="38898"/>
    <cellStyle name="Explanatory Text 2 32" xfId="40325"/>
    <cellStyle name="Explanatory Text 2 33" xfId="8752"/>
    <cellStyle name="Explanatory Text 2 4" xfId="11135"/>
    <cellStyle name="Explanatory Text 2 5" xfId="11329"/>
    <cellStyle name="Explanatory Text 2 6" xfId="11521"/>
    <cellStyle name="Explanatory Text 2 7" xfId="11703"/>
    <cellStyle name="Explanatory Text 2 8" xfId="11887"/>
    <cellStyle name="Explanatory Text 2 9" xfId="12071"/>
    <cellStyle name="Explanatory Text 20" xfId="11025"/>
    <cellStyle name="Explanatory Text 20 10" xfId="20715"/>
    <cellStyle name="Explanatory Text 20 11" xfId="21553"/>
    <cellStyle name="Explanatory Text 20 12" xfId="22341"/>
    <cellStyle name="Explanatory Text 20 13" xfId="26389"/>
    <cellStyle name="Explanatory Text 20 14" xfId="29720"/>
    <cellStyle name="Explanatory Text 20 15" xfId="31495"/>
    <cellStyle name="Explanatory Text 20 16" xfId="33256"/>
    <cellStyle name="Explanatory Text 20 17" xfId="34974"/>
    <cellStyle name="Explanatory Text 20 18" xfId="36627"/>
    <cellStyle name="Explanatory Text 20 19" xfId="38199"/>
    <cellStyle name="Explanatory Text 20 2" xfId="13267"/>
    <cellStyle name="Explanatory Text 20 20" xfId="39650"/>
    <cellStyle name="Explanatory Text 20 21" xfId="40922"/>
    <cellStyle name="Explanatory Text 20 22" xfId="41998"/>
    <cellStyle name="Explanatory Text 20 3" xfId="14392"/>
    <cellStyle name="Explanatory Text 20 4" xfId="15320"/>
    <cellStyle name="Explanatory Text 20 5" xfId="16250"/>
    <cellStyle name="Explanatory Text 20 6" xfId="17180"/>
    <cellStyle name="Explanatory Text 20 7" xfId="18088"/>
    <cellStyle name="Explanatory Text 20 8" xfId="18978"/>
    <cellStyle name="Explanatory Text 20 9" xfId="19855"/>
    <cellStyle name="Explanatory Text 21" xfId="11101"/>
    <cellStyle name="Explanatory Text 21 10" xfId="20795"/>
    <cellStyle name="Explanatory Text 21 11" xfId="21633"/>
    <cellStyle name="Explanatory Text 21 12" xfId="22419"/>
    <cellStyle name="Explanatory Text 21 13" xfId="26987"/>
    <cellStyle name="Explanatory Text 21 14" xfId="30316"/>
    <cellStyle name="Explanatory Text 21 15" xfId="32091"/>
    <cellStyle name="Explanatory Text 21 16" xfId="33846"/>
    <cellStyle name="Explanatory Text 21 17" xfId="35559"/>
    <cellStyle name="Explanatory Text 21 18" xfId="37203"/>
    <cellStyle name="Explanatory Text 21 19" xfId="38759"/>
    <cellStyle name="Explanatory Text 21 2" xfId="13348"/>
    <cellStyle name="Explanatory Text 21 20" xfId="40192"/>
    <cellStyle name="Explanatory Text 21 21" xfId="41435"/>
    <cellStyle name="Explanatory Text 21 22" xfId="42484"/>
    <cellStyle name="Explanatory Text 21 3" xfId="14472"/>
    <cellStyle name="Explanatory Text 21 4" xfId="15401"/>
    <cellStyle name="Explanatory Text 21 5" xfId="16330"/>
    <cellStyle name="Explanatory Text 21 6" xfId="17260"/>
    <cellStyle name="Explanatory Text 21 7" xfId="18168"/>
    <cellStyle name="Explanatory Text 21 8" xfId="19058"/>
    <cellStyle name="Explanatory Text 21 9" xfId="19935"/>
    <cellStyle name="Explanatory Text 22" xfId="11479"/>
    <cellStyle name="Explanatory Text 22 10" xfId="20874"/>
    <cellStyle name="Explanatory Text 22 11" xfId="21713"/>
    <cellStyle name="Explanatory Text 22 12" xfId="22497"/>
    <cellStyle name="Explanatory Text 22 13" xfId="26996"/>
    <cellStyle name="Explanatory Text 22 14" xfId="30325"/>
    <cellStyle name="Explanatory Text 22 15" xfId="32100"/>
    <cellStyle name="Explanatory Text 22 16" xfId="33855"/>
    <cellStyle name="Explanatory Text 22 17" xfId="35568"/>
    <cellStyle name="Explanatory Text 22 18" xfId="37212"/>
    <cellStyle name="Explanatory Text 22 19" xfId="38768"/>
    <cellStyle name="Explanatory Text 22 2" xfId="13428"/>
    <cellStyle name="Explanatory Text 22 20" xfId="40201"/>
    <cellStyle name="Explanatory Text 22 21" xfId="41444"/>
    <cellStyle name="Explanatory Text 22 22" xfId="42493"/>
    <cellStyle name="Explanatory Text 22 3" xfId="14552"/>
    <cellStyle name="Explanatory Text 22 4" xfId="15479"/>
    <cellStyle name="Explanatory Text 22 5" xfId="16410"/>
    <cellStyle name="Explanatory Text 22 6" xfId="17340"/>
    <cellStyle name="Explanatory Text 22 7" xfId="18248"/>
    <cellStyle name="Explanatory Text 22 8" xfId="19138"/>
    <cellStyle name="Explanatory Text 22 9" xfId="20015"/>
    <cellStyle name="Explanatory Text 23" xfId="11518"/>
    <cellStyle name="Explanatory Text 23 10" xfId="20952"/>
    <cellStyle name="Explanatory Text 23 11" xfId="21793"/>
    <cellStyle name="Explanatory Text 23 12" xfId="22575"/>
    <cellStyle name="Explanatory Text 23 2" xfId="13508"/>
    <cellStyle name="Explanatory Text 23 3" xfId="14631"/>
    <cellStyle name="Explanatory Text 23 4" xfId="15559"/>
    <cellStyle name="Explanatory Text 23 5" xfId="16490"/>
    <cellStyle name="Explanatory Text 23 6" xfId="17420"/>
    <cellStyle name="Explanatory Text 23 7" xfId="18328"/>
    <cellStyle name="Explanatory Text 23 8" xfId="19218"/>
    <cellStyle name="Explanatory Text 23 9" xfId="20094"/>
    <cellStyle name="Explanatory Text 24" xfId="10451"/>
    <cellStyle name="Explanatory Text 24 10" xfId="21024"/>
    <cellStyle name="Explanatory Text 24 11" xfId="21863"/>
    <cellStyle name="Explanatory Text 24 12" xfId="22644"/>
    <cellStyle name="Explanatory Text 24 2" xfId="13588"/>
    <cellStyle name="Explanatory Text 24 3" xfId="14707"/>
    <cellStyle name="Explanatory Text 24 4" xfId="15636"/>
    <cellStyle name="Explanatory Text 24 5" xfId="16567"/>
    <cellStyle name="Explanatory Text 24 6" xfId="17495"/>
    <cellStyle name="Explanatory Text 24 7" xfId="18401"/>
    <cellStyle name="Explanatory Text 24 8" xfId="19289"/>
    <cellStyle name="Explanatory Text 24 9" xfId="20164"/>
    <cellStyle name="Explanatory Text 25" xfId="13668"/>
    <cellStyle name="Explanatory Text 26" xfId="13739"/>
    <cellStyle name="Explanatory Text 27" xfId="12809"/>
    <cellStyle name="Explanatory Text 28" xfId="13866"/>
    <cellStyle name="Explanatory Text 29" xfId="12845"/>
    <cellStyle name="Explanatory Text 3" xfId="8683"/>
    <cellStyle name="Explanatory Text 30" xfId="11661"/>
    <cellStyle name="Explanatory Text 31" xfId="13959"/>
    <cellStyle name="Explanatory Text 32" xfId="11939"/>
    <cellStyle name="Explanatory Text 33" xfId="14030"/>
    <cellStyle name="Explanatory Text 34" xfId="12753"/>
    <cellStyle name="Explanatory Text 35" xfId="17725"/>
    <cellStyle name="Explanatory Text 36" xfId="12778"/>
    <cellStyle name="Explanatory Text 37" xfId="22853"/>
    <cellStyle name="Explanatory Text 38" xfId="26689"/>
    <cellStyle name="Explanatory Text 39" xfId="28888"/>
    <cellStyle name="Explanatory Text 4" xfId="8802"/>
    <cellStyle name="Explanatory Text 40" xfId="30674"/>
    <cellStyle name="Explanatory Text 41" xfId="32447"/>
    <cellStyle name="Explanatory Text 42" xfId="34198"/>
    <cellStyle name="Explanatory Text 43" xfId="35899"/>
    <cellStyle name="Explanatory Text 44" xfId="37526"/>
    <cellStyle name="Explanatory Text 45" xfId="39065"/>
    <cellStyle name="Explanatory Text 46" xfId="40475"/>
    <cellStyle name="Explanatory Text 47" xfId="42633"/>
    <cellStyle name="Explanatory Text 48" xfId="42629"/>
    <cellStyle name="Explanatory Text 49" xfId="42630"/>
    <cellStyle name="Explanatory Text 5" xfId="8894"/>
    <cellStyle name="Explanatory Text 50" xfId="42627"/>
    <cellStyle name="Explanatory Text 51" xfId="42632"/>
    <cellStyle name="Explanatory Text 52" xfId="42625"/>
    <cellStyle name="Explanatory Text 53" xfId="42636"/>
    <cellStyle name="Explanatory Text 54" xfId="42617"/>
    <cellStyle name="Explanatory Text 55" xfId="42647"/>
    <cellStyle name="Explanatory Text 56" xfId="42603"/>
    <cellStyle name="Explanatory Text 57" xfId="42657"/>
    <cellStyle name="Explanatory Text 58" xfId="42580"/>
    <cellStyle name="Explanatory Text 59" xfId="42692"/>
    <cellStyle name="Explanatory Text 6" xfId="8972"/>
    <cellStyle name="Explanatory Text 60" xfId="43160"/>
    <cellStyle name="Explanatory Text 61" xfId="43159"/>
    <cellStyle name="Explanatory Text 62" xfId="8652"/>
    <cellStyle name="Explanatory Text 63" xfId="7729"/>
    <cellStyle name="Explanatory Text 64" xfId="3740"/>
    <cellStyle name="Explanatory Text 7" xfId="9049"/>
    <cellStyle name="Explanatory Text 8" xfId="9284"/>
    <cellStyle name="Explanatory Text 9" xfId="9692"/>
    <cellStyle name="Fixed" xfId="3741"/>
    <cellStyle name="Fixed 2" xfId="3742"/>
    <cellStyle name="Fixed 2 2" xfId="4017"/>
    <cellStyle name="Fixed 3" xfId="3743"/>
    <cellStyle name="Fixed 3 2" xfId="4018"/>
    <cellStyle name="Flag" xfId="3744"/>
    <cellStyle name="Flag 2" xfId="7730"/>
    <cellStyle name="Good" xfId="7" builtinId="26" customBuiltin="1"/>
    <cellStyle name="Good 10" xfId="9743"/>
    <cellStyle name="Good 11" xfId="9833"/>
    <cellStyle name="Good 11 10" xfId="36965"/>
    <cellStyle name="Good 11 11" xfId="38526"/>
    <cellStyle name="Good 11 2" xfId="24837"/>
    <cellStyle name="Good 11 3" xfId="28224"/>
    <cellStyle name="Good 11 4" xfId="27570"/>
    <cellStyle name="Good 11 5" xfId="22777"/>
    <cellStyle name="Good 11 6" xfId="30075"/>
    <cellStyle name="Good 11 7" xfId="31850"/>
    <cellStyle name="Good 11 8" xfId="33606"/>
    <cellStyle name="Good 11 9" xfId="35319"/>
    <cellStyle name="Good 12" xfId="9924"/>
    <cellStyle name="Good 12 10" xfId="41062"/>
    <cellStyle name="Good 12 11" xfId="42129"/>
    <cellStyle name="Good 12 2" xfId="26565"/>
    <cellStyle name="Good 12 3" xfId="29895"/>
    <cellStyle name="Good 12 4" xfId="31670"/>
    <cellStyle name="Good 12 5" xfId="33429"/>
    <cellStyle name="Good 12 6" xfId="35143"/>
    <cellStyle name="Good 12 7" xfId="36793"/>
    <cellStyle name="Good 12 8" xfId="38358"/>
    <cellStyle name="Good 12 9" xfId="39801"/>
    <cellStyle name="Good 13" xfId="10005"/>
    <cellStyle name="Good 13 10" xfId="41259"/>
    <cellStyle name="Good 13 11" xfId="42313"/>
    <cellStyle name="Good 13 2" xfId="26794"/>
    <cellStyle name="Good 13 3" xfId="30122"/>
    <cellStyle name="Good 13 4" xfId="31897"/>
    <cellStyle name="Good 13 5" xfId="33652"/>
    <cellStyle name="Good 13 6" xfId="35365"/>
    <cellStyle name="Good 13 7" xfId="37010"/>
    <cellStyle name="Good 13 8" xfId="38569"/>
    <cellStyle name="Good 13 9" xfId="40007"/>
    <cellStyle name="Good 14" xfId="10083"/>
    <cellStyle name="Good 14 10" xfId="40926"/>
    <cellStyle name="Good 14 11" xfId="42001"/>
    <cellStyle name="Good 14 2" xfId="26398"/>
    <cellStyle name="Good 14 3" xfId="29729"/>
    <cellStyle name="Good 14 4" xfId="31504"/>
    <cellStyle name="Good 14 5" xfId="33265"/>
    <cellStyle name="Good 14 6" xfId="34983"/>
    <cellStyle name="Good 14 7" xfId="36636"/>
    <cellStyle name="Good 14 8" xfId="38206"/>
    <cellStyle name="Good 14 9" xfId="39656"/>
    <cellStyle name="Good 15" xfId="9339"/>
    <cellStyle name="Good 15 10" xfId="20337"/>
    <cellStyle name="Good 15 11" xfId="21182"/>
    <cellStyle name="Good 15 12" xfId="21992"/>
    <cellStyle name="Good 15 13" xfId="26905"/>
    <cellStyle name="Good 15 14" xfId="30233"/>
    <cellStyle name="Good 15 15" xfId="32008"/>
    <cellStyle name="Good 15 16" xfId="33763"/>
    <cellStyle name="Good 15 17" xfId="35476"/>
    <cellStyle name="Good 15 18" xfId="37120"/>
    <cellStyle name="Good 15 19" xfId="38676"/>
    <cellStyle name="Good 15 2" xfId="12879"/>
    <cellStyle name="Good 15 20" xfId="40110"/>
    <cellStyle name="Good 15 21" xfId="41357"/>
    <cellStyle name="Good 15 22" xfId="42408"/>
    <cellStyle name="Good 15 3" xfId="14005"/>
    <cellStyle name="Good 15 4" xfId="14936"/>
    <cellStyle name="Good 15 5" xfId="15865"/>
    <cellStyle name="Good 15 6" xfId="16792"/>
    <cellStyle name="Good 15 7" xfId="17703"/>
    <cellStyle name="Good 15 8" xfId="18598"/>
    <cellStyle name="Good 15 9" xfId="19477"/>
    <cellStyle name="Good 16" xfId="10941"/>
    <cellStyle name="Good 16 10" xfId="20400"/>
    <cellStyle name="Good 16 11" xfId="21236"/>
    <cellStyle name="Good 16 12" xfId="22036"/>
    <cellStyle name="Good 16 13" xfId="26285"/>
    <cellStyle name="Good 16 14" xfId="29616"/>
    <cellStyle name="Good 16 15" xfId="31391"/>
    <cellStyle name="Good 16 16" xfId="33154"/>
    <cellStyle name="Good 16 17" xfId="34872"/>
    <cellStyle name="Good 16 18" xfId="36525"/>
    <cellStyle name="Good 16 19" xfId="38099"/>
    <cellStyle name="Good 16 2" xfId="12950"/>
    <cellStyle name="Good 16 20" xfId="39552"/>
    <cellStyle name="Good 16 21" xfId="40826"/>
    <cellStyle name="Good 16 22" xfId="41905"/>
    <cellStyle name="Good 16 3" xfId="14076"/>
    <cellStyle name="Good 16 4" xfId="15006"/>
    <cellStyle name="Good 16 5" xfId="15933"/>
    <cellStyle name="Good 16 6" xfId="16863"/>
    <cellStyle name="Good 16 7" xfId="17771"/>
    <cellStyle name="Good 16 8" xfId="18661"/>
    <cellStyle name="Good 16 9" xfId="19539"/>
    <cellStyle name="Good 17" xfId="10413"/>
    <cellStyle name="Good 17 10" xfId="20478"/>
    <cellStyle name="Good 17 11" xfId="21314"/>
    <cellStyle name="Good 17 12" xfId="22111"/>
    <cellStyle name="Good 17 13" xfId="26676"/>
    <cellStyle name="Good 17 14" xfId="30005"/>
    <cellStyle name="Good 17 15" xfId="31780"/>
    <cellStyle name="Good 17 16" xfId="33538"/>
    <cellStyle name="Good 17 17" xfId="35252"/>
    <cellStyle name="Good 17 18" xfId="36899"/>
    <cellStyle name="Good 17 19" xfId="38462"/>
    <cellStyle name="Good 17 2" xfId="13028"/>
    <cellStyle name="Good 17 20" xfId="39903"/>
    <cellStyle name="Good 17 21" xfId="41157"/>
    <cellStyle name="Good 17 22" xfId="42217"/>
    <cellStyle name="Good 17 3" xfId="14154"/>
    <cellStyle name="Good 17 4" xfId="15084"/>
    <cellStyle name="Good 17 5" xfId="16011"/>
    <cellStyle name="Good 17 6" xfId="16941"/>
    <cellStyle name="Good 17 7" xfId="17849"/>
    <cellStyle name="Good 17 8" xfId="18739"/>
    <cellStyle name="Good 17 9" xfId="19617"/>
    <cellStyle name="Good 18" xfId="10837"/>
    <cellStyle name="Good 18 10" xfId="20559"/>
    <cellStyle name="Good 18 11" xfId="21395"/>
    <cellStyle name="Good 18 12" xfId="22189"/>
    <cellStyle name="Good 18 13" xfId="26557"/>
    <cellStyle name="Good 18 14" xfId="29888"/>
    <cellStyle name="Good 18 15" xfId="31663"/>
    <cellStyle name="Good 18 16" xfId="33422"/>
    <cellStyle name="Good 18 17" xfId="35136"/>
    <cellStyle name="Good 18 18" xfId="36786"/>
    <cellStyle name="Good 18 19" xfId="38352"/>
    <cellStyle name="Good 18 2" xfId="13109"/>
    <cellStyle name="Good 18 20" xfId="39796"/>
    <cellStyle name="Good 18 21" xfId="41058"/>
    <cellStyle name="Good 18 22" xfId="42127"/>
    <cellStyle name="Good 18 3" xfId="14235"/>
    <cellStyle name="Good 18 4" xfId="15164"/>
    <cellStyle name="Good 18 5" xfId="16092"/>
    <cellStyle name="Good 18 6" xfId="17022"/>
    <cellStyle name="Good 18 7" xfId="17930"/>
    <cellStyle name="Good 18 8" xfId="18820"/>
    <cellStyle name="Good 18 9" xfId="19698"/>
    <cellStyle name="Good 19" xfId="10545"/>
    <cellStyle name="Good 19 10" xfId="20639"/>
    <cellStyle name="Good 19 11" xfId="21476"/>
    <cellStyle name="Good 19 12" xfId="22267"/>
    <cellStyle name="Good 19 13" xfId="26941"/>
    <cellStyle name="Good 19 14" xfId="30269"/>
    <cellStyle name="Good 19 15" xfId="32044"/>
    <cellStyle name="Good 19 16" xfId="33799"/>
    <cellStyle name="Good 19 17" xfId="35512"/>
    <cellStyle name="Good 19 18" xfId="37156"/>
    <cellStyle name="Good 19 19" xfId="38712"/>
    <cellStyle name="Good 19 2" xfId="13190"/>
    <cellStyle name="Good 19 20" xfId="40146"/>
    <cellStyle name="Good 19 21" xfId="41391"/>
    <cellStyle name="Good 19 22" xfId="42441"/>
    <cellStyle name="Good 19 3" xfId="14316"/>
    <cellStyle name="Good 19 4" xfId="15244"/>
    <cellStyle name="Good 19 5" xfId="16173"/>
    <cellStyle name="Good 19 6" xfId="17103"/>
    <cellStyle name="Good 19 7" xfId="18011"/>
    <cellStyle name="Good 19 8" xfId="18901"/>
    <cellStyle name="Good 19 9" xfId="19779"/>
    <cellStyle name="Good 2" xfId="4019"/>
    <cellStyle name="Good 2 10" xfId="12307"/>
    <cellStyle name="Good 2 11" xfId="11339"/>
    <cellStyle name="Good 2 12" xfId="11685"/>
    <cellStyle name="Good 2 13" xfId="10428"/>
    <cellStyle name="Good 2 14" xfId="14861"/>
    <cellStyle name="Good 2 15" xfId="12376"/>
    <cellStyle name="Good 2 16" xfId="16756"/>
    <cellStyle name="Good 2 17" xfId="17667"/>
    <cellStyle name="Good 2 18" xfId="18568"/>
    <cellStyle name="Good 2 19" xfId="19445"/>
    <cellStyle name="Good 2 2" xfId="9426"/>
    <cellStyle name="Good 2 2 2" xfId="9587"/>
    <cellStyle name="Good 2 20" xfId="20284"/>
    <cellStyle name="Good 2 21" xfId="20368"/>
    <cellStyle name="Good 2 22" xfId="21971"/>
    <cellStyle name="Good 2 23" xfId="23046"/>
    <cellStyle name="Good 2 24" xfId="23625"/>
    <cellStyle name="Good 2 25" xfId="28676"/>
    <cellStyle name="Good 2 26" xfId="30465"/>
    <cellStyle name="Good 2 27" xfId="32240"/>
    <cellStyle name="Good 2 28" xfId="33993"/>
    <cellStyle name="Good 2 29" xfId="35704"/>
    <cellStyle name="Good 2 3" xfId="10359"/>
    <cellStyle name="Good 2 30" xfId="37344"/>
    <cellStyle name="Good 2 31" xfId="38897"/>
    <cellStyle name="Good 2 32" xfId="40324"/>
    <cellStyle name="Good 2 33" xfId="8753"/>
    <cellStyle name="Good 2 4" xfId="11062"/>
    <cellStyle name="Good 2 5" xfId="10434"/>
    <cellStyle name="Good 2 6" xfId="10980"/>
    <cellStyle name="Good 2 7" xfId="10581"/>
    <cellStyle name="Good 2 8" xfId="10882"/>
    <cellStyle name="Good 2 9" xfId="10638"/>
    <cellStyle name="Good 20" xfId="11116"/>
    <cellStyle name="Good 20 10" xfId="20716"/>
    <cellStyle name="Good 20 11" xfId="21554"/>
    <cellStyle name="Good 20 12" xfId="22342"/>
    <cellStyle name="Good 20 13" xfId="26390"/>
    <cellStyle name="Good 20 14" xfId="29721"/>
    <cellStyle name="Good 20 15" xfId="31496"/>
    <cellStyle name="Good 20 16" xfId="33257"/>
    <cellStyle name="Good 20 17" xfId="34975"/>
    <cellStyle name="Good 20 18" xfId="36628"/>
    <cellStyle name="Good 20 19" xfId="38200"/>
    <cellStyle name="Good 20 2" xfId="13268"/>
    <cellStyle name="Good 20 20" xfId="39651"/>
    <cellStyle name="Good 20 21" xfId="40923"/>
    <cellStyle name="Good 20 22" xfId="41999"/>
    <cellStyle name="Good 20 3" xfId="14393"/>
    <cellStyle name="Good 20 4" xfId="15321"/>
    <cellStyle name="Good 20 5" xfId="16251"/>
    <cellStyle name="Good 20 6" xfId="17181"/>
    <cellStyle name="Good 20 7" xfId="18089"/>
    <cellStyle name="Good 20 8" xfId="18979"/>
    <cellStyle name="Good 20 9" xfId="19856"/>
    <cellStyle name="Good 21" xfId="11310"/>
    <cellStyle name="Good 21 10" xfId="20796"/>
    <cellStyle name="Good 21 11" xfId="21634"/>
    <cellStyle name="Good 21 12" xfId="22420"/>
    <cellStyle name="Good 21 13" xfId="26986"/>
    <cellStyle name="Good 21 14" xfId="30315"/>
    <cellStyle name="Good 21 15" xfId="32090"/>
    <cellStyle name="Good 21 16" xfId="33845"/>
    <cellStyle name="Good 21 17" xfId="35558"/>
    <cellStyle name="Good 21 18" xfId="37202"/>
    <cellStyle name="Good 21 19" xfId="38758"/>
    <cellStyle name="Good 21 2" xfId="13349"/>
    <cellStyle name="Good 21 20" xfId="40191"/>
    <cellStyle name="Good 21 21" xfId="41434"/>
    <cellStyle name="Good 21 22" xfId="42483"/>
    <cellStyle name="Good 21 3" xfId="14473"/>
    <cellStyle name="Good 21 4" xfId="15402"/>
    <cellStyle name="Good 21 5" xfId="16331"/>
    <cellStyle name="Good 21 6" xfId="17261"/>
    <cellStyle name="Good 21 7" xfId="18169"/>
    <cellStyle name="Good 21 8" xfId="19059"/>
    <cellStyle name="Good 21 9" xfId="19936"/>
    <cellStyle name="Good 22" xfId="12084"/>
    <cellStyle name="Good 22 10" xfId="20875"/>
    <cellStyle name="Good 22 11" xfId="21714"/>
    <cellStyle name="Good 22 12" xfId="22498"/>
    <cellStyle name="Good 22 13" xfId="26995"/>
    <cellStyle name="Good 22 14" xfId="30324"/>
    <cellStyle name="Good 22 15" xfId="32099"/>
    <cellStyle name="Good 22 16" xfId="33854"/>
    <cellStyle name="Good 22 17" xfId="35567"/>
    <cellStyle name="Good 22 18" xfId="37211"/>
    <cellStyle name="Good 22 19" xfId="38767"/>
    <cellStyle name="Good 22 2" xfId="13429"/>
    <cellStyle name="Good 22 20" xfId="40200"/>
    <cellStyle name="Good 22 21" xfId="41443"/>
    <cellStyle name="Good 22 22" xfId="42492"/>
    <cellStyle name="Good 22 3" xfId="14553"/>
    <cellStyle name="Good 22 4" xfId="15480"/>
    <cellStyle name="Good 22 5" xfId="16411"/>
    <cellStyle name="Good 22 6" xfId="17341"/>
    <cellStyle name="Good 22 7" xfId="18249"/>
    <cellStyle name="Good 22 8" xfId="19139"/>
    <cellStyle name="Good 22 9" xfId="20016"/>
    <cellStyle name="Good 23" xfId="10416"/>
    <cellStyle name="Good 23 10" xfId="20953"/>
    <cellStyle name="Good 23 11" xfId="21794"/>
    <cellStyle name="Good 23 12" xfId="22576"/>
    <cellStyle name="Good 23 2" xfId="13509"/>
    <cellStyle name="Good 23 3" xfId="14632"/>
    <cellStyle name="Good 23 4" xfId="15560"/>
    <cellStyle name="Good 23 5" xfId="16491"/>
    <cellStyle name="Good 23 6" xfId="17421"/>
    <cellStyle name="Good 23 7" xfId="18329"/>
    <cellStyle name="Good 23 8" xfId="19219"/>
    <cellStyle name="Good 23 9" xfId="20095"/>
    <cellStyle name="Good 24" xfId="10768"/>
    <cellStyle name="Good 24 10" xfId="21025"/>
    <cellStyle name="Good 24 11" xfId="21864"/>
    <cellStyle name="Good 24 12" xfId="22645"/>
    <cellStyle name="Good 24 2" xfId="13589"/>
    <cellStyle name="Good 24 3" xfId="14708"/>
    <cellStyle name="Good 24 4" xfId="15637"/>
    <cellStyle name="Good 24 5" xfId="16568"/>
    <cellStyle name="Good 24 6" xfId="17496"/>
    <cellStyle name="Good 24 7" xfId="18402"/>
    <cellStyle name="Good 24 8" xfId="19290"/>
    <cellStyle name="Good 24 9" xfId="20165"/>
    <cellStyle name="Good 25" xfId="13669"/>
    <cellStyle name="Good 26" xfId="13740"/>
    <cellStyle name="Good 27" xfId="12741"/>
    <cellStyle name="Good 28" xfId="12740"/>
    <cellStyle name="Good 29" xfId="12700"/>
    <cellStyle name="Good 3" xfId="8682"/>
    <cellStyle name="Good 30" xfId="12542"/>
    <cellStyle name="Good 31" xfId="15778"/>
    <cellStyle name="Good 32" xfId="10875"/>
    <cellStyle name="Good 33" xfId="15705"/>
    <cellStyle name="Good 34" xfId="12746"/>
    <cellStyle name="Good 35" xfId="15824"/>
    <cellStyle name="Good 36" xfId="18565"/>
    <cellStyle name="Good 37" xfId="22854"/>
    <cellStyle name="Good 38" xfId="26604"/>
    <cellStyle name="Good 39" xfId="28887"/>
    <cellStyle name="Good 4" xfId="8803"/>
    <cellStyle name="Good 40" xfId="30673"/>
    <cellStyle name="Good 41" xfId="32446"/>
    <cellStyle name="Good 42" xfId="34197"/>
    <cellStyle name="Good 43" xfId="35898"/>
    <cellStyle name="Good 44" xfId="37525"/>
    <cellStyle name="Good 45" xfId="39064"/>
    <cellStyle name="Good 46" xfId="40474"/>
    <cellStyle name="Good 47" xfId="42634"/>
    <cellStyle name="Good 48" xfId="42628"/>
    <cellStyle name="Good 49" xfId="42631"/>
    <cellStyle name="Good 5" xfId="8895"/>
    <cellStyle name="Good 50" xfId="42626"/>
    <cellStyle name="Good 51" xfId="42635"/>
    <cellStyle name="Good 52" xfId="42618"/>
    <cellStyle name="Good 53" xfId="42646"/>
    <cellStyle name="Good 54" xfId="42610"/>
    <cellStyle name="Good 55" xfId="42656"/>
    <cellStyle name="Good 56" xfId="42581"/>
    <cellStyle name="Good 57" xfId="42683"/>
    <cellStyle name="Good 58" xfId="42728"/>
    <cellStyle name="Good 59" xfId="42770"/>
    <cellStyle name="Good 6" xfId="8973"/>
    <cellStyle name="Good 60" xfId="43161"/>
    <cellStyle name="Good 61" xfId="43158"/>
    <cellStyle name="Good 62" xfId="8653"/>
    <cellStyle name="Good 63" xfId="7731"/>
    <cellStyle name="Good 64" xfId="3745"/>
    <cellStyle name="Good 7" xfId="9050"/>
    <cellStyle name="Good 8" xfId="9285"/>
    <cellStyle name="Good 9" xfId="9693"/>
    <cellStyle name="Grey" xfId="3746"/>
    <cellStyle name="Grey 2" xfId="3747"/>
    <cellStyle name="Grey 3" xfId="3748"/>
    <cellStyle name="Grey_Cover" xfId="3749"/>
    <cellStyle name="grid" xfId="3750"/>
    <cellStyle name="grid 2" xfId="3751"/>
    <cellStyle name="grid 2 2" xfId="4020"/>
    <cellStyle name="grid 3" xfId="3752"/>
    <cellStyle name="grid 3 2" xfId="4021"/>
    <cellStyle name="header" xfId="3753"/>
    <cellStyle name="header 2" xfId="7732"/>
    <cellStyle name="Header1" xfId="3754"/>
    <cellStyle name="Header1 2" xfId="7841"/>
    <cellStyle name="Header1 3" xfId="7733"/>
    <cellStyle name="Header2" xfId="3755"/>
    <cellStyle name="Header2 2" xfId="7842"/>
    <cellStyle name="Header2 3" xfId="7734"/>
    <cellStyle name="Heading 1" xfId="3" builtinId="16" customBuiltin="1"/>
    <cellStyle name="Heading 1 10" xfId="9747"/>
    <cellStyle name="Heading 1 11" xfId="9844"/>
    <cellStyle name="Heading 1 12" xfId="9845"/>
    <cellStyle name="Heading 1 13" xfId="10009"/>
    <cellStyle name="Heading 1 14" xfId="10084"/>
    <cellStyle name="Heading 1 15" xfId="9335"/>
    <cellStyle name="Heading 1 15 10" xfId="20343"/>
    <cellStyle name="Heading 1 15 11" xfId="21187"/>
    <cellStyle name="Heading 1 15 12" xfId="21996"/>
    <cellStyle name="Heading 1 15 2" xfId="12884"/>
    <cellStyle name="Heading 1 15 3" xfId="14014"/>
    <cellStyle name="Heading 1 15 4" xfId="14944"/>
    <cellStyle name="Heading 1 15 5" xfId="15872"/>
    <cellStyle name="Heading 1 15 6" xfId="16799"/>
    <cellStyle name="Heading 1 15 7" xfId="17711"/>
    <cellStyle name="Heading 1 15 8" xfId="18604"/>
    <cellStyle name="Heading 1 15 9" xfId="19484"/>
    <cellStyle name="Heading 1 16" xfId="10647"/>
    <cellStyle name="Heading 1 16 10" xfId="20410"/>
    <cellStyle name="Heading 1 16 11" xfId="21246"/>
    <cellStyle name="Heading 1 16 12" xfId="22046"/>
    <cellStyle name="Heading 1 16 2" xfId="12960"/>
    <cellStyle name="Heading 1 16 3" xfId="14086"/>
    <cellStyle name="Heading 1 16 4" xfId="15016"/>
    <cellStyle name="Heading 1 16 5" xfId="15943"/>
    <cellStyle name="Heading 1 16 6" xfId="16873"/>
    <cellStyle name="Heading 1 16 7" xfId="17781"/>
    <cellStyle name="Heading 1 16 8" xfId="18671"/>
    <cellStyle name="Heading 1 16 9" xfId="19549"/>
    <cellStyle name="Heading 1 17" xfId="11030"/>
    <cellStyle name="Heading 1 17 10" xfId="20488"/>
    <cellStyle name="Heading 1 17 11" xfId="21324"/>
    <cellStyle name="Heading 1 17 12" xfId="22121"/>
    <cellStyle name="Heading 1 17 2" xfId="13038"/>
    <cellStyle name="Heading 1 17 3" xfId="14164"/>
    <cellStyle name="Heading 1 17 4" xfId="15094"/>
    <cellStyle name="Heading 1 17 5" xfId="16021"/>
    <cellStyle name="Heading 1 17 6" xfId="16951"/>
    <cellStyle name="Heading 1 17 7" xfId="17859"/>
    <cellStyle name="Heading 1 17 8" xfId="18749"/>
    <cellStyle name="Heading 1 17 9" xfId="19627"/>
    <cellStyle name="Heading 1 18" xfId="10590"/>
    <cellStyle name="Heading 1 18 10" xfId="20569"/>
    <cellStyle name="Heading 1 18 11" xfId="21405"/>
    <cellStyle name="Heading 1 18 12" xfId="22199"/>
    <cellStyle name="Heading 1 18 2" xfId="13119"/>
    <cellStyle name="Heading 1 18 3" xfId="14245"/>
    <cellStyle name="Heading 1 18 4" xfId="15174"/>
    <cellStyle name="Heading 1 18 5" xfId="16102"/>
    <cellStyle name="Heading 1 18 6" xfId="17032"/>
    <cellStyle name="Heading 1 18 7" xfId="17940"/>
    <cellStyle name="Heading 1 18 8" xfId="18830"/>
    <cellStyle name="Heading 1 18 9" xfId="19708"/>
    <cellStyle name="Heading 1 19" xfId="11045"/>
    <cellStyle name="Heading 1 19 10" xfId="20649"/>
    <cellStyle name="Heading 1 19 11" xfId="21486"/>
    <cellStyle name="Heading 1 19 12" xfId="22277"/>
    <cellStyle name="Heading 1 19 2" xfId="13200"/>
    <cellStyle name="Heading 1 19 3" xfId="14326"/>
    <cellStyle name="Heading 1 19 4" xfId="15254"/>
    <cellStyle name="Heading 1 19 5" xfId="16183"/>
    <cellStyle name="Heading 1 19 6" xfId="17113"/>
    <cellStyle name="Heading 1 19 7" xfId="18021"/>
    <cellStyle name="Heading 1 19 8" xfId="18911"/>
    <cellStyle name="Heading 1 19 9" xfId="19789"/>
    <cellStyle name="Heading 1 2" xfId="3757"/>
    <cellStyle name="Heading 1 2 10" xfId="11900"/>
    <cellStyle name="Heading 1 2 11" xfId="12230"/>
    <cellStyle name="Heading 1 2 12" xfId="12431"/>
    <cellStyle name="Heading 1 2 13" xfId="11539"/>
    <cellStyle name="Heading 1 2 14" xfId="13849"/>
    <cellStyle name="Heading 1 2 15" xfId="14727"/>
    <cellStyle name="Heading 1 2 16" xfId="12861"/>
    <cellStyle name="Heading 1 2 17" xfId="13872"/>
    <cellStyle name="Heading 1 2 18" xfId="12165"/>
    <cellStyle name="Heading 1 2 19" xfId="15858"/>
    <cellStyle name="Heading 1 2 2" xfId="3758"/>
    <cellStyle name="Heading 1 2 2 2" xfId="4024"/>
    <cellStyle name="Heading 1 2 2 2 2" xfId="9588"/>
    <cellStyle name="Heading 1 2 2 3" xfId="9430"/>
    <cellStyle name="Heading 1 2 20" xfId="17553"/>
    <cellStyle name="Heading 1 2 21" xfId="10491"/>
    <cellStyle name="Heading 1 2 22" xfId="15708"/>
    <cellStyle name="Heading 1 2 23" xfId="23050"/>
    <cellStyle name="Heading 1 2 24" xfId="23314"/>
    <cellStyle name="Heading 1 2 25" xfId="28672"/>
    <cellStyle name="Heading 1 2 26" xfId="30461"/>
    <cellStyle name="Heading 1 2 27" xfId="32236"/>
    <cellStyle name="Heading 1 2 28" xfId="33990"/>
    <cellStyle name="Heading 1 2 29" xfId="35701"/>
    <cellStyle name="Heading 1 2 3" xfId="4023"/>
    <cellStyle name="Heading 1 2 3 2" xfId="10363"/>
    <cellStyle name="Heading 1 2 30" xfId="37341"/>
    <cellStyle name="Heading 1 2 31" xfId="38894"/>
    <cellStyle name="Heading 1 2 32" xfId="40323"/>
    <cellStyle name="Heading 1 2 33" xfId="8757"/>
    <cellStyle name="Heading 1 2 4" xfId="10840"/>
    <cellStyle name="Heading 1 2 5" xfId="11118"/>
    <cellStyle name="Heading 1 2 6" xfId="11312"/>
    <cellStyle name="Heading 1 2 7" xfId="11504"/>
    <cellStyle name="Heading 1 2 8" xfId="11687"/>
    <cellStyle name="Heading 1 2 9" xfId="11868"/>
    <cellStyle name="Heading 1 20" xfId="10963"/>
    <cellStyle name="Heading 1 20 10" xfId="20726"/>
    <cellStyle name="Heading 1 20 11" xfId="21564"/>
    <cellStyle name="Heading 1 20 12" xfId="22352"/>
    <cellStyle name="Heading 1 20 2" xfId="13278"/>
    <cellStyle name="Heading 1 20 3" xfId="14403"/>
    <cellStyle name="Heading 1 20 4" xfId="15331"/>
    <cellStyle name="Heading 1 20 5" xfId="16261"/>
    <cellStyle name="Heading 1 20 6" xfId="17191"/>
    <cellStyle name="Heading 1 20 7" xfId="18099"/>
    <cellStyle name="Heading 1 20 8" xfId="18989"/>
    <cellStyle name="Heading 1 20 9" xfId="19866"/>
    <cellStyle name="Heading 1 21" xfId="11220"/>
    <cellStyle name="Heading 1 21 10" xfId="20806"/>
    <cellStyle name="Heading 1 21 11" xfId="21644"/>
    <cellStyle name="Heading 1 21 12" xfId="22430"/>
    <cellStyle name="Heading 1 21 2" xfId="13359"/>
    <cellStyle name="Heading 1 21 3" xfId="14483"/>
    <cellStyle name="Heading 1 21 4" xfId="15412"/>
    <cellStyle name="Heading 1 21 5" xfId="16341"/>
    <cellStyle name="Heading 1 21 6" xfId="17271"/>
    <cellStyle name="Heading 1 21 7" xfId="18179"/>
    <cellStyle name="Heading 1 21 8" xfId="19069"/>
    <cellStyle name="Heading 1 21 9" xfId="19946"/>
    <cellStyle name="Heading 1 22" xfId="11174"/>
    <cellStyle name="Heading 1 22 10" xfId="20885"/>
    <cellStyle name="Heading 1 22 11" xfId="21724"/>
    <cellStyle name="Heading 1 22 12" xfId="22508"/>
    <cellStyle name="Heading 1 22 2" xfId="13439"/>
    <cellStyle name="Heading 1 22 3" xfId="14563"/>
    <cellStyle name="Heading 1 22 4" xfId="15490"/>
    <cellStyle name="Heading 1 22 5" xfId="16421"/>
    <cellStyle name="Heading 1 22 6" xfId="17351"/>
    <cellStyle name="Heading 1 22 7" xfId="18259"/>
    <cellStyle name="Heading 1 22 8" xfId="19149"/>
    <cellStyle name="Heading 1 22 9" xfId="20026"/>
    <cellStyle name="Heading 1 23" xfId="12077"/>
    <cellStyle name="Heading 1 23 10" xfId="20963"/>
    <cellStyle name="Heading 1 23 11" xfId="21804"/>
    <cellStyle name="Heading 1 23 12" xfId="22586"/>
    <cellStyle name="Heading 1 23 2" xfId="13519"/>
    <cellStyle name="Heading 1 23 3" xfId="14642"/>
    <cellStyle name="Heading 1 23 4" xfId="15570"/>
    <cellStyle name="Heading 1 23 5" xfId="16501"/>
    <cellStyle name="Heading 1 23 6" xfId="17431"/>
    <cellStyle name="Heading 1 23 7" xfId="18339"/>
    <cellStyle name="Heading 1 23 8" xfId="19229"/>
    <cellStyle name="Heading 1 23 9" xfId="20105"/>
    <cellStyle name="Heading 1 24" xfId="10302"/>
    <cellStyle name="Heading 1 24 10" xfId="21034"/>
    <cellStyle name="Heading 1 24 11" xfId="21871"/>
    <cellStyle name="Heading 1 24 12" xfId="22652"/>
    <cellStyle name="Heading 1 24 2" xfId="13599"/>
    <cellStyle name="Heading 1 24 3" xfId="14718"/>
    <cellStyle name="Heading 1 24 4" xfId="15647"/>
    <cellStyle name="Heading 1 24 5" xfId="16577"/>
    <cellStyle name="Heading 1 24 6" xfId="17505"/>
    <cellStyle name="Heading 1 24 7" xfId="18410"/>
    <cellStyle name="Heading 1 24 8" xfId="19298"/>
    <cellStyle name="Heading 1 24 9" xfId="20174"/>
    <cellStyle name="Heading 1 25" xfId="13679"/>
    <cellStyle name="Heading 1 26" xfId="13747"/>
    <cellStyle name="Heading 1 27" xfId="12252"/>
    <cellStyle name="Heading 1 28" xfId="12748"/>
    <cellStyle name="Heading 1 29" xfId="14026"/>
    <cellStyle name="Heading 1 3" xfId="3759"/>
    <cellStyle name="Heading 1 3 2" xfId="4025"/>
    <cellStyle name="Heading 1 3 2 2" xfId="8678"/>
    <cellStyle name="Heading 1 30" xfId="12851"/>
    <cellStyle name="Heading 1 31" xfId="16602"/>
    <cellStyle name="Heading 1 32" xfId="17533"/>
    <cellStyle name="Heading 1 33" xfId="18436"/>
    <cellStyle name="Heading 1 34" xfId="14893"/>
    <cellStyle name="Heading 1 35" xfId="15845"/>
    <cellStyle name="Heading 1 36" xfId="19466"/>
    <cellStyle name="Heading 1 37" xfId="22858"/>
    <cellStyle name="Heading 1 38" xfId="22911"/>
    <cellStyle name="Heading 1 39" xfId="28882"/>
    <cellStyle name="Heading 1 4" xfId="4022"/>
    <cellStyle name="Heading 1 4 2" xfId="8820"/>
    <cellStyle name="Heading 1 40" xfId="30668"/>
    <cellStyle name="Heading 1 41" xfId="32441"/>
    <cellStyle name="Heading 1 42" xfId="34192"/>
    <cellStyle name="Heading 1 43" xfId="35893"/>
    <cellStyle name="Heading 1 44" xfId="37520"/>
    <cellStyle name="Heading 1 45" xfId="39059"/>
    <cellStyle name="Heading 1 46" xfId="40472"/>
    <cellStyle name="Heading 1 47" xfId="42638"/>
    <cellStyle name="Heading 1 48" xfId="42624"/>
    <cellStyle name="Heading 1 49" xfId="42637"/>
    <cellStyle name="Heading 1 5" xfId="8911"/>
    <cellStyle name="Heading 1 50" xfId="42616"/>
    <cellStyle name="Heading 1 51" xfId="42648"/>
    <cellStyle name="Heading 1 52" xfId="42602"/>
    <cellStyle name="Heading 1 53" xfId="42659"/>
    <cellStyle name="Heading 1 54" xfId="42579"/>
    <cellStyle name="Heading 1 55" xfId="42694"/>
    <cellStyle name="Heading 1 56" xfId="42738"/>
    <cellStyle name="Heading 1 57" xfId="42780"/>
    <cellStyle name="Heading 1 58" xfId="42821"/>
    <cellStyle name="Heading 1 59" xfId="42862"/>
    <cellStyle name="Heading 1 6" xfId="8989"/>
    <cellStyle name="Heading 1 60" xfId="43162"/>
    <cellStyle name="Heading 1 61" xfId="43157"/>
    <cellStyle name="Heading 1 62" xfId="8654"/>
    <cellStyle name="Heading 1 63" xfId="3756"/>
    <cellStyle name="Heading 1 7" xfId="9063"/>
    <cellStyle name="Heading 1 8" xfId="9286"/>
    <cellStyle name="Heading 1 9" xfId="9698"/>
    <cellStyle name="Heading 2" xfId="4" builtinId="17" customBuiltin="1"/>
    <cellStyle name="Heading 2 10" xfId="9764"/>
    <cellStyle name="Heading 2 11" xfId="9763"/>
    <cellStyle name="Heading 2 12" xfId="9928"/>
    <cellStyle name="Heading 2 13" xfId="9929"/>
    <cellStyle name="Heading 2 14" xfId="10010"/>
    <cellStyle name="Heading 2 15" xfId="9334"/>
    <cellStyle name="Heading 2 15 10" xfId="20344"/>
    <cellStyle name="Heading 2 15 11" xfId="21188"/>
    <cellStyle name="Heading 2 15 12" xfId="21997"/>
    <cellStyle name="Heading 2 15 2" xfId="12885"/>
    <cellStyle name="Heading 2 15 3" xfId="14015"/>
    <cellStyle name="Heading 2 15 4" xfId="14945"/>
    <cellStyle name="Heading 2 15 5" xfId="15873"/>
    <cellStyle name="Heading 2 15 6" xfId="16800"/>
    <cellStyle name="Heading 2 15 7" xfId="17712"/>
    <cellStyle name="Heading 2 15 8" xfId="18605"/>
    <cellStyle name="Heading 2 15 9" xfId="19485"/>
    <cellStyle name="Heading 2 16" xfId="10568"/>
    <cellStyle name="Heading 2 16 10" xfId="20411"/>
    <cellStyle name="Heading 2 16 11" xfId="21247"/>
    <cellStyle name="Heading 2 16 12" xfId="22047"/>
    <cellStyle name="Heading 2 16 2" xfId="12961"/>
    <cellStyle name="Heading 2 16 3" xfId="14087"/>
    <cellStyle name="Heading 2 16 4" xfId="15017"/>
    <cellStyle name="Heading 2 16 5" xfId="15944"/>
    <cellStyle name="Heading 2 16 6" xfId="16874"/>
    <cellStyle name="Heading 2 16 7" xfId="17782"/>
    <cellStyle name="Heading 2 16 8" xfId="18672"/>
    <cellStyle name="Heading 2 16 9" xfId="19550"/>
    <cellStyle name="Heading 2 17" xfId="9336"/>
    <cellStyle name="Heading 2 17 10" xfId="20489"/>
    <cellStyle name="Heading 2 17 11" xfId="21325"/>
    <cellStyle name="Heading 2 17 12" xfId="22122"/>
    <cellStyle name="Heading 2 17 2" xfId="13039"/>
    <cellStyle name="Heading 2 17 3" xfId="14165"/>
    <cellStyle name="Heading 2 17 4" xfId="15095"/>
    <cellStyle name="Heading 2 17 5" xfId="16022"/>
    <cellStyle name="Heading 2 17 6" xfId="16952"/>
    <cellStyle name="Heading 2 17 7" xfId="17860"/>
    <cellStyle name="Heading 2 17 8" xfId="18750"/>
    <cellStyle name="Heading 2 17 9" xfId="19628"/>
    <cellStyle name="Heading 2 18" xfId="10719"/>
    <cellStyle name="Heading 2 18 10" xfId="20570"/>
    <cellStyle name="Heading 2 18 11" xfId="21406"/>
    <cellStyle name="Heading 2 18 12" xfId="22200"/>
    <cellStyle name="Heading 2 18 2" xfId="13120"/>
    <cellStyle name="Heading 2 18 3" xfId="14246"/>
    <cellStyle name="Heading 2 18 4" xfId="15175"/>
    <cellStyle name="Heading 2 18 5" xfId="16103"/>
    <cellStyle name="Heading 2 18 6" xfId="17033"/>
    <cellStyle name="Heading 2 18 7" xfId="17941"/>
    <cellStyle name="Heading 2 18 8" xfId="18831"/>
    <cellStyle name="Heading 2 18 9" xfId="19709"/>
    <cellStyle name="Heading 2 19" xfId="10426"/>
    <cellStyle name="Heading 2 19 10" xfId="20650"/>
    <cellStyle name="Heading 2 19 11" xfId="21487"/>
    <cellStyle name="Heading 2 19 12" xfId="22278"/>
    <cellStyle name="Heading 2 19 2" xfId="13201"/>
    <cellStyle name="Heading 2 19 3" xfId="14327"/>
    <cellStyle name="Heading 2 19 4" xfId="15255"/>
    <cellStyle name="Heading 2 19 5" xfId="16184"/>
    <cellStyle name="Heading 2 19 6" xfId="17114"/>
    <cellStyle name="Heading 2 19 7" xfId="18022"/>
    <cellStyle name="Heading 2 19 8" xfId="18912"/>
    <cellStyle name="Heading 2 19 9" xfId="19790"/>
    <cellStyle name="Heading 2 2" xfId="3761"/>
    <cellStyle name="Heading 2 2 10" xfId="10533"/>
    <cellStyle name="Heading 2 2 11" xfId="10674"/>
    <cellStyle name="Heading 2 2 12" xfId="11138"/>
    <cellStyle name="Heading 2 2 13" xfId="12034"/>
    <cellStyle name="Heading 2 2 14" xfId="12707"/>
    <cellStyle name="Heading 2 2 15" xfId="12349"/>
    <cellStyle name="Heading 2 2 16" xfId="12691"/>
    <cellStyle name="Heading 2 2 17" xfId="10953"/>
    <cellStyle name="Heading 2 2 18" xfId="13846"/>
    <cellStyle name="Heading 2 2 19" xfId="16622"/>
    <cellStyle name="Heading 2 2 2" xfId="3762"/>
    <cellStyle name="Heading 2 2 2 2" xfId="4028"/>
    <cellStyle name="Heading 2 2 2 2 2" xfId="9589"/>
    <cellStyle name="Heading 2 2 2 3" xfId="9431"/>
    <cellStyle name="Heading 2 2 20" xfId="13852"/>
    <cellStyle name="Heading 2 2 21" xfId="20180"/>
    <cellStyle name="Heading 2 2 22" xfId="11781"/>
    <cellStyle name="Heading 2 2 23" xfId="23051"/>
    <cellStyle name="Heading 2 2 24" xfId="23232"/>
    <cellStyle name="Heading 2 2 25" xfId="28671"/>
    <cellStyle name="Heading 2 2 26" xfId="30460"/>
    <cellStyle name="Heading 2 2 27" xfId="32235"/>
    <cellStyle name="Heading 2 2 28" xfId="33989"/>
    <cellStyle name="Heading 2 2 29" xfId="35700"/>
    <cellStyle name="Heading 2 2 3" xfId="4027"/>
    <cellStyle name="Heading 2 2 3 2" xfId="10364"/>
    <cellStyle name="Heading 2 2 30" xfId="37340"/>
    <cellStyle name="Heading 2 2 31" xfId="38893"/>
    <cellStyle name="Heading 2 2 32" xfId="40322"/>
    <cellStyle name="Heading 2 2 33" xfId="8758"/>
    <cellStyle name="Heading 2 2 4" xfId="10765"/>
    <cellStyle name="Heading 2 2 5" xfId="11015"/>
    <cellStyle name="Heading 2 2 6" xfId="11033"/>
    <cellStyle name="Heading 2 2 7" xfId="11231"/>
    <cellStyle name="Heading 2 2 8" xfId="11422"/>
    <cellStyle name="Heading 2 2 9" xfId="11613"/>
    <cellStyle name="Heading 2 20" xfId="10761"/>
    <cellStyle name="Heading 2 20 10" xfId="20727"/>
    <cellStyle name="Heading 2 20 11" xfId="21565"/>
    <cellStyle name="Heading 2 20 12" xfId="22353"/>
    <cellStyle name="Heading 2 20 2" xfId="13279"/>
    <cellStyle name="Heading 2 20 3" xfId="14404"/>
    <cellStyle name="Heading 2 20 4" xfId="15332"/>
    <cellStyle name="Heading 2 20 5" xfId="16262"/>
    <cellStyle name="Heading 2 20 6" xfId="17192"/>
    <cellStyle name="Heading 2 20 7" xfId="18100"/>
    <cellStyle name="Heading 2 20 8" xfId="18990"/>
    <cellStyle name="Heading 2 20 9" xfId="19867"/>
    <cellStyle name="Heading 2 21" xfId="10599"/>
    <cellStyle name="Heading 2 21 10" xfId="20807"/>
    <cellStyle name="Heading 2 21 11" xfId="21645"/>
    <cellStyle name="Heading 2 21 12" xfId="22431"/>
    <cellStyle name="Heading 2 21 2" xfId="13360"/>
    <cellStyle name="Heading 2 21 3" xfId="14484"/>
    <cellStyle name="Heading 2 21 4" xfId="15413"/>
    <cellStyle name="Heading 2 21 5" xfId="16342"/>
    <cellStyle name="Heading 2 21 6" xfId="17272"/>
    <cellStyle name="Heading 2 21 7" xfId="18180"/>
    <cellStyle name="Heading 2 21 8" xfId="19070"/>
    <cellStyle name="Heading 2 21 9" xfId="19947"/>
    <cellStyle name="Heading 2 22" xfId="10924"/>
    <cellStyle name="Heading 2 22 10" xfId="20886"/>
    <cellStyle name="Heading 2 22 11" xfId="21725"/>
    <cellStyle name="Heading 2 22 12" xfId="22509"/>
    <cellStyle name="Heading 2 22 2" xfId="13440"/>
    <cellStyle name="Heading 2 22 3" xfId="14564"/>
    <cellStyle name="Heading 2 22 4" xfId="15491"/>
    <cellStyle name="Heading 2 22 5" xfId="16422"/>
    <cellStyle name="Heading 2 22 6" xfId="17352"/>
    <cellStyle name="Heading 2 22 7" xfId="18260"/>
    <cellStyle name="Heading 2 22 8" xfId="19150"/>
    <cellStyle name="Heading 2 22 9" xfId="20027"/>
    <cellStyle name="Heading 2 23" xfId="10635"/>
    <cellStyle name="Heading 2 23 10" xfId="20964"/>
    <cellStyle name="Heading 2 23 11" xfId="21805"/>
    <cellStyle name="Heading 2 23 12" xfId="22587"/>
    <cellStyle name="Heading 2 23 2" xfId="13520"/>
    <cellStyle name="Heading 2 23 3" xfId="14643"/>
    <cellStyle name="Heading 2 23 4" xfId="15571"/>
    <cellStyle name="Heading 2 23 5" xfId="16502"/>
    <cellStyle name="Heading 2 23 6" xfId="17432"/>
    <cellStyle name="Heading 2 23 7" xfId="18340"/>
    <cellStyle name="Heading 2 23 8" xfId="19230"/>
    <cellStyle name="Heading 2 23 9" xfId="20106"/>
    <cellStyle name="Heading 2 24" xfId="12724"/>
    <cellStyle name="Heading 2 24 10" xfId="21035"/>
    <cellStyle name="Heading 2 24 11" xfId="21872"/>
    <cellStyle name="Heading 2 24 12" xfId="22653"/>
    <cellStyle name="Heading 2 24 2" xfId="13600"/>
    <cellStyle name="Heading 2 24 3" xfId="14719"/>
    <cellStyle name="Heading 2 24 4" xfId="15648"/>
    <cellStyle name="Heading 2 24 5" xfId="16578"/>
    <cellStyle name="Heading 2 24 6" xfId="17506"/>
    <cellStyle name="Heading 2 24 7" xfId="18411"/>
    <cellStyle name="Heading 2 24 8" xfId="19299"/>
    <cellStyle name="Heading 2 24 9" xfId="20175"/>
    <cellStyle name="Heading 2 25" xfId="13680"/>
    <cellStyle name="Heading 2 26" xfId="13748"/>
    <cellStyle name="Heading 2 27" xfId="11921"/>
    <cellStyle name="Heading 2 28" xfId="12067"/>
    <cellStyle name="Heading 2 29" xfId="14854"/>
    <cellStyle name="Heading 2 3" xfId="3763"/>
    <cellStyle name="Heading 2 3 2" xfId="4029"/>
    <cellStyle name="Heading 2 3 2 2" xfId="8842"/>
    <cellStyle name="Heading 2 30" xfId="12127"/>
    <cellStyle name="Heading 2 31" xfId="12580"/>
    <cellStyle name="Heading 2 32" xfId="12786"/>
    <cellStyle name="Heading 2 33" xfId="15728"/>
    <cellStyle name="Heading 2 34" xfId="17475"/>
    <cellStyle name="Heading 2 35" xfId="19496"/>
    <cellStyle name="Heading 2 36" xfId="13972"/>
    <cellStyle name="Heading 2 37" xfId="22859"/>
    <cellStyle name="Heading 2 38" xfId="22910"/>
    <cellStyle name="Heading 2 39" xfId="28881"/>
    <cellStyle name="Heading 2 4" xfId="4026"/>
    <cellStyle name="Heading 2 4 2" xfId="8821"/>
    <cellStyle name="Heading 2 40" xfId="30667"/>
    <cellStyle name="Heading 2 41" xfId="32440"/>
    <cellStyle name="Heading 2 42" xfId="34191"/>
    <cellStyle name="Heading 2 43" xfId="35892"/>
    <cellStyle name="Heading 2 44" xfId="37519"/>
    <cellStyle name="Heading 2 45" xfId="39058"/>
    <cellStyle name="Heading 2 46" xfId="40471"/>
    <cellStyle name="Heading 2 47" xfId="42639"/>
    <cellStyle name="Heading 2 48" xfId="42623"/>
    <cellStyle name="Heading 2 49" xfId="42642"/>
    <cellStyle name="Heading 2 5" xfId="8912"/>
    <cellStyle name="Heading 2 50" xfId="42614"/>
    <cellStyle name="Heading 2 51" xfId="42653"/>
    <cellStyle name="Heading 2 52" xfId="42591"/>
    <cellStyle name="Heading 2 53" xfId="42679"/>
    <cellStyle name="Heading 2 54" xfId="42724"/>
    <cellStyle name="Heading 2 55" xfId="42766"/>
    <cellStyle name="Heading 2 56" xfId="42808"/>
    <cellStyle name="Heading 2 57" xfId="42849"/>
    <cellStyle name="Heading 2 58" xfId="42890"/>
    <cellStyle name="Heading 2 59" xfId="42930"/>
    <cellStyle name="Heading 2 6" xfId="8990"/>
    <cellStyle name="Heading 2 60" xfId="43163"/>
    <cellStyle name="Heading 2 61" xfId="43156"/>
    <cellStyle name="Heading 2 62" xfId="8655"/>
    <cellStyle name="Heading 2 63" xfId="3760"/>
    <cellStyle name="Heading 2 7" xfId="9064"/>
    <cellStyle name="Heading 2 8" xfId="9287"/>
    <cellStyle name="Heading 2 9" xfId="9699"/>
    <cellStyle name="Heading 3" xfId="5" builtinId="18" customBuiltin="1"/>
    <cellStyle name="Heading 3 10" xfId="9755"/>
    <cellStyle name="Heading 3 11" xfId="9846"/>
    <cellStyle name="Heading 3 12" xfId="10011"/>
    <cellStyle name="Heading 3 13" xfId="10085"/>
    <cellStyle name="Heading 3 14" xfId="10144"/>
    <cellStyle name="Heading 3 15" xfId="9333"/>
    <cellStyle name="Heading 3 15 10" xfId="20345"/>
    <cellStyle name="Heading 3 15 11" xfId="21189"/>
    <cellStyle name="Heading 3 15 12" xfId="21998"/>
    <cellStyle name="Heading 3 15 2" xfId="12886"/>
    <cellStyle name="Heading 3 15 3" xfId="14016"/>
    <cellStyle name="Heading 3 15 4" xfId="14946"/>
    <cellStyle name="Heading 3 15 5" xfId="15874"/>
    <cellStyle name="Heading 3 15 6" xfId="16801"/>
    <cellStyle name="Heading 3 15 7" xfId="17713"/>
    <cellStyle name="Heading 3 15 8" xfId="18606"/>
    <cellStyle name="Heading 3 15 9" xfId="19486"/>
    <cellStyle name="Heading 3 16" xfId="10493"/>
    <cellStyle name="Heading 3 16 10" xfId="20415"/>
    <cellStyle name="Heading 3 16 11" xfId="21251"/>
    <cellStyle name="Heading 3 16 12" xfId="22048"/>
    <cellStyle name="Heading 3 16 2" xfId="12965"/>
    <cellStyle name="Heading 3 16 3" xfId="14091"/>
    <cellStyle name="Heading 3 16 4" xfId="15021"/>
    <cellStyle name="Heading 3 16 5" xfId="15948"/>
    <cellStyle name="Heading 3 16 6" xfId="16878"/>
    <cellStyle name="Heading 3 16 7" xfId="17786"/>
    <cellStyle name="Heading 3 16 8" xfId="18676"/>
    <cellStyle name="Heading 3 16 9" xfId="19554"/>
    <cellStyle name="Heading 3 17" xfId="10529"/>
    <cellStyle name="Heading 3 17 10" xfId="20490"/>
    <cellStyle name="Heading 3 17 11" xfId="21326"/>
    <cellStyle name="Heading 3 17 12" xfId="22123"/>
    <cellStyle name="Heading 3 17 2" xfId="13040"/>
    <cellStyle name="Heading 3 17 3" xfId="14166"/>
    <cellStyle name="Heading 3 17 4" xfId="15096"/>
    <cellStyle name="Heading 3 17 5" xfId="16023"/>
    <cellStyle name="Heading 3 17 6" xfId="16953"/>
    <cellStyle name="Heading 3 17 7" xfId="17861"/>
    <cellStyle name="Heading 3 17 8" xfId="18751"/>
    <cellStyle name="Heading 3 17 9" xfId="19629"/>
    <cellStyle name="Heading 3 18" xfId="10522"/>
    <cellStyle name="Heading 3 18 10" xfId="20571"/>
    <cellStyle name="Heading 3 18 11" xfId="21407"/>
    <cellStyle name="Heading 3 18 12" xfId="22201"/>
    <cellStyle name="Heading 3 18 2" xfId="13121"/>
    <cellStyle name="Heading 3 18 3" xfId="14247"/>
    <cellStyle name="Heading 3 18 4" xfId="15176"/>
    <cellStyle name="Heading 3 18 5" xfId="16104"/>
    <cellStyle name="Heading 3 18 6" xfId="17034"/>
    <cellStyle name="Heading 3 18 7" xfId="17942"/>
    <cellStyle name="Heading 3 18 8" xfId="18832"/>
    <cellStyle name="Heading 3 18 9" xfId="19710"/>
    <cellStyle name="Heading 3 19" xfId="10182"/>
    <cellStyle name="Heading 3 19 10" xfId="20653"/>
    <cellStyle name="Heading 3 19 11" xfId="21491"/>
    <cellStyle name="Heading 3 19 12" xfId="22279"/>
    <cellStyle name="Heading 3 19 2" xfId="13205"/>
    <cellStyle name="Heading 3 19 3" xfId="14330"/>
    <cellStyle name="Heading 3 19 4" xfId="15258"/>
    <cellStyle name="Heading 3 19 5" xfId="16188"/>
    <cellStyle name="Heading 3 19 6" xfId="17118"/>
    <cellStyle name="Heading 3 19 7" xfId="18026"/>
    <cellStyle name="Heading 3 19 8" xfId="18916"/>
    <cellStyle name="Heading 3 19 9" xfId="19793"/>
    <cellStyle name="Heading 3 2" xfId="4030"/>
    <cellStyle name="Heading 3 2 10" xfId="12111"/>
    <cellStyle name="Heading 3 2 11" xfId="12235"/>
    <cellStyle name="Heading 3 2 12" xfId="12161"/>
    <cellStyle name="Heading 3 2 13" xfId="11755"/>
    <cellStyle name="Heading 3 2 14" xfId="12708"/>
    <cellStyle name="Heading 3 2 15" xfId="13843"/>
    <cellStyle name="Heading 3 2 16" xfId="15784"/>
    <cellStyle name="Heading 3 2 17" xfId="15780"/>
    <cellStyle name="Heading 3 2 18" xfId="14835"/>
    <cellStyle name="Heading 3 2 19" xfId="13957"/>
    <cellStyle name="Heading 3 2 2" xfId="9432"/>
    <cellStyle name="Heading 3 2 2 2" xfId="9590"/>
    <cellStyle name="Heading 3 2 20" xfId="14856"/>
    <cellStyle name="Heading 3 2 21" xfId="10695"/>
    <cellStyle name="Heading 3 2 22" xfId="18618"/>
    <cellStyle name="Heading 3 2 23" xfId="23052"/>
    <cellStyle name="Heading 3 2 24" xfId="23154"/>
    <cellStyle name="Heading 3 2 25" xfId="28669"/>
    <cellStyle name="Heading 3 2 26" xfId="30458"/>
    <cellStyle name="Heading 3 2 27" xfId="32233"/>
    <cellStyle name="Heading 3 2 28" xfId="33987"/>
    <cellStyle name="Heading 3 2 29" xfId="35698"/>
    <cellStyle name="Heading 3 2 3" xfId="10365"/>
    <cellStyle name="Heading 3 2 30" xfId="37338"/>
    <cellStyle name="Heading 3 2 31" xfId="38891"/>
    <cellStyle name="Heading 3 2 32" xfId="40320"/>
    <cellStyle name="Heading 3 2 33" xfId="8759"/>
    <cellStyle name="Heading 3 2 4" xfId="10689"/>
    <cellStyle name="Heading 3 2 5" xfId="11129"/>
    <cellStyle name="Heading 3 2 6" xfId="11323"/>
    <cellStyle name="Heading 3 2 7" xfId="11515"/>
    <cellStyle name="Heading 3 2 8" xfId="11697"/>
    <cellStyle name="Heading 3 2 9" xfId="11881"/>
    <cellStyle name="Heading 3 20" xfId="11018"/>
    <cellStyle name="Heading 3 20 10" xfId="20728"/>
    <cellStyle name="Heading 3 20 11" xfId="21566"/>
    <cellStyle name="Heading 3 20 12" xfId="22354"/>
    <cellStyle name="Heading 3 20 2" xfId="13280"/>
    <cellStyle name="Heading 3 20 3" xfId="14405"/>
    <cellStyle name="Heading 3 20 4" xfId="15333"/>
    <cellStyle name="Heading 3 20 5" xfId="16263"/>
    <cellStyle name="Heading 3 20 6" xfId="17193"/>
    <cellStyle name="Heading 3 20 7" xfId="18101"/>
    <cellStyle name="Heading 3 20 8" xfId="18991"/>
    <cellStyle name="Heading 3 20 9" xfId="19868"/>
    <cellStyle name="Heading 3 21" xfId="10741"/>
    <cellStyle name="Heading 3 21 10" xfId="20808"/>
    <cellStyle name="Heading 3 21 11" xfId="21646"/>
    <cellStyle name="Heading 3 21 12" xfId="22432"/>
    <cellStyle name="Heading 3 21 2" xfId="13361"/>
    <cellStyle name="Heading 3 21 3" xfId="14485"/>
    <cellStyle name="Heading 3 21 4" xfId="15414"/>
    <cellStyle name="Heading 3 21 5" xfId="16343"/>
    <cellStyle name="Heading 3 21 6" xfId="17273"/>
    <cellStyle name="Heading 3 21 7" xfId="18181"/>
    <cellStyle name="Heading 3 21 8" xfId="19071"/>
    <cellStyle name="Heading 3 21 9" xfId="19948"/>
    <cellStyle name="Heading 3 22" xfId="10646"/>
    <cellStyle name="Heading 3 22 10" xfId="20887"/>
    <cellStyle name="Heading 3 22 11" xfId="21726"/>
    <cellStyle name="Heading 3 22 12" xfId="22510"/>
    <cellStyle name="Heading 3 22 2" xfId="13441"/>
    <cellStyle name="Heading 3 22 3" xfId="14565"/>
    <cellStyle name="Heading 3 22 4" xfId="15492"/>
    <cellStyle name="Heading 3 22 5" xfId="16423"/>
    <cellStyle name="Heading 3 22 6" xfId="17353"/>
    <cellStyle name="Heading 3 22 7" xfId="18261"/>
    <cellStyle name="Heading 3 22 8" xfId="19151"/>
    <cellStyle name="Heading 3 22 9" xfId="20028"/>
    <cellStyle name="Heading 3 23" xfId="11274"/>
    <cellStyle name="Heading 3 23 10" xfId="20965"/>
    <cellStyle name="Heading 3 23 11" xfId="21806"/>
    <cellStyle name="Heading 3 23 12" xfId="22588"/>
    <cellStyle name="Heading 3 23 2" xfId="13521"/>
    <cellStyle name="Heading 3 23 3" xfId="14644"/>
    <cellStyle name="Heading 3 23 4" xfId="15572"/>
    <cellStyle name="Heading 3 23 5" xfId="16503"/>
    <cellStyle name="Heading 3 23 6" xfId="17433"/>
    <cellStyle name="Heading 3 23 7" xfId="18341"/>
    <cellStyle name="Heading 3 23 8" xfId="19231"/>
    <cellStyle name="Heading 3 23 9" xfId="20107"/>
    <cellStyle name="Heading 3 24" xfId="12683"/>
    <cellStyle name="Heading 3 24 10" xfId="21036"/>
    <cellStyle name="Heading 3 24 11" xfId="21873"/>
    <cellStyle name="Heading 3 24 12" xfId="22654"/>
    <cellStyle name="Heading 3 24 2" xfId="13601"/>
    <cellStyle name="Heading 3 24 3" xfId="14720"/>
    <cellStyle name="Heading 3 24 4" xfId="15649"/>
    <cellStyle name="Heading 3 24 5" xfId="16579"/>
    <cellStyle name="Heading 3 24 6" xfId="17507"/>
    <cellStyle name="Heading 3 24 7" xfId="18412"/>
    <cellStyle name="Heading 3 24 8" xfId="19300"/>
    <cellStyle name="Heading 3 24 9" xfId="20176"/>
    <cellStyle name="Heading 3 25" xfId="13681"/>
    <cellStyle name="Heading 3 26" xfId="13749"/>
    <cellStyle name="Heading 3 27" xfId="11795"/>
    <cellStyle name="Heading 3 28" xfId="10771"/>
    <cellStyle name="Heading 3 29" xfId="15838"/>
    <cellStyle name="Heading 3 3" xfId="8843"/>
    <cellStyle name="Heading 3 30" xfId="13931"/>
    <cellStyle name="Heading 3 31" xfId="11385"/>
    <cellStyle name="Heading 3 32" xfId="12453"/>
    <cellStyle name="Heading 3 33" xfId="16547"/>
    <cellStyle name="Heading 3 34" xfId="19412"/>
    <cellStyle name="Heading 3 35" xfId="20279"/>
    <cellStyle name="Heading 3 36" xfId="20199"/>
    <cellStyle name="Heading 3 37" xfId="22860"/>
    <cellStyle name="Heading 3 38" xfId="23651"/>
    <cellStyle name="Heading 3 39" xfId="28880"/>
    <cellStyle name="Heading 3 4" xfId="8822"/>
    <cellStyle name="Heading 3 40" xfId="30666"/>
    <cellStyle name="Heading 3 41" xfId="32439"/>
    <cellStyle name="Heading 3 42" xfId="34190"/>
    <cellStyle name="Heading 3 43" xfId="35891"/>
    <cellStyle name="Heading 3 44" xfId="37518"/>
    <cellStyle name="Heading 3 45" xfId="39057"/>
    <cellStyle name="Heading 3 46" xfId="40470"/>
    <cellStyle name="Heading 3 47" xfId="42640"/>
    <cellStyle name="Heading 3 48" xfId="42622"/>
    <cellStyle name="Heading 3 49" xfId="42643"/>
    <cellStyle name="Heading 3 5" xfId="8913"/>
    <cellStyle name="Heading 3 50" xfId="42613"/>
    <cellStyle name="Heading 3 51" xfId="42654"/>
    <cellStyle name="Heading 3 52" xfId="42590"/>
    <cellStyle name="Heading 3 53" xfId="42680"/>
    <cellStyle name="Heading 3 54" xfId="42725"/>
    <cellStyle name="Heading 3 55" xfId="42767"/>
    <cellStyle name="Heading 3 56" xfId="42809"/>
    <cellStyle name="Heading 3 57" xfId="42850"/>
    <cellStyle name="Heading 3 58" xfId="42891"/>
    <cellStyle name="Heading 3 59" xfId="42931"/>
    <cellStyle name="Heading 3 6" xfId="8991"/>
    <cellStyle name="Heading 3 60" xfId="43164"/>
    <cellStyle name="Heading 3 61" xfId="43155"/>
    <cellStyle name="Heading 3 62" xfId="8656"/>
    <cellStyle name="Heading 3 63" xfId="7735"/>
    <cellStyle name="Heading 3 64" xfId="3764"/>
    <cellStyle name="Heading 3 7" xfId="9065"/>
    <cellStyle name="Heading 3 8" xfId="9288"/>
    <cellStyle name="Heading 3 9" xfId="9700"/>
    <cellStyle name="Heading 4" xfId="6" builtinId="19" customBuiltin="1"/>
    <cellStyle name="Heading 4 10" xfId="9756"/>
    <cellStyle name="Heading 4 11" xfId="9847"/>
    <cellStyle name="Heading 4 12" xfId="10012"/>
    <cellStyle name="Heading 4 13" xfId="10086"/>
    <cellStyle name="Heading 4 14" xfId="10145"/>
    <cellStyle name="Heading 4 15" xfId="9332"/>
    <cellStyle name="Heading 4 15 10" xfId="20349"/>
    <cellStyle name="Heading 4 15 11" xfId="21193"/>
    <cellStyle name="Heading 4 15 12" xfId="21999"/>
    <cellStyle name="Heading 4 15 2" xfId="12890"/>
    <cellStyle name="Heading 4 15 3" xfId="14020"/>
    <cellStyle name="Heading 4 15 4" xfId="14950"/>
    <cellStyle name="Heading 4 15 5" xfId="15878"/>
    <cellStyle name="Heading 4 15 6" xfId="16805"/>
    <cellStyle name="Heading 4 15 7" xfId="17717"/>
    <cellStyle name="Heading 4 15 8" xfId="18610"/>
    <cellStyle name="Heading 4 15 9" xfId="19490"/>
    <cellStyle name="Heading 4 16" xfId="11263"/>
    <cellStyle name="Heading 4 16 10" xfId="20416"/>
    <cellStyle name="Heading 4 16 11" xfId="21252"/>
    <cellStyle name="Heading 4 16 12" xfId="22049"/>
    <cellStyle name="Heading 4 16 2" xfId="12966"/>
    <cellStyle name="Heading 4 16 3" xfId="14092"/>
    <cellStyle name="Heading 4 16 4" xfId="15022"/>
    <cellStyle name="Heading 4 16 5" xfId="15949"/>
    <cellStyle name="Heading 4 16 6" xfId="16879"/>
    <cellStyle name="Heading 4 16 7" xfId="17787"/>
    <cellStyle name="Heading 4 16 8" xfId="18677"/>
    <cellStyle name="Heading 4 16 9" xfId="19555"/>
    <cellStyle name="Heading 4 17" xfId="11454"/>
    <cellStyle name="Heading 4 17 10" xfId="20491"/>
    <cellStyle name="Heading 4 17 11" xfId="21327"/>
    <cellStyle name="Heading 4 17 12" xfId="22124"/>
    <cellStyle name="Heading 4 17 2" xfId="13041"/>
    <cellStyle name="Heading 4 17 3" xfId="14167"/>
    <cellStyle name="Heading 4 17 4" xfId="15097"/>
    <cellStyle name="Heading 4 17 5" xfId="16024"/>
    <cellStyle name="Heading 4 17 6" xfId="16954"/>
    <cellStyle name="Heading 4 17 7" xfId="17862"/>
    <cellStyle name="Heading 4 17 8" xfId="18752"/>
    <cellStyle name="Heading 4 17 9" xfId="19630"/>
    <cellStyle name="Heading 4 18" xfId="11641"/>
    <cellStyle name="Heading 4 18 10" xfId="20574"/>
    <cellStyle name="Heading 4 18 11" xfId="21411"/>
    <cellStyle name="Heading 4 18 12" xfId="22202"/>
    <cellStyle name="Heading 4 18 2" xfId="13125"/>
    <cellStyle name="Heading 4 18 3" xfId="14251"/>
    <cellStyle name="Heading 4 18 4" xfId="15179"/>
    <cellStyle name="Heading 4 18 5" xfId="16108"/>
    <cellStyle name="Heading 4 18 6" xfId="17038"/>
    <cellStyle name="Heading 4 18 7" xfId="17946"/>
    <cellStyle name="Heading 4 18 8" xfId="18836"/>
    <cellStyle name="Heading 4 18 9" xfId="19714"/>
    <cellStyle name="Heading 4 19" xfId="11824"/>
    <cellStyle name="Heading 4 19 10" xfId="20654"/>
    <cellStyle name="Heading 4 19 11" xfId="21492"/>
    <cellStyle name="Heading 4 19 12" xfId="22280"/>
    <cellStyle name="Heading 4 19 2" xfId="13206"/>
    <cellStyle name="Heading 4 19 3" xfId="14331"/>
    <cellStyle name="Heading 4 19 4" xfId="15259"/>
    <cellStyle name="Heading 4 19 5" xfId="16189"/>
    <cellStyle name="Heading 4 19 6" xfId="17119"/>
    <cellStyle name="Heading 4 19 7" xfId="18027"/>
    <cellStyle name="Heading 4 19 8" xfId="18917"/>
    <cellStyle name="Heading 4 19 9" xfId="19794"/>
    <cellStyle name="Heading 4 2" xfId="4031"/>
    <cellStyle name="Heading 4 2 10" xfId="12021"/>
    <cellStyle name="Heading 4 2 11" xfId="10390"/>
    <cellStyle name="Heading 4 2 12" xfId="12489"/>
    <cellStyle name="Heading 4 2 13" xfId="12661"/>
    <cellStyle name="Heading 4 2 14" xfId="12639"/>
    <cellStyle name="Heading 4 2 15" xfId="12201"/>
    <cellStyle name="Heading 4 2 16" xfId="12662"/>
    <cellStyle name="Heading 4 2 17" xfId="12566"/>
    <cellStyle name="Heading 4 2 18" xfId="12129"/>
    <cellStyle name="Heading 4 2 19" xfId="13857"/>
    <cellStyle name="Heading 4 2 2" xfId="9433"/>
    <cellStyle name="Heading 4 2 2 2" xfId="9591"/>
    <cellStyle name="Heading 4 2 20" xfId="16820"/>
    <cellStyle name="Heading 4 2 21" xfId="16708"/>
    <cellStyle name="Heading 4 2 22" xfId="20971"/>
    <cellStyle name="Heading 4 2 23" xfId="23053"/>
    <cellStyle name="Heading 4 2 24" xfId="26420"/>
    <cellStyle name="Heading 4 2 25" xfId="28668"/>
    <cellStyle name="Heading 4 2 26" xfId="30457"/>
    <cellStyle name="Heading 4 2 27" xfId="32232"/>
    <cellStyle name="Heading 4 2 28" xfId="33986"/>
    <cellStyle name="Heading 4 2 29" xfId="35697"/>
    <cellStyle name="Heading 4 2 3" xfId="10366"/>
    <cellStyle name="Heading 4 2 30" xfId="37337"/>
    <cellStyle name="Heading 4 2 31" xfId="38890"/>
    <cellStyle name="Heading 4 2 32" xfId="40319"/>
    <cellStyle name="Heading 4 2 33" xfId="8760"/>
    <cellStyle name="Heading 4 2 4" xfId="10616"/>
    <cellStyle name="Heading 4 2 5" xfId="10799"/>
    <cellStyle name="Heading 4 2 6" xfId="10361"/>
    <cellStyle name="Heading 4 2 7" xfId="10200"/>
    <cellStyle name="Heading 4 2 8" xfId="10932"/>
    <cellStyle name="Heading 4 2 9" xfId="9485"/>
    <cellStyle name="Heading 4 20" xfId="12006"/>
    <cellStyle name="Heading 4 20 10" xfId="20729"/>
    <cellStyle name="Heading 4 20 11" xfId="21567"/>
    <cellStyle name="Heading 4 20 12" xfId="22355"/>
    <cellStyle name="Heading 4 20 2" xfId="13281"/>
    <cellStyle name="Heading 4 20 3" xfId="14406"/>
    <cellStyle name="Heading 4 20 4" xfId="15334"/>
    <cellStyle name="Heading 4 20 5" xfId="16264"/>
    <cellStyle name="Heading 4 20 6" xfId="17194"/>
    <cellStyle name="Heading 4 20 7" xfId="18102"/>
    <cellStyle name="Heading 4 20 8" xfId="18992"/>
    <cellStyle name="Heading 4 20 9" xfId="19869"/>
    <cellStyle name="Heading 4 21" xfId="12180"/>
    <cellStyle name="Heading 4 21 10" xfId="20811"/>
    <cellStyle name="Heading 4 21 11" xfId="21650"/>
    <cellStyle name="Heading 4 21 12" xfId="22434"/>
    <cellStyle name="Heading 4 21 2" xfId="13365"/>
    <cellStyle name="Heading 4 21 3" xfId="14489"/>
    <cellStyle name="Heading 4 21 4" xfId="15416"/>
    <cellStyle name="Heading 4 21 5" xfId="16347"/>
    <cellStyle name="Heading 4 21 6" xfId="17277"/>
    <cellStyle name="Heading 4 21 7" xfId="18185"/>
    <cellStyle name="Heading 4 21 8" xfId="19075"/>
    <cellStyle name="Heading 4 21 9" xfId="19952"/>
    <cellStyle name="Heading 4 22" xfId="11048"/>
    <cellStyle name="Heading 4 22 10" xfId="20889"/>
    <cellStyle name="Heading 4 22 11" xfId="21730"/>
    <cellStyle name="Heading 4 22 12" xfId="22512"/>
    <cellStyle name="Heading 4 22 2" xfId="13445"/>
    <cellStyle name="Heading 4 22 3" xfId="14568"/>
    <cellStyle name="Heading 4 22 4" xfId="15496"/>
    <cellStyle name="Heading 4 22 5" xfId="16427"/>
    <cellStyle name="Heading 4 22 6" xfId="17357"/>
    <cellStyle name="Heading 4 22 7" xfId="18265"/>
    <cellStyle name="Heading 4 22 8" xfId="19155"/>
    <cellStyle name="Heading 4 22 9" xfId="20031"/>
    <cellStyle name="Heading 4 23" xfId="12552"/>
    <cellStyle name="Heading 4 23 10" xfId="20968"/>
    <cellStyle name="Heading 4 23 11" xfId="21809"/>
    <cellStyle name="Heading 4 23 12" xfId="22590"/>
    <cellStyle name="Heading 4 23 2" xfId="13525"/>
    <cellStyle name="Heading 4 23 3" xfId="14647"/>
    <cellStyle name="Heading 4 23 4" xfId="15576"/>
    <cellStyle name="Heading 4 23 5" xfId="16507"/>
    <cellStyle name="Heading 4 23 6" xfId="17436"/>
    <cellStyle name="Heading 4 23 7" xfId="18344"/>
    <cellStyle name="Heading 4 23 8" xfId="19234"/>
    <cellStyle name="Heading 4 23 9" xfId="20109"/>
    <cellStyle name="Heading 4 24" xfId="12635"/>
    <cellStyle name="Heading 4 24 10" xfId="21039"/>
    <cellStyle name="Heading 4 24 11" xfId="21875"/>
    <cellStyle name="Heading 4 24 12" xfId="22656"/>
    <cellStyle name="Heading 4 24 2" xfId="13605"/>
    <cellStyle name="Heading 4 24 3" xfId="14724"/>
    <cellStyle name="Heading 4 24 4" xfId="15652"/>
    <cellStyle name="Heading 4 24 5" xfId="16581"/>
    <cellStyle name="Heading 4 24 6" xfId="17510"/>
    <cellStyle name="Heading 4 24 7" xfId="18414"/>
    <cellStyle name="Heading 4 24 8" xfId="19303"/>
    <cellStyle name="Heading 4 24 9" xfId="20178"/>
    <cellStyle name="Heading 4 25" xfId="13685"/>
    <cellStyle name="Heading 4 26" xfId="13753"/>
    <cellStyle name="Heading 4 27" xfId="12043"/>
    <cellStyle name="Heading 4 28" xfId="12767"/>
    <cellStyle name="Heading 4 29" xfId="15804"/>
    <cellStyle name="Heading 4 3" xfId="8844"/>
    <cellStyle name="Heading 4 30" xfId="12595"/>
    <cellStyle name="Heading 4 31" xfId="16710"/>
    <cellStyle name="Heading 4 32" xfId="17630"/>
    <cellStyle name="Heading 4 33" xfId="18533"/>
    <cellStyle name="Heading 4 34" xfId="19441"/>
    <cellStyle name="Heading 4 35" xfId="21164"/>
    <cellStyle name="Heading 4 36" xfId="16683"/>
    <cellStyle name="Heading 4 37" xfId="22861"/>
    <cellStyle name="Heading 4 38" xfId="23582"/>
    <cellStyle name="Heading 4 39" xfId="28879"/>
    <cellStyle name="Heading 4 4" xfId="8823"/>
    <cellStyle name="Heading 4 40" xfId="30665"/>
    <cellStyle name="Heading 4 41" xfId="32438"/>
    <cellStyle name="Heading 4 42" xfId="34189"/>
    <cellStyle name="Heading 4 43" xfId="35890"/>
    <cellStyle name="Heading 4 44" xfId="37517"/>
    <cellStyle name="Heading 4 45" xfId="39056"/>
    <cellStyle name="Heading 4 46" xfId="40469"/>
    <cellStyle name="Heading 4 47" xfId="42641"/>
    <cellStyle name="Heading 4 48" xfId="42621"/>
    <cellStyle name="Heading 4 49" xfId="42644"/>
    <cellStyle name="Heading 4 5" xfId="8914"/>
    <cellStyle name="Heading 4 50" xfId="42612"/>
    <cellStyle name="Heading 4 51" xfId="42655"/>
    <cellStyle name="Heading 4 52" xfId="42583"/>
    <cellStyle name="Heading 4 53" xfId="42681"/>
    <cellStyle name="Heading 4 54" xfId="42726"/>
    <cellStyle name="Heading 4 55" xfId="42768"/>
    <cellStyle name="Heading 4 56" xfId="42810"/>
    <cellStyle name="Heading 4 57" xfId="42851"/>
    <cellStyle name="Heading 4 58" xfId="42892"/>
    <cellStyle name="Heading 4 59" xfId="42932"/>
    <cellStyle name="Heading 4 6" xfId="8992"/>
    <cellStyle name="Heading 4 60" xfId="43165"/>
    <cellStyle name="Heading 4 61" xfId="43154"/>
    <cellStyle name="Heading 4 62" xfId="8657"/>
    <cellStyle name="Heading 4 63" xfId="7736"/>
    <cellStyle name="Heading 4 64" xfId="3765"/>
    <cellStyle name="Heading 4 7" xfId="9066"/>
    <cellStyle name="Heading 4 8" xfId="9289"/>
    <cellStyle name="Heading 4 9" xfId="9701"/>
    <cellStyle name="Heading1" xfId="3766"/>
    <cellStyle name="Heading1 2" xfId="7737"/>
    <cellStyle name="Heading2" xfId="3767"/>
    <cellStyle name="Heading3" xfId="3768"/>
    <cellStyle name="Heading4" xfId="3769"/>
    <cellStyle name="Heading4 2" xfId="7738"/>
    <cellStyle name="HEADINGS" xfId="3770"/>
    <cellStyle name="HEADINGS 2" xfId="4032"/>
    <cellStyle name="HEADINGS 2 2" xfId="7843"/>
    <cellStyle name="HEADINGS 3" xfId="7739"/>
    <cellStyle name="HEADINGSTOP" xfId="3771"/>
    <cellStyle name="HEADINGSTOP 2" xfId="7844"/>
    <cellStyle name="HEADINGSTOP 3" xfId="7740"/>
    <cellStyle name="Hiper31cze" xfId="3772"/>
    <cellStyle name="Hiper31cze 2" xfId="7845"/>
    <cellStyle name="Hiper31cze 3" xfId="7741"/>
    <cellStyle name="Hiperłącze" xfId="3773"/>
    <cellStyle name="Hiperłącze 2" xfId="7846"/>
    <cellStyle name="Hiperłącze 3" xfId="7742"/>
    <cellStyle name="Horizontal" xfId="3774"/>
    <cellStyle name="Hyperlink" xfId="3775" builtinId="8"/>
    <cellStyle name="Hyperlink 2" xfId="7934"/>
    <cellStyle name="Hyperlink 2 2" xfId="43355"/>
    <cellStyle name="Hyperlink 3" xfId="7847"/>
    <cellStyle name="Hyperlink 4" xfId="43331"/>
    <cellStyle name="Hyperlink 5" xfId="7743"/>
    <cellStyle name="Iau?iue_SEP-FL" xfId="3776"/>
    <cellStyle name="Îáû÷íûé_laroux" xfId="3777"/>
    <cellStyle name="Input" xfId="10" builtinId="20" customBuiltin="1"/>
    <cellStyle name="Input [yellow]" xfId="3779"/>
    <cellStyle name="Input [yellow] 2" xfId="3780"/>
    <cellStyle name="Input [yellow] 3" xfId="3781"/>
    <cellStyle name="Input [yellow]_Cover" xfId="3782"/>
    <cellStyle name="Input 10" xfId="9761"/>
    <cellStyle name="Input 11" xfId="9934"/>
    <cellStyle name="Input 11 10" xfId="32902"/>
    <cellStyle name="Input 11 11" xfId="34631"/>
    <cellStyle name="Input 11 2" xfId="24838"/>
    <cellStyle name="Input 11 3" xfId="28225"/>
    <cellStyle name="Input 11 4" xfId="27569"/>
    <cellStyle name="Input 11 5" xfId="28217"/>
    <cellStyle name="Input 11 6" xfId="27578"/>
    <cellStyle name="Input 11 7" xfId="22866"/>
    <cellStyle name="Input 11 8" xfId="29353"/>
    <cellStyle name="Input 11 9" xfId="31134"/>
    <cellStyle name="Input 12" xfId="10018"/>
    <cellStyle name="Input 12 10" xfId="41070"/>
    <cellStyle name="Input 12 11" xfId="42137"/>
    <cellStyle name="Input 12 2" xfId="26574"/>
    <cellStyle name="Input 12 3" xfId="29904"/>
    <cellStyle name="Input 12 4" xfId="31679"/>
    <cellStyle name="Input 12 5" xfId="33438"/>
    <cellStyle name="Input 12 6" xfId="35152"/>
    <cellStyle name="Input 12 7" xfId="36801"/>
    <cellStyle name="Input 12 8" xfId="38366"/>
    <cellStyle name="Input 12 9" xfId="39809"/>
    <cellStyle name="Input 13" xfId="10090"/>
    <cellStyle name="Input 13 10" xfId="41256"/>
    <cellStyle name="Input 13 11" xfId="42310"/>
    <cellStyle name="Input 13 2" xfId="26790"/>
    <cellStyle name="Input 13 3" xfId="30118"/>
    <cellStyle name="Input 13 4" xfId="31893"/>
    <cellStyle name="Input 13 5" xfId="33648"/>
    <cellStyle name="Input 13 6" xfId="35361"/>
    <cellStyle name="Input 13 7" xfId="37006"/>
    <cellStyle name="Input 13 8" xfId="38565"/>
    <cellStyle name="Input 13 9" xfId="40004"/>
    <cellStyle name="Input 14" xfId="10146"/>
    <cellStyle name="Input 14 10" xfId="40934"/>
    <cellStyle name="Input 14 11" xfId="42009"/>
    <cellStyle name="Input 14 2" xfId="26407"/>
    <cellStyle name="Input 14 3" xfId="29738"/>
    <cellStyle name="Input 14 4" xfId="31513"/>
    <cellStyle name="Input 14 5" xfId="33274"/>
    <cellStyle name="Input 14 6" xfId="34992"/>
    <cellStyle name="Input 14 7" xfId="36645"/>
    <cellStyle name="Input 14 8" xfId="38215"/>
    <cellStyle name="Input 14 9" xfId="39665"/>
    <cellStyle name="Input 15" xfId="10184"/>
    <cellStyle name="Input 15 10" xfId="20421"/>
    <cellStyle name="Input 15 11" xfId="21257"/>
    <cellStyle name="Input 15 12" xfId="22054"/>
    <cellStyle name="Input 15 13" xfId="26902"/>
    <cellStyle name="Input 15 14" xfId="30230"/>
    <cellStyle name="Input 15 15" xfId="32005"/>
    <cellStyle name="Input 15 16" xfId="33760"/>
    <cellStyle name="Input 15 17" xfId="35473"/>
    <cellStyle name="Input 15 18" xfId="37117"/>
    <cellStyle name="Input 15 19" xfId="38673"/>
    <cellStyle name="Input 15 2" xfId="12971"/>
    <cellStyle name="Input 15 20" xfId="40107"/>
    <cellStyle name="Input 15 21" xfId="41354"/>
    <cellStyle name="Input 15 22" xfId="42405"/>
    <cellStyle name="Input 15 3" xfId="14097"/>
    <cellStyle name="Input 15 4" xfId="15027"/>
    <cellStyle name="Input 15 5" xfId="15954"/>
    <cellStyle name="Input 15 6" xfId="16884"/>
    <cellStyle name="Input 15 7" xfId="17792"/>
    <cellStyle name="Input 15 8" xfId="18682"/>
    <cellStyle name="Input 15 9" xfId="19560"/>
    <cellStyle name="Input 16" xfId="10227"/>
    <cellStyle name="Input 16 10" xfId="20501"/>
    <cellStyle name="Input 16 11" xfId="21337"/>
    <cellStyle name="Input 16 12" xfId="22131"/>
    <cellStyle name="Input 16 13" xfId="26292"/>
    <cellStyle name="Input 16 14" xfId="29623"/>
    <cellStyle name="Input 16 15" xfId="31398"/>
    <cellStyle name="Input 16 16" xfId="33161"/>
    <cellStyle name="Input 16 17" xfId="34879"/>
    <cellStyle name="Input 16 18" xfId="36532"/>
    <cellStyle name="Input 16 19" xfId="38106"/>
    <cellStyle name="Input 16 2" xfId="13051"/>
    <cellStyle name="Input 16 20" xfId="39559"/>
    <cellStyle name="Input 16 21" xfId="40832"/>
    <cellStyle name="Input 16 22" xfId="41911"/>
    <cellStyle name="Input 16 3" xfId="14177"/>
    <cellStyle name="Input 16 4" xfId="15106"/>
    <cellStyle name="Input 16 5" xfId="16034"/>
    <cellStyle name="Input 16 6" xfId="16964"/>
    <cellStyle name="Input 16 7" xfId="17872"/>
    <cellStyle name="Input 16 8" xfId="18762"/>
    <cellStyle name="Input 16 9" xfId="19640"/>
    <cellStyle name="Input 17" xfId="11210"/>
    <cellStyle name="Input 17 10" xfId="20580"/>
    <cellStyle name="Input 17 11" xfId="21417"/>
    <cellStyle name="Input 17 12" xfId="22208"/>
    <cellStyle name="Input 17 13" xfId="26674"/>
    <cellStyle name="Input 17 14" xfId="30003"/>
    <cellStyle name="Input 17 15" xfId="31778"/>
    <cellStyle name="Input 17 16" xfId="33536"/>
    <cellStyle name="Input 17 17" xfId="35250"/>
    <cellStyle name="Input 17 18" xfId="36897"/>
    <cellStyle name="Input 17 19" xfId="38460"/>
    <cellStyle name="Input 17 2" xfId="13131"/>
    <cellStyle name="Input 17 20" xfId="39901"/>
    <cellStyle name="Input 17 21" xfId="41155"/>
    <cellStyle name="Input 17 22" xfId="42215"/>
    <cellStyle name="Input 17 3" xfId="14257"/>
    <cellStyle name="Input 17 4" xfId="15185"/>
    <cellStyle name="Input 17 5" xfId="16114"/>
    <cellStyle name="Input 17 6" xfId="17044"/>
    <cellStyle name="Input 17 7" xfId="17952"/>
    <cellStyle name="Input 17 8" xfId="18842"/>
    <cellStyle name="Input 17 9" xfId="19720"/>
    <cellStyle name="Input 18" xfId="11402"/>
    <cellStyle name="Input 18 10" xfId="20659"/>
    <cellStyle name="Input 18 11" xfId="21497"/>
    <cellStyle name="Input 18 12" xfId="22285"/>
    <cellStyle name="Input 18 13" xfId="26422"/>
    <cellStyle name="Input 18 14" xfId="29753"/>
    <cellStyle name="Input 18 15" xfId="31528"/>
    <cellStyle name="Input 18 16" xfId="33287"/>
    <cellStyle name="Input 18 17" xfId="35004"/>
    <cellStyle name="Input 18 18" xfId="36655"/>
    <cellStyle name="Input 18 19" xfId="38224"/>
    <cellStyle name="Input 18 2" xfId="13211"/>
    <cellStyle name="Input 18 20" xfId="39674"/>
    <cellStyle name="Input 18 21" xfId="40942"/>
    <cellStyle name="Input 18 22" xfId="42016"/>
    <cellStyle name="Input 18 3" xfId="14336"/>
    <cellStyle name="Input 18 4" xfId="15264"/>
    <cellStyle name="Input 18 5" xfId="16194"/>
    <cellStyle name="Input 18 6" xfId="17124"/>
    <cellStyle name="Input 18 7" xfId="18032"/>
    <cellStyle name="Input 18 8" xfId="18922"/>
    <cellStyle name="Input 18 9" xfId="19799"/>
    <cellStyle name="Input 19" xfId="11591"/>
    <cellStyle name="Input 19 10" xfId="20738"/>
    <cellStyle name="Input 19 11" xfId="21576"/>
    <cellStyle name="Input 19 12" xfId="22362"/>
    <cellStyle name="Input 19 13" xfId="26939"/>
    <cellStyle name="Input 19 14" xfId="30267"/>
    <cellStyle name="Input 19 15" xfId="32042"/>
    <cellStyle name="Input 19 16" xfId="33797"/>
    <cellStyle name="Input 19 17" xfId="35510"/>
    <cellStyle name="Input 19 18" xfId="37154"/>
    <cellStyle name="Input 19 19" xfId="38710"/>
    <cellStyle name="Input 19 2" xfId="13291"/>
    <cellStyle name="Input 19 20" xfId="40144"/>
    <cellStyle name="Input 19 21" xfId="41389"/>
    <cellStyle name="Input 19 22" xfId="42439"/>
    <cellStyle name="Input 19 3" xfId="14415"/>
    <cellStyle name="Input 19 4" xfId="15344"/>
    <cellStyle name="Input 19 5" xfId="16273"/>
    <cellStyle name="Input 19 6" xfId="17203"/>
    <cellStyle name="Input 19 7" xfId="18111"/>
    <cellStyle name="Input 19 8" xfId="19001"/>
    <cellStyle name="Input 19 9" xfId="19878"/>
    <cellStyle name="Input 2" xfId="4033"/>
    <cellStyle name="Input 2 10" xfId="12355"/>
    <cellStyle name="Input 2 11" xfId="12435"/>
    <cellStyle name="Input 2 12" xfId="11766"/>
    <cellStyle name="Input 2 13" xfId="11594"/>
    <cellStyle name="Input 2 14" xfId="14897"/>
    <cellStyle name="Input 2 15" xfId="14973"/>
    <cellStyle name="Input 2 16" xfId="13927"/>
    <cellStyle name="Input 2 17" xfId="16716"/>
    <cellStyle name="Input 2 18" xfId="17634"/>
    <cellStyle name="Input 2 19" xfId="18536"/>
    <cellStyle name="Input 2 2" xfId="9439"/>
    <cellStyle name="Input 2 2 2" xfId="9592"/>
    <cellStyle name="Input 2 20" xfId="20307"/>
    <cellStyle name="Input 2 21" xfId="21133"/>
    <cellStyle name="Input 2 22" xfId="13963"/>
    <cellStyle name="Input 2 23" xfId="23059"/>
    <cellStyle name="Input 2 24" xfId="23555"/>
    <cellStyle name="Input 2 25" xfId="28662"/>
    <cellStyle name="Input 2 26" xfId="30452"/>
    <cellStyle name="Input 2 27" xfId="32227"/>
    <cellStyle name="Input 2 28" xfId="33981"/>
    <cellStyle name="Input 2 29" xfId="35693"/>
    <cellStyle name="Input 2 3" xfId="10372"/>
    <cellStyle name="Input 2 30" xfId="37335"/>
    <cellStyle name="Input 2 31" xfId="38889"/>
    <cellStyle name="Input 2 32" xfId="40318"/>
    <cellStyle name="Input 2 33" xfId="8764"/>
    <cellStyle name="Input 2 4" xfId="11134"/>
    <cellStyle name="Input 2 5" xfId="11328"/>
    <cellStyle name="Input 2 6" xfId="11520"/>
    <cellStyle name="Input 2 7" xfId="11702"/>
    <cellStyle name="Input 2 8" xfId="11886"/>
    <cellStyle name="Input 2 9" xfId="12070"/>
    <cellStyle name="Input 20" xfId="11771"/>
    <cellStyle name="Input 20 10" xfId="20817"/>
    <cellStyle name="Input 20 11" xfId="21656"/>
    <cellStyle name="Input 20 12" xfId="22440"/>
    <cellStyle name="Input 20 13" xfId="26302"/>
    <cellStyle name="Input 20 14" xfId="29633"/>
    <cellStyle name="Input 20 15" xfId="31408"/>
    <cellStyle name="Input 20 16" xfId="33171"/>
    <cellStyle name="Input 20 17" xfId="34889"/>
    <cellStyle name="Input 20 18" xfId="36542"/>
    <cellStyle name="Input 20 19" xfId="38116"/>
    <cellStyle name="Input 20 2" xfId="13371"/>
    <cellStyle name="Input 20 20" xfId="39569"/>
    <cellStyle name="Input 20 21" xfId="40842"/>
    <cellStyle name="Input 20 22" xfId="41921"/>
    <cellStyle name="Input 20 3" xfId="14495"/>
    <cellStyle name="Input 20 4" xfId="15422"/>
    <cellStyle name="Input 20 5" xfId="16353"/>
    <cellStyle name="Input 20 6" xfId="17283"/>
    <cellStyle name="Input 20 7" xfId="18191"/>
    <cellStyle name="Input 20 8" xfId="19081"/>
    <cellStyle name="Input 20 9" xfId="19958"/>
    <cellStyle name="Input 21" xfId="11955"/>
    <cellStyle name="Input 21 10" xfId="20895"/>
    <cellStyle name="Input 21 11" xfId="21736"/>
    <cellStyle name="Input 21 12" xfId="22518"/>
    <cellStyle name="Input 21 13" xfId="26769"/>
    <cellStyle name="Input 21 14" xfId="30099"/>
    <cellStyle name="Input 21 15" xfId="31874"/>
    <cellStyle name="Input 21 16" xfId="33630"/>
    <cellStyle name="Input 21 17" xfId="35343"/>
    <cellStyle name="Input 21 18" xfId="36989"/>
    <cellStyle name="Input 21 19" xfId="38550"/>
    <cellStyle name="Input 21 2" xfId="13451"/>
    <cellStyle name="Input 21 20" xfId="39989"/>
    <cellStyle name="Input 21 21" xfId="41241"/>
    <cellStyle name="Input 21 22" xfId="42297"/>
    <cellStyle name="Input 21 3" xfId="14574"/>
    <cellStyle name="Input 21 4" xfId="15502"/>
    <cellStyle name="Input 21 5" xfId="16433"/>
    <cellStyle name="Input 21 6" xfId="17363"/>
    <cellStyle name="Input 21 7" xfId="18271"/>
    <cellStyle name="Input 21 8" xfId="19161"/>
    <cellStyle name="Input 21 9" xfId="20037"/>
    <cellStyle name="Input 22" xfId="12197"/>
    <cellStyle name="Input 22 10" xfId="20973"/>
    <cellStyle name="Input 22 11" xfId="21813"/>
    <cellStyle name="Input 22 12" xfId="22594"/>
    <cellStyle name="Input 22 13" xfId="26433"/>
    <cellStyle name="Input 22 14" xfId="29764"/>
    <cellStyle name="Input 22 15" xfId="31539"/>
    <cellStyle name="Input 22 16" xfId="33298"/>
    <cellStyle name="Input 22 17" xfId="35015"/>
    <cellStyle name="Input 22 18" xfId="36666"/>
    <cellStyle name="Input 22 19" xfId="38235"/>
    <cellStyle name="Input 22 2" xfId="13531"/>
    <cellStyle name="Input 22 20" xfId="39685"/>
    <cellStyle name="Input 22 21" xfId="40953"/>
    <cellStyle name="Input 22 22" xfId="42027"/>
    <cellStyle name="Input 22 3" xfId="14653"/>
    <cellStyle name="Input 22 4" xfId="15581"/>
    <cellStyle name="Input 22 5" xfId="16512"/>
    <cellStyle name="Input 22 6" xfId="17441"/>
    <cellStyle name="Input 22 7" xfId="18350"/>
    <cellStyle name="Input 22 8" xfId="19239"/>
    <cellStyle name="Input 22 9" xfId="20113"/>
    <cellStyle name="Input 23" xfId="12316"/>
    <cellStyle name="Input 23 10" xfId="21041"/>
    <cellStyle name="Input 23 11" xfId="21877"/>
    <cellStyle name="Input 23 12" xfId="22658"/>
    <cellStyle name="Input 23 2" xfId="13611"/>
    <cellStyle name="Input 23 3" xfId="14729"/>
    <cellStyle name="Input 23 4" xfId="15656"/>
    <cellStyle name="Input 23 5" xfId="16586"/>
    <cellStyle name="Input 23 6" xfId="17515"/>
    <cellStyle name="Input 23 7" xfId="18419"/>
    <cellStyle name="Input 23 8" xfId="19307"/>
    <cellStyle name="Input 23 9" xfId="20182"/>
    <cellStyle name="Input 24" xfId="12291"/>
    <cellStyle name="Input 24 10" xfId="21095"/>
    <cellStyle name="Input 24 11" xfId="21928"/>
    <cellStyle name="Input 24 12" xfId="22709"/>
    <cellStyle name="Input 24 2" xfId="13689"/>
    <cellStyle name="Input 24 3" xfId="14797"/>
    <cellStyle name="Input 24 4" xfId="15727"/>
    <cellStyle name="Input 24 5" xfId="16656"/>
    <cellStyle name="Input 24 6" xfId="17583"/>
    <cellStyle name="Input 24 7" xfId="18486"/>
    <cellStyle name="Input 24 8" xfId="19369"/>
    <cellStyle name="Input 24 9" xfId="20242"/>
    <cellStyle name="Input 25" xfId="13755"/>
    <cellStyle name="Input 26" xfId="13808"/>
    <cellStyle name="Input 27" xfId="12806"/>
    <cellStyle name="Input 28" xfId="13865"/>
    <cellStyle name="Input 29" xfId="11431"/>
    <cellStyle name="Input 3" xfId="8850"/>
    <cellStyle name="Input 30" xfId="12533"/>
    <cellStyle name="Input 31" xfId="12802"/>
    <cellStyle name="Input 32" xfId="12514"/>
    <cellStyle name="Input 33" xfId="12069"/>
    <cellStyle name="Input 34" xfId="16714"/>
    <cellStyle name="Input 35" xfId="11950"/>
    <cellStyle name="Input 36" xfId="20241"/>
    <cellStyle name="Input 37" xfId="22867"/>
    <cellStyle name="Input 38" xfId="26514"/>
    <cellStyle name="Input 39" xfId="29538"/>
    <cellStyle name="Input 4" xfId="8835"/>
    <cellStyle name="Input 40" xfId="31314"/>
    <cellStyle name="Input 41" xfId="33078"/>
    <cellStyle name="Input 42" xfId="34797"/>
    <cellStyle name="Input 43" xfId="36452"/>
    <cellStyle name="Input 44" xfId="38035"/>
    <cellStyle name="Input 45" xfId="39496"/>
    <cellStyle name="Input 46" xfId="40787"/>
    <cellStyle name="Input 47" xfId="42645"/>
    <cellStyle name="Input 48" xfId="42615"/>
    <cellStyle name="Input 49" xfId="42652"/>
    <cellStyle name="Input 5" xfId="8927"/>
    <cellStyle name="Input 50" xfId="42592"/>
    <cellStyle name="Input 51" xfId="42678"/>
    <cellStyle name="Input 52" xfId="42723"/>
    <cellStyle name="Input 53" xfId="42765"/>
    <cellStyle name="Input 54" xfId="42807"/>
    <cellStyle name="Input 55" xfId="42848"/>
    <cellStyle name="Input 56" xfId="42889"/>
    <cellStyle name="Input 57" xfId="42929"/>
    <cellStyle name="Input 58" xfId="42969"/>
    <cellStyle name="Input 59" xfId="43006"/>
    <cellStyle name="Input 6" xfId="9005"/>
    <cellStyle name="Input 60" xfId="43166"/>
    <cellStyle name="Input 61" xfId="43151"/>
    <cellStyle name="Input 62" xfId="8658"/>
    <cellStyle name="Input 63" xfId="7744"/>
    <cellStyle name="Input 64" xfId="3778"/>
    <cellStyle name="Input 7" xfId="9074"/>
    <cellStyle name="Input 8" xfId="9290"/>
    <cellStyle name="Input 9" xfId="9707"/>
    <cellStyle name="Input Cells" xfId="3783"/>
    <cellStyle name="Input Cells 10" xfId="9851"/>
    <cellStyle name="Input Cells 11" xfId="9936"/>
    <cellStyle name="Input Cells 12" xfId="10020"/>
    <cellStyle name="Input Cells 13" xfId="10091"/>
    <cellStyle name="Input Cells 14" xfId="10147"/>
    <cellStyle name="Input Cells 15" xfId="10186"/>
    <cellStyle name="Input Cells 15 10" xfId="20423"/>
    <cellStyle name="Input Cells 15 11" xfId="21259"/>
    <cellStyle name="Input Cells 15 12" xfId="22056"/>
    <cellStyle name="Input Cells 15 13" xfId="26901"/>
    <cellStyle name="Input Cells 15 14" xfId="30229"/>
    <cellStyle name="Input Cells 15 15" xfId="32004"/>
    <cellStyle name="Input Cells 15 16" xfId="33759"/>
    <cellStyle name="Input Cells 15 17" xfId="35472"/>
    <cellStyle name="Input Cells 15 18" xfId="37116"/>
    <cellStyle name="Input Cells 15 19" xfId="38672"/>
    <cellStyle name="Input Cells 15 2" xfId="12973"/>
    <cellStyle name="Input Cells 15 20" xfId="40106"/>
    <cellStyle name="Input Cells 15 21" xfId="41353"/>
    <cellStyle name="Input Cells 15 22" xfId="42404"/>
    <cellStyle name="Input Cells 15 3" xfId="14099"/>
    <cellStyle name="Input Cells 15 4" xfId="15029"/>
    <cellStyle name="Input Cells 15 5" xfId="15956"/>
    <cellStyle name="Input Cells 15 6" xfId="16886"/>
    <cellStyle name="Input Cells 15 7" xfId="17794"/>
    <cellStyle name="Input Cells 15 8" xfId="18684"/>
    <cellStyle name="Input Cells 15 9" xfId="19562"/>
    <cellStyle name="Input Cells 16" xfId="10939"/>
    <cellStyle name="Input Cells 16 10" xfId="20503"/>
    <cellStyle name="Input Cells 16 11" xfId="21339"/>
    <cellStyle name="Input Cells 16 12" xfId="22133"/>
    <cellStyle name="Input Cells 16 13" xfId="26293"/>
    <cellStyle name="Input Cells 16 14" xfId="29624"/>
    <cellStyle name="Input Cells 16 15" xfId="31399"/>
    <cellStyle name="Input Cells 16 16" xfId="33162"/>
    <cellStyle name="Input Cells 16 17" xfId="34880"/>
    <cellStyle name="Input Cells 16 18" xfId="36533"/>
    <cellStyle name="Input Cells 16 19" xfId="38107"/>
    <cellStyle name="Input Cells 16 2" xfId="13053"/>
    <cellStyle name="Input Cells 16 20" xfId="39560"/>
    <cellStyle name="Input Cells 16 21" xfId="40833"/>
    <cellStyle name="Input Cells 16 22" xfId="41912"/>
    <cellStyle name="Input Cells 16 3" xfId="14179"/>
    <cellStyle name="Input Cells 16 4" xfId="15108"/>
    <cellStyle name="Input Cells 16 5" xfId="16036"/>
    <cellStyle name="Input Cells 16 6" xfId="16966"/>
    <cellStyle name="Input Cells 16 7" xfId="17874"/>
    <cellStyle name="Input Cells 16 8" xfId="18764"/>
    <cellStyle name="Input Cells 16 9" xfId="19642"/>
    <cellStyle name="Input Cells 17" xfId="10578"/>
    <cellStyle name="Input Cells 17 10" xfId="20582"/>
    <cellStyle name="Input Cells 17 11" xfId="21419"/>
    <cellStyle name="Input Cells 17 12" xfId="22210"/>
    <cellStyle name="Input Cells 17 13" xfId="26673"/>
    <cellStyle name="Input Cells 17 14" xfId="30002"/>
    <cellStyle name="Input Cells 17 15" xfId="31777"/>
    <cellStyle name="Input Cells 17 16" xfId="33535"/>
    <cellStyle name="Input Cells 17 17" xfId="35249"/>
    <cellStyle name="Input Cells 17 18" xfId="36896"/>
    <cellStyle name="Input Cells 17 19" xfId="38459"/>
    <cellStyle name="Input Cells 17 2" xfId="13133"/>
    <cellStyle name="Input Cells 17 20" xfId="39900"/>
    <cellStyle name="Input Cells 17 21" xfId="41154"/>
    <cellStyle name="Input Cells 17 22" xfId="42214"/>
    <cellStyle name="Input Cells 17 3" xfId="14259"/>
    <cellStyle name="Input Cells 17 4" xfId="15187"/>
    <cellStyle name="Input Cells 17 5" xfId="16116"/>
    <cellStyle name="Input Cells 17 6" xfId="17046"/>
    <cellStyle name="Input Cells 17 7" xfId="17954"/>
    <cellStyle name="Input Cells 17 8" xfId="18844"/>
    <cellStyle name="Input Cells 17 9" xfId="19722"/>
    <cellStyle name="Input Cells 18" xfId="11181"/>
    <cellStyle name="Input Cells 18 10" xfId="20661"/>
    <cellStyle name="Input Cells 18 11" xfId="21499"/>
    <cellStyle name="Input Cells 18 12" xfId="22287"/>
    <cellStyle name="Input Cells 18 13" xfId="26423"/>
    <cellStyle name="Input Cells 18 14" xfId="29754"/>
    <cellStyle name="Input Cells 18 15" xfId="31529"/>
    <cellStyle name="Input Cells 18 16" xfId="33288"/>
    <cellStyle name="Input Cells 18 17" xfId="35005"/>
    <cellStyle name="Input Cells 18 18" xfId="36656"/>
    <cellStyle name="Input Cells 18 19" xfId="38225"/>
    <cellStyle name="Input Cells 18 2" xfId="13213"/>
    <cellStyle name="Input Cells 18 20" xfId="39675"/>
    <cellStyle name="Input Cells 18 21" xfId="40943"/>
    <cellStyle name="Input Cells 18 22" xfId="42017"/>
    <cellStyle name="Input Cells 18 3" xfId="14338"/>
    <cellStyle name="Input Cells 18 4" xfId="15266"/>
    <cellStyle name="Input Cells 18 5" xfId="16196"/>
    <cellStyle name="Input Cells 18 6" xfId="17126"/>
    <cellStyle name="Input Cells 18 7" xfId="18034"/>
    <cellStyle name="Input Cells 18 8" xfId="18924"/>
    <cellStyle name="Input Cells 18 9" xfId="19801"/>
    <cellStyle name="Input Cells 19" xfId="11374"/>
    <cellStyle name="Input Cells 19 10" xfId="20740"/>
    <cellStyle name="Input Cells 19 11" xfId="21578"/>
    <cellStyle name="Input Cells 19 12" xfId="22364"/>
    <cellStyle name="Input Cells 19 13" xfId="26938"/>
    <cellStyle name="Input Cells 19 14" xfId="30266"/>
    <cellStyle name="Input Cells 19 15" xfId="32041"/>
    <cellStyle name="Input Cells 19 16" xfId="33796"/>
    <cellStyle name="Input Cells 19 17" xfId="35509"/>
    <cellStyle name="Input Cells 19 18" xfId="37153"/>
    <cellStyle name="Input Cells 19 19" xfId="38709"/>
    <cellStyle name="Input Cells 19 2" xfId="13293"/>
    <cellStyle name="Input Cells 19 20" xfId="40143"/>
    <cellStyle name="Input Cells 19 21" xfId="41388"/>
    <cellStyle name="Input Cells 19 22" xfId="42438"/>
    <cellStyle name="Input Cells 19 3" xfId="14417"/>
    <cellStyle name="Input Cells 19 4" xfId="15346"/>
    <cellStyle name="Input Cells 19 5" xfId="16275"/>
    <cellStyle name="Input Cells 19 6" xfId="17205"/>
    <cellStyle name="Input Cells 19 7" xfId="18113"/>
    <cellStyle name="Input Cells 19 8" xfId="19003"/>
    <cellStyle name="Input Cells 19 9" xfId="19880"/>
    <cellStyle name="Input Cells 2" xfId="8766"/>
    <cellStyle name="Input Cells 2 10" xfId="12247"/>
    <cellStyle name="Input Cells 2 11" xfId="11799"/>
    <cellStyle name="Input Cells 2 12" xfId="10462"/>
    <cellStyle name="Input Cells 2 13" xfId="11080"/>
    <cellStyle name="Input Cells 2 14" xfId="14045"/>
    <cellStyle name="Input Cells 2 15" xfId="11762"/>
    <cellStyle name="Input Cells 2 16" xfId="16722"/>
    <cellStyle name="Input Cells 2 17" xfId="17637"/>
    <cellStyle name="Input Cells 2 18" xfId="18540"/>
    <cellStyle name="Input Cells 2 19" xfId="19418"/>
    <cellStyle name="Input Cells 2 2" xfId="9441"/>
    <cellStyle name="Input Cells 2 2 2" xfId="9593"/>
    <cellStyle name="Input Cells 2 20" xfId="19510"/>
    <cellStyle name="Input Cells 2 21" xfId="16731"/>
    <cellStyle name="Input Cells 2 22" xfId="21961"/>
    <cellStyle name="Input Cells 2 23" xfId="23061"/>
    <cellStyle name="Input Cells 2 24" xfId="23395"/>
    <cellStyle name="Input Cells 2 25" xfId="28660"/>
    <cellStyle name="Input Cells 2 26" xfId="30450"/>
    <cellStyle name="Input Cells 2 27" xfId="32225"/>
    <cellStyle name="Input Cells 2 28" xfId="33979"/>
    <cellStyle name="Input Cells 2 29" xfId="35691"/>
    <cellStyle name="Input Cells 2 3" xfId="10374"/>
    <cellStyle name="Input Cells 2 30" xfId="37333"/>
    <cellStyle name="Input Cells 2 31" xfId="38888"/>
    <cellStyle name="Input Cells 2 32" xfId="40317"/>
    <cellStyle name="Input Cells 2 4" xfId="10986"/>
    <cellStyle name="Input Cells 2 5" xfId="11027"/>
    <cellStyle name="Input Cells 2 6" xfId="10889"/>
    <cellStyle name="Input Cells 2 7" xfId="11008"/>
    <cellStyle name="Input Cells 2 8" xfId="10662"/>
    <cellStyle name="Input Cells 2 9" xfId="9382"/>
    <cellStyle name="Input Cells 20" xfId="11564"/>
    <cellStyle name="Input Cells 20 10" xfId="20819"/>
    <cellStyle name="Input Cells 20 11" xfId="21658"/>
    <cellStyle name="Input Cells 20 12" xfId="22442"/>
    <cellStyle name="Input Cells 20 13" xfId="26303"/>
    <cellStyle name="Input Cells 20 14" xfId="29634"/>
    <cellStyle name="Input Cells 20 15" xfId="31409"/>
    <cellStyle name="Input Cells 20 16" xfId="33172"/>
    <cellStyle name="Input Cells 20 17" xfId="34890"/>
    <cellStyle name="Input Cells 20 18" xfId="36543"/>
    <cellStyle name="Input Cells 20 19" xfId="38117"/>
    <cellStyle name="Input Cells 20 2" xfId="13373"/>
    <cellStyle name="Input Cells 20 20" xfId="39570"/>
    <cellStyle name="Input Cells 20 21" xfId="40843"/>
    <cellStyle name="Input Cells 20 22" xfId="41922"/>
    <cellStyle name="Input Cells 20 3" xfId="14497"/>
    <cellStyle name="Input Cells 20 4" xfId="15424"/>
    <cellStyle name="Input Cells 20 5" xfId="16355"/>
    <cellStyle name="Input Cells 20 6" xfId="17285"/>
    <cellStyle name="Input Cells 20 7" xfId="18193"/>
    <cellStyle name="Input Cells 20 8" xfId="19083"/>
    <cellStyle name="Input Cells 20 9" xfId="19960"/>
    <cellStyle name="Input Cells 21" xfId="11744"/>
    <cellStyle name="Input Cells 21 10" xfId="20897"/>
    <cellStyle name="Input Cells 21 11" xfId="21738"/>
    <cellStyle name="Input Cells 21 12" xfId="22520"/>
    <cellStyle name="Input Cells 21 13" xfId="26768"/>
    <cellStyle name="Input Cells 21 14" xfId="30098"/>
    <cellStyle name="Input Cells 21 15" xfId="31873"/>
    <cellStyle name="Input Cells 21 16" xfId="33629"/>
    <cellStyle name="Input Cells 21 17" xfId="35342"/>
    <cellStyle name="Input Cells 21 18" xfId="36988"/>
    <cellStyle name="Input Cells 21 19" xfId="38549"/>
    <cellStyle name="Input Cells 21 2" xfId="13453"/>
    <cellStyle name="Input Cells 21 20" xfId="39988"/>
    <cellStyle name="Input Cells 21 21" xfId="41240"/>
    <cellStyle name="Input Cells 21 22" xfId="42296"/>
    <cellStyle name="Input Cells 21 3" xfId="14576"/>
    <cellStyle name="Input Cells 21 4" xfId="15504"/>
    <cellStyle name="Input Cells 21 5" xfId="16435"/>
    <cellStyle name="Input Cells 21 6" xfId="17365"/>
    <cellStyle name="Input Cells 21 7" xfId="18273"/>
    <cellStyle name="Input Cells 21 8" xfId="19163"/>
    <cellStyle name="Input Cells 21 9" xfId="20039"/>
    <cellStyle name="Input Cells 22" xfId="10566"/>
    <cellStyle name="Input Cells 22 10" xfId="20975"/>
    <cellStyle name="Input Cells 22 11" xfId="21815"/>
    <cellStyle name="Input Cells 22 12" xfId="22596"/>
    <cellStyle name="Input Cells 22 13" xfId="26434"/>
    <cellStyle name="Input Cells 22 14" xfId="29765"/>
    <cellStyle name="Input Cells 22 15" xfId="31540"/>
    <cellStyle name="Input Cells 22 16" xfId="33299"/>
    <cellStyle name="Input Cells 22 17" xfId="35016"/>
    <cellStyle name="Input Cells 22 18" xfId="36667"/>
    <cellStyle name="Input Cells 22 19" xfId="38236"/>
    <cellStyle name="Input Cells 22 2" xfId="13533"/>
    <cellStyle name="Input Cells 22 20" xfId="39686"/>
    <cellStyle name="Input Cells 22 21" xfId="40954"/>
    <cellStyle name="Input Cells 22 22" xfId="42028"/>
    <cellStyle name="Input Cells 22 3" xfId="14655"/>
    <cellStyle name="Input Cells 22 4" xfId="15583"/>
    <cellStyle name="Input Cells 22 5" xfId="16514"/>
    <cellStyle name="Input Cells 22 6" xfId="17443"/>
    <cellStyle name="Input Cells 22 7" xfId="18352"/>
    <cellStyle name="Input Cells 22 8" xfId="19241"/>
    <cellStyle name="Input Cells 22 9" xfId="20115"/>
    <cellStyle name="Input Cells 23" xfId="12046"/>
    <cellStyle name="Input Cells 23 10" xfId="21043"/>
    <cellStyle name="Input Cells 23 11" xfId="21879"/>
    <cellStyle name="Input Cells 23 12" xfId="22660"/>
    <cellStyle name="Input Cells 23 2" xfId="13613"/>
    <cellStyle name="Input Cells 23 3" xfId="14731"/>
    <cellStyle name="Input Cells 23 4" xfId="15658"/>
    <cellStyle name="Input Cells 23 5" xfId="16588"/>
    <cellStyle name="Input Cells 23 6" xfId="17517"/>
    <cellStyle name="Input Cells 23 7" xfId="18421"/>
    <cellStyle name="Input Cells 23 8" xfId="19309"/>
    <cellStyle name="Input Cells 23 9" xfId="20184"/>
    <cellStyle name="Input Cells 24" xfId="11106"/>
    <cellStyle name="Input Cells 24 10" xfId="21096"/>
    <cellStyle name="Input Cells 24 11" xfId="21929"/>
    <cellStyle name="Input Cells 24 12" xfId="22710"/>
    <cellStyle name="Input Cells 24 2" xfId="13691"/>
    <cellStyle name="Input Cells 24 3" xfId="14798"/>
    <cellStyle name="Input Cells 24 4" xfId="15729"/>
    <cellStyle name="Input Cells 24 5" xfId="16657"/>
    <cellStyle name="Input Cells 24 6" xfId="17584"/>
    <cellStyle name="Input Cells 24 7" xfId="18488"/>
    <cellStyle name="Input Cells 24 8" xfId="19371"/>
    <cellStyle name="Input Cells 24 9" xfId="20243"/>
    <cellStyle name="Input Cells 25" xfId="13757"/>
    <cellStyle name="Input Cells 26" xfId="13809"/>
    <cellStyle name="Input Cells 27" xfId="12685"/>
    <cellStyle name="Input Cells 28" xfId="12804"/>
    <cellStyle name="Input Cells 29" xfId="14747"/>
    <cellStyle name="Input Cells 3" xfId="8852"/>
    <cellStyle name="Input Cells 30" xfId="15785"/>
    <cellStyle name="Input Cells 31" xfId="14958"/>
    <cellStyle name="Input Cells 32" xfId="11806"/>
    <cellStyle name="Input Cells 33" xfId="13900"/>
    <cellStyle name="Input Cells 34" xfId="13924"/>
    <cellStyle name="Input Cells 35" xfId="17530"/>
    <cellStyle name="Input Cells 36" xfId="19414"/>
    <cellStyle name="Input Cells 37" xfId="22869"/>
    <cellStyle name="Input Cells 38" xfId="26602"/>
    <cellStyle name="Input Cells 39" xfId="29536"/>
    <cellStyle name="Input Cells 4" xfId="8838"/>
    <cellStyle name="Input Cells 40" xfId="31312"/>
    <cellStyle name="Input Cells 41" xfId="33076"/>
    <cellStyle name="Input Cells 42" xfId="34795"/>
    <cellStyle name="Input Cells 43" xfId="36450"/>
    <cellStyle name="Input Cells 44" xfId="38033"/>
    <cellStyle name="Input Cells 45" xfId="39495"/>
    <cellStyle name="Input Cells 46" xfId="40786"/>
    <cellStyle name="Input Cells 47" xfId="7848"/>
    <cellStyle name="Input Cells 5" xfId="8930"/>
    <cellStyle name="Input Cells 6" xfId="9008"/>
    <cellStyle name="Input Cells 7" xfId="9076"/>
    <cellStyle name="Input Cells 8" xfId="9291"/>
    <cellStyle name="Input Cells 9" xfId="9766"/>
    <cellStyle name="Komma [0]_laroux" xfId="3784"/>
    <cellStyle name="Komma_laroux" xfId="3785"/>
    <cellStyle name="Link Currency (0)" xfId="3786"/>
    <cellStyle name="Link Currency (0) 10" xfId="9852"/>
    <cellStyle name="Link Currency (0) 11" xfId="9937"/>
    <cellStyle name="Link Currency (0) 12" xfId="10021"/>
    <cellStyle name="Link Currency (0) 13" xfId="10092"/>
    <cellStyle name="Link Currency (0) 14" xfId="10148"/>
    <cellStyle name="Link Currency (0) 15" xfId="10187"/>
    <cellStyle name="Link Currency (0) 15 10" xfId="20424"/>
    <cellStyle name="Link Currency (0) 15 11" xfId="21260"/>
    <cellStyle name="Link Currency (0) 15 12" xfId="22057"/>
    <cellStyle name="Link Currency (0) 15 13" xfId="26899"/>
    <cellStyle name="Link Currency (0) 15 14" xfId="30227"/>
    <cellStyle name="Link Currency (0) 15 15" xfId="32002"/>
    <cellStyle name="Link Currency (0) 15 16" xfId="33757"/>
    <cellStyle name="Link Currency (0) 15 17" xfId="35470"/>
    <cellStyle name="Link Currency (0) 15 18" xfId="37114"/>
    <cellStyle name="Link Currency (0) 15 19" xfId="38670"/>
    <cellStyle name="Link Currency (0) 15 2" xfId="12974"/>
    <cellStyle name="Link Currency (0) 15 20" xfId="40104"/>
    <cellStyle name="Link Currency (0) 15 21" xfId="41351"/>
    <cellStyle name="Link Currency (0) 15 22" xfId="42402"/>
    <cellStyle name="Link Currency (0) 15 3" xfId="14100"/>
    <cellStyle name="Link Currency (0) 15 4" xfId="15030"/>
    <cellStyle name="Link Currency (0) 15 5" xfId="15957"/>
    <cellStyle name="Link Currency (0) 15 6" xfId="16887"/>
    <cellStyle name="Link Currency (0) 15 7" xfId="17795"/>
    <cellStyle name="Link Currency (0) 15 8" xfId="18685"/>
    <cellStyle name="Link Currency (0) 15 9" xfId="19563"/>
    <cellStyle name="Link Currency (0) 16" xfId="10793"/>
    <cellStyle name="Link Currency (0) 16 10" xfId="20504"/>
    <cellStyle name="Link Currency (0) 16 11" xfId="21340"/>
    <cellStyle name="Link Currency (0) 16 12" xfId="22134"/>
    <cellStyle name="Link Currency (0) 16 13" xfId="26294"/>
    <cellStyle name="Link Currency (0) 16 14" xfId="29625"/>
    <cellStyle name="Link Currency (0) 16 15" xfId="31400"/>
    <cellStyle name="Link Currency (0) 16 16" xfId="33163"/>
    <cellStyle name="Link Currency (0) 16 17" xfId="34881"/>
    <cellStyle name="Link Currency (0) 16 18" xfId="36534"/>
    <cellStyle name="Link Currency (0) 16 19" xfId="38108"/>
    <cellStyle name="Link Currency (0) 16 2" xfId="13054"/>
    <cellStyle name="Link Currency (0) 16 20" xfId="39561"/>
    <cellStyle name="Link Currency (0) 16 21" xfId="40834"/>
    <cellStyle name="Link Currency (0) 16 22" xfId="41913"/>
    <cellStyle name="Link Currency (0) 16 3" xfId="14180"/>
    <cellStyle name="Link Currency (0) 16 4" xfId="15109"/>
    <cellStyle name="Link Currency (0) 16 5" xfId="16037"/>
    <cellStyle name="Link Currency (0) 16 6" xfId="16967"/>
    <cellStyle name="Link Currency (0) 16 7" xfId="17875"/>
    <cellStyle name="Link Currency (0) 16 8" xfId="18765"/>
    <cellStyle name="Link Currency (0) 16 9" xfId="19643"/>
    <cellStyle name="Link Currency (0) 17" xfId="10754"/>
    <cellStyle name="Link Currency (0) 17 10" xfId="20583"/>
    <cellStyle name="Link Currency (0) 17 11" xfId="21420"/>
    <cellStyle name="Link Currency (0) 17 12" xfId="22211"/>
    <cellStyle name="Link Currency (0) 17 13" xfId="26672"/>
    <cellStyle name="Link Currency (0) 17 14" xfId="30001"/>
    <cellStyle name="Link Currency (0) 17 15" xfId="31776"/>
    <cellStyle name="Link Currency (0) 17 16" xfId="33534"/>
    <cellStyle name="Link Currency (0) 17 17" xfId="35248"/>
    <cellStyle name="Link Currency (0) 17 18" xfId="36895"/>
    <cellStyle name="Link Currency (0) 17 19" xfId="38458"/>
    <cellStyle name="Link Currency (0) 17 2" xfId="13134"/>
    <cellStyle name="Link Currency (0) 17 20" xfId="39899"/>
    <cellStyle name="Link Currency (0) 17 21" xfId="41153"/>
    <cellStyle name="Link Currency (0) 17 22" xfId="42213"/>
    <cellStyle name="Link Currency (0) 17 3" xfId="14260"/>
    <cellStyle name="Link Currency (0) 17 4" xfId="15188"/>
    <cellStyle name="Link Currency (0) 17 5" xfId="16117"/>
    <cellStyle name="Link Currency (0) 17 6" xfId="17047"/>
    <cellStyle name="Link Currency (0) 17 7" xfId="17955"/>
    <cellStyle name="Link Currency (0) 17 8" xfId="18845"/>
    <cellStyle name="Link Currency (0) 17 9" xfId="19723"/>
    <cellStyle name="Link Currency (0) 18" xfId="10438"/>
    <cellStyle name="Link Currency (0) 18 10" xfId="20662"/>
    <cellStyle name="Link Currency (0) 18 11" xfId="21500"/>
    <cellStyle name="Link Currency (0) 18 12" xfId="22288"/>
    <cellStyle name="Link Currency (0) 18 13" xfId="26424"/>
    <cellStyle name="Link Currency (0) 18 14" xfId="29755"/>
    <cellStyle name="Link Currency (0) 18 15" xfId="31530"/>
    <cellStyle name="Link Currency (0) 18 16" xfId="33289"/>
    <cellStyle name="Link Currency (0) 18 17" xfId="35006"/>
    <cellStyle name="Link Currency (0) 18 18" xfId="36657"/>
    <cellStyle name="Link Currency (0) 18 19" xfId="38226"/>
    <cellStyle name="Link Currency (0) 18 2" xfId="13214"/>
    <cellStyle name="Link Currency (0) 18 20" xfId="39676"/>
    <cellStyle name="Link Currency (0) 18 21" xfId="40944"/>
    <cellStyle name="Link Currency (0) 18 22" xfId="42018"/>
    <cellStyle name="Link Currency (0) 18 3" xfId="14339"/>
    <cellStyle name="Link Currency (0) 18 4" xfId="15267"/>
    <cellStyle name="Link Currency (0) 18 5" xfId="16197"/>
    <cellStyle name="Link Currency (0) 18 6" xfId="17127"/>
    <cellStyle name="Link Currency (0) 18 7" xfId="18035"/>
    <cellStyle name="Link Currency (0) 18 8" xfId="18925"/>
    <cellStyle name="Link Currency (0) 18 9" xfId="19802"/>
    <cellStyle name="Link Currency (0) 19" xfId="10683"/>
    <cellStyle name="Link Currency (0) 19 10" xfId="20741"/>
    <cellStyle name="Link Currency (0) 19 11" xfId="21579"/>
    <cellStyle name="Link Currency (0) 19 12" xfId="22365"/>
    <cellStyle name="Link Currency (0) 19 13" xfId="26804"/>
    <cellStyle name="Link Currency (0) 19 14" xfId="30132"/>
    <cellStyle name="Link Currency (0) 19 15" xfId="31907"/>
    <cellStyle name="Link Currency (0) 19 16" xfId="33662"/>
    <cellStyle name="Link Currency (0) 19 17" xfId="35375"/>
    <cellStyle name="Link Currency (0) 19 18" xfId="37020"/>
    <cellStyle name="Link Currency (0) 19 19" xfId="38579"/>
    <cellStyle name="Link Currency (0) 19 2" xfId="13294"/>
    <cellStyle name="Link Currency (0) 19 20" xfId="40015"/>
    <cellStyle name="Link Currency (0) 19 21" xfId="41265"/>
    <cellStyle name="Link Currency (0) 19 22" xfId="42317"/>
    <cellStyle name="Link Currency (0) 19 3" xfId="14418"/>
    <cellStyle name="Link Currency (0) 19 4" xfId="15347"/>
    <cellStyle name="Link Currency (0) 19 5" xfId="16276"/>
    <cellStyle name="Link Currency (0) 19 6" xfId="17206"/>
    <cellStyle name="Link Currency (0) 19 7" xfId="18114"/>
    <cellStyle name="Link Currency (0) 19 8" xfId="19004"/>
    <cellStyle name="Link Currency (0) 19 9" xfId="19881"/>
    <cellStyle name="Link Currency (0) 2" xfId="3787"/>
    <cellStyle name="Link Currency (0) 2 10" xfId="11275"/>
    <cellStyle name="Link Currency (0) 2 11" xfId="10954"/>
    <cellStyle name="Link Currency (0) 2 12" xfId="12485"/>
    <cellStyle name="Link Currency (0) 2 13" xfId="12105"/>
    <cellStyle name="Link Currency (0) 2 14" xfId="13973"/>
    <cellStyle name="Link Currency (0) 2 15" xfId="12424"/>
    <cellStyle name="Link Currency (0) 2 16" xfId="15902"/>
    <cellStyle name="Link Currency (0) 2 17" xfId="16831"/>
    <cellStyle name="Link Currency (0) 2 18" xfId="17741"/>
    <cellStyle name="Link Currency (0) 2 19" xfId="18633"/>
    <cellStyle name="Link Currency (0) 2 2" xfId="4034"/>
    <cellStyle name="Link Currency (0) 2 2 2" xfId="9594"/>
    <cellStyle name="Link Currency (0) 2 2 3" xfId="9442"/>
    <cellStyle name="Link Currency (0) 2 20" xfId="11088"/>
    <cellStyle name="Link Currency (0) 2 21" xfId="17696"/>
    <cellStyle name="Link Currency (0) 2 22" xfId="21211"/>
    <cellStyle name="Link Currency (0) 2 23" xfId="23062"/>
    <cellStyle name="Link Currency (0) 2 24" xfId="23313"/>
    <cellStyle name="Link Currency (0) 2 25" xfId="28658"/>
    <cellStyle name="Link Currency (0) 2 26" xfId="30448"/>
    <cellStyle name="Link Currency (0) 2 27" xfId="32223"/>
    <cellStyle name="Link Currency (0) 2 28" xfId="33977"/>
    <cellStyle name="Link Currency (0) 2 29" xfId="35689"/>
    <cellStyle name="Link Currency (0) 2 3" xfId="10375"/>
    <cellStyle name="Link Currency (0) 2 30" xfId="37331"/>
    <cellStyle name="Link Currency (0) 2 31" xfId="38886"/>
    <cellStyle name="Link Currency (0) 2 32" xfId="40315"/>
    <cellStyle name="Link Currency (0) 2 33" xfId="8767"/>
    <cellStyle name="Link Currency (0) 2 34" xfId="7746"/>
    <cellStyle name="Link Currency (0) 2 4" xfId="10199"/>
    <cellStyle name="Link Currency (0) 2 5" xfId="10219"/>
    <cellStyle name="Link Currency (0) 2 6" xfId="11149"/>
    <cellStyle name="Link Currency (0) 2 7" xfId="11343"/>
    <cellStyle name="Link Currency (0) 2 8" xfId="11534"/>
    <cellStyle name="Link Currency (0) 2 9" xfId="11714"/>
    <cellStyle name="Link Currency (0) 20" xfId="10698"/>
    <cellStyle name="Link Currency (0) 20 10" xfId="20820"/>
    <cellStyle name="Link Currency (0) 20 11" xfId="21659"/>
    <cellStyle name="Link Currency (0) 20 12" xfId="22443"/>
    <cellStyle name="Link Currency (0) 20 13" xfId="26304"/>
    <cellStyle name="Link Currency (0) 20 14" xfId="29635"/>
    <cellStyle name="Link Currency (0) 20 15" xfId="31410"/>
    <cellStyle name="Link Currency (0) 20 16" xfId="33173"/>
    <cellStyle name="Link Currency (0) 20 17" xfId="34891"/>
    <cellStyle name="Link Currency (0) 20 18" xfId="36544"/>
    <cellStyle name="Link Currency (0) 20 19" xfId="38118"/>
    <cellStyle name="Link Currency (0) 20 2" xfId="13374"/>
    <cellStyle name="Link Currency (0) 20 20" xfId="39571"/>
    <cellStyle name="Link Currency (0) 20 21" xfId="40844"/>
    <cellStyle name="Link Currency (0) 20 22" xfId="41923"/>
    <cellStyle name="Link Currency (0) 20 3" xfId="14498"/>
    <cellStyle name="Link Currency (0) 20 4" xfId="15425"/>
    <cellStyle name="Link Currency (0) 20 5" xfId="16356"/>
    <cellStyle name="Link Currency (0) 20 6" xfId="17286"/>
    <cellStyle name="Link Currency (0) 20 7" xfId="18194"/>
    <cellStyle name="Link Currency (0) 20 8" xfId="19084"/>
    <cellStyle name="Link Currency (0) 20 9" xfId="19961"/>
    <cellStyle name="Link Currency (0) 21" xfId="10306"/>
    <cellStyle name="Link Currency (0) 21 10" xfId="20898"/>
    <cellStyle name="Link Currency (0) 21 11" xfId="21739"/>
    <cellStyle name="Link Currency (0) 21 12" xfId="22521"/>
    <cellStyle name="Link Currency (0) 21 13" xfId="26767"/>
    <cellStyle name="Link Currency (0) 21 14" xfId="30097"/>
    <cellStyle name="Link Currency (0) 21 15" xfId="31872"/>
    <cellStyle name="Link Currency (0) 21 16" xfId="33628"/>
    <cellStyle name="Link Currency (0) 21 17" xfId="35341"/>
    <cellStyle name="Link Currency (0) 21 18" xfId="36987"/>
    <cellStyle name="Link Currency (0) 21 19" xfId="38548"/>
    <cellStyle name="Link Currency (0) 21 2" xfId="13454"/>
    <cellStyle name="Link Currency (0) 21 20" xfId="39987"/>
    <cellStyle name="Link Currency (0) 21 21" xfId="41239"/>
    <cellStyle name="Link Currency (0) 21 22" xfId="42295"/>
    <cellStyle name="Link Currency (0) 21 3" xfId="14577"/>
    <cellStyle name="Link Currency (0) 21 4" xfId="15505"/>
    <cellStyle name="Link Currency (0) 21 5" xfId="16436"/>
    <cellStyle name="Link Currency (0) 21 6" xfId="17366"/>
    <cellStyle name="Link Currency (0) 21 7" xfId="18274"/>
    <cellStyle name="Link Currency (0) 21 8" xfId="19164"/>
    <cellStyle name="Link Currency (0) 21 9" xfId="20040"/>
    <cellStyle name="Link Currency (0) 22" xfId="11470"/>
    <cellStyle name="Link Currency (0) 22 10" xfId="20976"/>
    <cellStyle name="Link Currency (0) 22 11" xfId="21816"/>
    <cellStyle name="Link Currency (0) 22 12" xfId="22597"/>
    <cellStyle name="Link Currency (0) 22 13" xfId="26435"/>
    <cellStyle name="Link Currency (0) 22 14" xfId="29766"/>
    <cellStyle name="Link Currency (0) 22 15" xfId="31541"/>
    <cellStyle name="Link Currency (0) 22 16" xfId="33300"/>
    <cellStyle name="Link Currency (0) 22 17" xfId="35017"/>
    <cellStyle name="Link Currency (0) 22 18" xfId="36668"/>
    <cellStyle name="Link Currency (0) 22 19" xfId="38237"/>
    <cellStyle name="Link Currency (0) 22 2" xfId="13534"/>
    <cellStyle name="Link Currency (0) 22 20" xfId="39687"/>
    <cellStyle name="Link Currency (0) 22 21" xfId="40955"/>
    <cellStyle name="Link Currency (0) 22 22" xfId="42029"/>
    <cellStyle name="Link Currency (0) 22 3" xfId="14656"/>
    <cellStyle name="Link Currency (0) 22 4" xfId="15584"/>
    <cellStyle name="Link Currency (0) 22 5" xfId="16515"/>
    <cellStyle name="Link Currency (0) 22 6" xfId="17444"/>
    <cellStyle name="Link Currency (0) 22 7" xfId="18353"/>
    <cellStyle name="Link Currency (0) 22 8" xfId="19242"/>
    <cellStyle name="Link Currency (0) 22 9" xfId="20116"/>
    <cellStyle name="Link Currency (0) 23" xfId="10895"/>
    <cellStyle name="Link Currency (0) 23 10" xfId="21044"/>
    <cellStyle name="Link Currency (0) 23 11" xfId="21880"/>
    <cellStyle name="Link Currency (0) 23 12" xfId="22661"/>
    <cellStyle name="Link Currency (0) 23 2" xfId="13614"/>
    <cellStyle name="Link Currency (0) 23 3" xfId="14732"/>
    <cellStyle name="Link Currency (0) 23 4" xfId="15659"/>
    <cellStyle name="Link Currency (0) 23 5" xfId="16589"/>
    <cellStyle name="Link Currency (0) 23 6" xfId="17518"/>
    <cellStyle name="Link Currency (0) 23 7" xfId="18422"/>
    <cellStyle name="Link Currency (0) 23 8" xfId="19310"/>
    <cellStyle name="Link Currency (0) 23 9" xfId="20185"/>
    <cellStyle name="Link Currency (0) 24" xfId="10636"/>
    <cellStyle name="Link Currency (0) 24 10" xfId="21097"/>
    <cellStyle name="Link Currency (0) 24 11" xfId="21930"/>
    <cellStyle name="Link Currency (0) 24 12" xfId="22711"/>
    <cellStyle name="Link Currency (0) 24 2" xfId="13692"/>
    <cellStyle name="Link Currency (0) 24 3" xfId="14799"/>
    <cellStyle name="Link Currency (0) 24 4" xfId="15730"/>
    <cellStyle name="Link Currency (0) 24 5" xfId="16658"/>
    <cellStyle name="Link Currency (0) 24 6" xfId="17585"/>
    <cellStyle name="Link Currency (0) 24 7" xfId="18489"/>
    <cellStyle name="Link Currency (0) 24 8" xfId="19372"/>
    <cellStyle name="Link Currency (0) 24 9" xfId="20244"/>
    <cellStyle name="Link Currency (0) 25" xfId="13758"/>
    <cellStyle name="Link Currency (0) 26" xfId="13810"/>
    <cellStyle name="Link Currency (0) 27" xfId="11699"/>
    <cellStyle name="Link Currency (0) 28" xfId="12264"/>
    <cellStyle name="Link Currency (0) 29" xfId="10713"/>
    <cellStyle name="Link Currency (0) 3" xfId="3788"/>
    <cellStyle name="Link Currency (0) 3 2" xfId="4035"/>
    <cellStyle name="Link Currency (0) 3 2 2" xfId="8853"/>
    <cellStyle name="Link Currency (0) 3 3" xfId="7747"/>
    <cellStyle name="Link Currency (0) 30" xfId="14034"/>
    <cellStyle name="Link Currency (0) 31" xfId="15772"/>
    <cellStyle name="Link Currency (0) 32" xfId="15818"/>
    <cellStyle name="Link Currency (0) 33" xfId="14725"/>
    <cellStyle name="Link Currency (0) 34" xfId="17742"/>
    <cellStyle name="Link Currency (0) 35" xfId="15596"/>
    <cellStyle name="Link Currency (0) 36" xfId="19354"/>
    <cellStyle name="Link Currency (0) 37" xfId="22870"/>
    <cellStyle name="Link Currency (0) 38" xfId="23699"/>
    <cellStyle name="Link Currency (0) 39" xfId="29535"/>
    <cellStyle name="Link Currency (0) 4" xfId="8839"/>
    <cellStyle name="Link Currency (0) 40" xfId="31311"/>
    <cellStyle name="Link Currency (0) 41" xfId="33075"/>
    <cellStyle name="Link Currency (0) 42" xfId="34794"/>
    <cellStyle name="Link Currency (0) 43" xfId="36449"/>
    <cellStyle name="Link Currency (0) 44" xfId="38032"/>
    <cellStyle name="Link Currency (0) 45" xfId="39494"/>
    <cellStyle name="Link Currency (0) 46" xfId="40785"/>
    <cellStyle name="Link Currency (0) 47" xfId="7849"/>
    <cellStyle name="Link Currency (0) 48" xfId="7745"/>
    <cellStyle name="Link Currency (0) 5" xfId="8931"/>
    <cellStyle name="Link Currency (0) 6" xfId="9009"/>
    <cellStyle name="Link Currency (0) 7" xfId="9077"/>
    <cellStyle name="Link Currency (0) 8" xfId="9292"/>
    <cellStyle name="Link Currency (0) 9" xfId="9767"/>
    <cellStyle name="Link Currency (2)" xfId="3789"/>
    <cellStyle name="Link Currency (2) 10" xfId="9853"/>
    <cellStyle name="Link Currency (2) 11" xfId="9938"/>
    <cellStyle name="Link Currency (2) 12" xfId="10022"/>
    <cellStyle name="Link Currency (2) 13" xfId="10093"/>
    <cellStyle name="Link Currency (2) 14" xfId="10149"/>
    <cellStyle name="Link Currency (2) 15" xfId="10188"/>
    <cellStyle name="Link Currency (2) 15 10" xfId="20425"/>
    <cellStyle name="Link Currency (2) 15 11" xfId="21261"/>
    <cellStyle name="Link Currency (2) 15 12" xfId="22058"/>
    <cellStyle name="Link Currency (2) 15 13" xfId="26898"/>
    <cellStyle name="Link Currency (2) 15 14" xfId="30226"/>
    <cellStyle name="Link Currency (2) 15 15" xfId="32001"/>
    <cellStyle name="Link Currency (2) 15 16" xfId="33756"/>
    <cellStyle name="Link Currency (2) 15 17" xfId="35469"/>
    <cellStyle name="Link Currency (2) 15 18" xfId="37113"/>
    <cellStyle name="Link Currency (2) 15 19" xfId="38669"/>
    <cellStyle name="Link Currency (2) 15 2" xfId="12975"/>
    <cellStyle name="Link Currency (2) 15 20" xfId="40103"/>
    <cellStyle name="Link Currency (2) 15 21" xfId="41350"/>
    <cellStyle name="Link Currency (2) 15 22" xfId="42401"/>
    <cellStyle name="Link Currency (2) 15 3" xfId="14101"/>
    <cellStyle name="Link Currency (2) 15 4" xfId="15031"/>
    <cellStyle name="Link Currency (2) 15 5" xfId="15958"/>
    <cellStyle name="Link Currency (2) 15 6" xfId="16888"/>
    <cellStyle name="Link Currency (2) 15 7" xfId="17796"/>
    <cellStyle name="Link Currency (2) 15 8" xfId="18686"/>
    <cellStyle name="Link Currency (2) 15 9" xfId="19564"/>
    <cellStyle name="Link Currency (2) 16" xfId="10715"/>
    <cellStyle name="Link Currency (2) 16 10" xfId="20505"/>
    <cellStyle name="Link Currency (2) 16 11" xfId="21341"/>
    <cellStyle name="Link Currency (2) 16 12" xfId="22135"/>
    <cellStyle name="Link Currency (2) 16 13" xfId="26295"/>
    <cellStyle name="Link Currency (2) 16 14" xfId="29626"/>
    <cellStyle name="Link Currency (2) 16 15" xfId="31401"/>
    <cellStyle name="Link Currency (2) 16 16" xfId="33164"/>
    <cellStyle name="Link Currency (2) 16 17" xfId="34882"/>
    <cellStyle name="Link Currency (2) 16 18" xfId="36535"/>
    <cellStyle name="Link Currency (2) 16 19" xfId="38109"/>
    <cellStyle name="Link Currency (2) 16 2" xfId="13055"/>
    <cellStyle name="Link Currency (2) 16 20" xfId="39562"/>
    <cellStyle name="Link Currency (2) 16 21" xfId="40835"/>
    <cellStyle name="Link Currency (2) 16 22" xfId="41914"/>
    <cellStyle name="Link Currency (2) 16 3" xfId="14181"/>
    <cellStyle name="Link Currency (2) 16 4" xfId="15110"/>
    <cellStyle name="Link Currency (2) 16 5" xfId="16038"/>
    <cellStyle name="Link Currency (2) 16 6" xfId="16968"/>
    <cellStyle name="Link Currency (2) 16 7" xfId="17876"/>
    <cellStyle name="Link Currency (2) 16 8" xfId="18766"/>
    <cellStyle name="Link Currency (2) 16 9" xfId="19644"/>
    <cellStyle name="Link Currency (2) 17" xfId="10726"/>
    <cellStyle name="Link Currency (2) 17 10" xfId="20584"/>
    <cellStyle name="Link Currency (2) 17 11" xfId="21421"/>
    <cellStyle name="Link Currency (2) 17 12" xfId="22212"/>
    <cellStyle name="Link Currency (2) 17 13" xfId="26671"/>
    <cellStyle name="Link Currency (2) 17 14" xfId="30000"/>
    <cellStyle name="Link Currency (2) 17 15" xfId="31775"/>
    <cellStyle name="Link Currency (2) 17 16" xfId="33533"/>
    <cellStyle name="Link Currency (2) 17 17" xfId="35247"/>
    <cellStyle name="Link Currency (2) 17 18" xfId="36894"/>
    <cellStyle name="Link Currency (2) 17 19" xfId="38457"/>
    <cellStyle name="Link Currency (2) 17 2" xfId="13135"/>
    <cellStyle name="Link Currency (2) 17 20" xfId="39898"/>
    <cellStyle name="Link Currency (2) 17 21" xfId="41152"/>
    <cellStyle name="Link Currency (2) 17 22" xfId="42212"/>
    <cellStyle name="Link Currency (2) 17 3" xfId="14261"/>
    <cellStyle name="Link Currency (2) 17 4" xfId="15189"/>
    <cellStyle name="Link Currency (2) 17 5" xfId="16118"/>
    <cellStyle name="Link Currency (2) 17 6" xfId="17048"/>
    <cellStyle name="Link Currency (2) 17 7" xfId="17956"/>
    <cellStyle name="Link Currency (2) 17 8" xfId="18846"/>
    <cellStyle name="Link Currency (2) 17 9" xfId="19724"/>
    <cellStyle name="Link Currency (2) 18" xfId="10736"/>
    <cellStyle name="Link Currency (2) 18 10" xfId="20663"/>
    <cellStyle name="Link Currency (2) 18 11" xfId="21501"/>
    <cellStyle name="Link Currency (2) 18 12" xfId="22289"/>
    <cellStyle name="Link Currency (2) 18 13" xfId="26425"/>
    <cellStyle name="Link Currency (2) 18 14" xfId="29756"/>
    <cellStyle name="Link Currency (2) 18 15" xfId="31531"/>
    <cellStyle name="Link Currency (2) 18 16" xfId="33290"/>
    <cellStyle name="Link Currency (2) 18 17" xfId="35007"/>
    <cellStyle name="Link Currency (2) 18 18" xfId="36658"/>
    <cellStyle name="Link Currency (2) 18 19" xfId="38227"/>
    <cellStyle name="Link Currency (2) 18 2" xfId="13215"/>
    <cellStyle name="Link Currency (2) 18 20" xfId="39677"/>
    <cellStyle name="Link Currency (2) 18 21" xfId="40945"/>
    <cellStyle name="Link Currency (2) 18 22" xfId="42019"/>
    <cellStyle name="Link Currency (2) 18 3" xfId="14340"/>
    <cellStyle name="Link Currency (2) 18 4" xfId="15268"/>
    <cellStyle name="Link Currency (2) 18 5" xfId="16198"/>
    <cellStyle name="Link Currency (2) 18 6" xfId="17128"/>
    <cellStyle name="Link Currency (2) 18 7" xfId="18036"/>
    <cellStyle name="Link Currency (2) 18 8" xfId="18926"/>
    <cellStyle name="Link Currency (2) 18 9" xfId="19803"/>
    <cellStyle name="Link Currency (2) 19" xfId="10858"/>
    <cellStyle name="Link Currency (2) 19 10" xfId="20742"/>
    <cellStyle name="Link Currency (2) 19 11" xfId="21580"/>
    <cellStyle name="Link Currency (2) 19 12" xfId="22366"/>
    <cellStyle name="Link Currency (2) 19 13" xfId="26803"/>
    <cellStyle name="Link Currency (2) 19 14" xfId="30131"/>
    <cellStyle name="Link Currency (2) 19 15" xfId="31906"/>
    <cellStyle name="Link Currency (2) 19 16" xfId="33661"/>
    <cellStyle name="Link Currency (2) 19 17" xfId="35374"/>
    <cellStyle name="Link Currency (2) 19 18" xfId="37019"/>
    <cellStyle name="Link Currency (2) 19 19" xfId="38578"/>
    <cellStyle name="Link Currency (2) 19 2" xfId="13295"/>
    <cellStyle name="Link Currency (2) 19 20" xfId="40014"/>
    <cellStyle name="Link Currency (2) 19 21" xfId="41264"/>
    <cellStyle name="Link Currency (2) 19 22" xfId="42316"/>
    <cellStyle name="Link Currency (2) 19 3" xfId="14419"/>
    <cellStyle name="Link Currency (2) 19 4" xfId="15348"/>
    <cellStyle name="Link Currency (2) 19 5" xfId="16277"/>
    <cellStyle name="Link Currency (2) 19 6" xfId="17207"/>
    <cellStyle name="Link Currency (2) 19 7" xfId="18115"/>
    <cellStyle name="Link Currency (2) 19 8" xfId="19005"/>
    <cellStyle name="Link Currency (2) 19 9" xfId="19882"/>
    <cellStyle name="Link Currency (2) 2" xfId="3790"/>
    <cellStyle name="Link Currency (2) 2 10" xfId="12031"/>
    <cellStyle name="Link Currency (2) 2 11" xfId="10623"/>
    <cellStyle name="Link Currency (2) 2 12" xfId="12392"/>
    <cellStyle name="Link Currency (2) 2 13" xfId="12704"/>
    <cellStyle name="Link Currency (2) 2 14" xfId="13906"/>
    <cellStyle name="Link Currency (2) 2 15" xfId="12578"/>
    <cellStyle name="Link Currency (2) 2 16" xfId="12345"/>
    <cellStyle name="Link Currency (2) 2 17" xfId="10725"/>
    <cellStyle name="Link Currency (2) 2 18" xfId="11846"/>
    <cellStyle name="Link Currency (2) 2 19" xfId="12387"/>
    <cellStyle name="Link Currency (2) 2 2" xfId="4036"/>
    <cellStyle name="Link Currency (2) 2 2 2" xfId="9595"/>
    <cellStyle name="Link Currency (2) 2 2 3" xfId="9443"/>
    <cellStyle name="Link Currency (2) 2 20" xfId="12244"/>
    <cellStyle name="Link Currency (2) 2 21" xfId="18456"/>
    <cellStyle name="Link Currency (2) 2 22" xfId="15889"/>
    <cellStyle name="Link Currency (2) 2 23" xfId="23063"/>
    <cellStyle name="Link Currency (2) 2 24" xfId="23231"/>
    <cellStyle name="Link Currency (2) 2 25" xfId="28657"/>
    <cellStyle name="Link Currency (2) 2 26" xfId="30447"/>
    <cellStyle name="Link Currency (2) 2 27" xfId="32222"/>
    <cellStyle name="Link Currency (2) 2 28" xfId="33976"/>
    <cellStyle name="Link Currency (2) 2 29" xfId="35688"/>
    <cellStyle name="Link Currency (2) 2 3" xfId="10376"/>
    <cellStyle name="Link Currency (2) 2 30" xfId="37330"/>
    <cellStyle name="Link Currency (2) 2 31" xfId="38885"/>
    <cellStyle name="Link Currency (2) 2 32" xfId="40314"/>
    <cellStyle name="Link Currency (2) 2 33" xfId="8768"/>
    <cellStyle name="Link Currency (2) 2 4" xfId="10914"/>
    <cellStyle name="Link Currency (2) 2 5" xfId="10714"/>
    <cellStyle name="Link Currency (2) 2 6" xfId="10810"/>
    <cellStyle name="Link Currency (2) 2 7" xfId="11040"/>
    <cellStyle name="Link Currency (2) 2 8" xfId="10515"/>
    <cellStyle name="Link Currency (2) 2 9" xfId="10449"/>
    <cellStyle name="Link Currency (2) 20" xfId="10470"/>
    <cellStyle name="Link Currency (2) 20 10" xfId="20821"/>
    <cellStyle name="Link Currency (2) 20 11" xfId="21660"/>
    <cellStyle name="Link Currency (2) 20 12" xfId="22444"/>
    <cellStyle name="Link Currency (2) 20 13" xfId="26305"/>
    <cellStyle name="Link Currency (2) 20 14" xfId="29636"/>
    <cellStyle name="Link Currency (2) 20 15" xfId="31411"/>
    <cellStyle name="Link Currency (2) 20 16" xfId="33174"/>
    <cellStyle name="Link Currency (2) 20 17" xfId="34892"/>
    <cellStyle name="Link Currency (2) 20 18" xfId="36545"/>
    <cellStyle name="Link Currency (2) 20 19" xfId="38119"/>
    <cellStyle name="Link Currency (2) 20 2" xfId="13375"/>
    <cellStyle name="Link Currency (2) 20 20" xfId="39572"/>
    <cellStyle name="Link Currency (2) 20 21" xfId="40845"/>
    <cellStyle name="Link Currency (2) 20 22" xfId="41924"/>
    <cellStyle name="Link Currency (2) 20 3" xfId="14499"/>
    <cellStyle name="Link Currency (2) 20 4" xfId="15426"/>
    <cellStyle name="Link Currency (2) 20 5" xfId="16357"/>
    <cellStyle name="Link Currency (2) 20 6" xfId="17287"/>
    <cellStyle name="Link Currency (2) 20 7" xfId="18195"/>
    <cellStyle name="Link Currency (2) 20 8" xfId="19085"/>
    <cellStyle name="Link Currency (2) 20 9" xfId="19962"/>
    <cellStyle name="Link Currency (2) 21" xfId="10606"/>
    <cellStyle name="Link Currency (2) 21 10" xfId="20899"/>
    <cellStyle name="Link Currency (2) 21 11" xfId="21740"/>
    <cellStyle name="Link Currency (2) 21 12" xfId="22522"/>
    <cellStyle name="Link Currency (2) 21 13" xfId="26766"/>
    <cellStyle name="Link Currency (2) 21 14" xfId="30096"/>
    <cellStyle name="Link Currency (2) 21 15" xfId="31871"/>
    <cellStyle name="Link Currency (2) 21 16" xfId="33627"/>
    <cellStyle name="Link Currency (2) 21 17" xfId="35340"/>
    <cellStyle name="Link Currency (2) 21 18" xfId="36986"/>
    <cellStyle name="Link Currency (2) 21 19" xfId="38547"/>
    <cellStyle name="Link Currency (2) 21 2" xfId="13455"/>
    <cellStyle name="Link Currency (2) 21 20" xfId="39986"/>
    <cellStyle name="Link Currency (2) 21 21" xfId="41238"/>
    <cellStyle name="Link Currency (2) 21 22" xfId="42294"/>
    <cellStyle name="Link Currency (2) 21 3" xfId="14578"/>
    <cellStyle name="Link Currency (2) 21 4" xfId="15506"/>
    <cellStyle name="Link Currency (2) 21 5" xfId="16437"/>
    <cellStyle name="Link Currency (2) 21 6" xfId="17367"/>
    <cellStyle name="Link Currency (2) 21 7" xfId="18275"/>
    <cellStyle name="Link Currency (2) 21 8" xfId="19165"/>
    <cellStyle name="Link Currency (2) 21 9" xfId="20041"/>
    <cellStyle name="Link Currency (2) 22" xfId="10740"/>
    <cellStyle name="Link Currency (2) 22 10" xfId="20977"/>
    <cellStyle name="Link Currency (2) 22 11" xfId="21817"/>
    <cellStyle name="Link Currency (2) 22 12" xfId="22598"/>
    <cellStyle name="Link Currency (2) 22 13" xfId="26436"/>
    <cellStyle name="Link Currency (2) 22 14" xfId="29767"/>
    <cellStyle name="Link Currency (2) 22 15" xfId="31542"/>
    <cellStyle name="Link Currency (2) 22 16" xfId="33301"/>
    <cellStyle name="Link Currency (2) 22 17" xfId="35018"/>
    <cellStyle name="Link Currency (2) 22 18" xfId="36669"/>
    <cellStyle name="Link Currency (2) 22 19" xfId="38238"/>
    <cellStyle name="Link Currency (2) 22 2" xfId="13535"/>
    <cellStyle name="Link Currency (2) 22 20" xfId="39688"/>
    <cellStyle name="Link Currency (2) 22 21" xfId="40956"/>
    <cellStyle name="Link Currency (2) 22 22" xfId="42030"/>
    <cellStyle name="Link Currency (2) 22 3" xfId="14657"/>
    <cellStyle name="Link Currency (2) 22 4" xfId="15585"/>
    <cellStyle name="Link Currency (2) 22 5" xfId="16516"/>
    <cellStyle name="Link Currency (2) 22 6" xfId="17445"/>
    <cellStyle name="Link Currency (2) 22 7" xfId="18354"/>
    <cellStyle name="Link Currency (2) 22 8" xfId="19243"/>
    <cellStyle name="Link Currency (2) 22 9" xfId="20117"/>
    <cellStyle name="Link Currency (2) 23" xfId="11292"/>
    <cellStyle name="Link Currency (2) 23 10" xfId="21045"/>
    <cellStyle name="Link Currency (2) 23 11" xfId="21881"/>
    <cellStyle name="Link Currency (2) 23 12" xfId="22662"/>
    <cellStyle name="Link Currency (2) 23 2" xfId="13615"/>
    <cellStyle name="Link Currency (2) 23 3" xfId="14733"/>
    <cellStyle name="Link Currency (2) 23 4" xfId="15660"/>
    <cellStyle name="Link Currency (2) 23 5" xfId="16590"/>
    <cellStyle name="Link Currency (2) 23 6" xfId="17519"/>
    <cellStyle name="Link Currency (2) 23 7" xfId="18423"/>
    <cellStyle name="Link Currency (2) 23 8" xfId="19311"/>
    <cellStyle name="Link Currency (2) 23 9" xfId="20186"/>
    <cellStyle name="Link Currency (2) 24" xfId="12416"/>
    <cellStyle name="Link Currency (2) 24 10" xfId="21098"/>
    <cellStyle name="Link Currency (2) 24 11" xfId="21931"/>
    <cellStyle name="Link Currency (2) 24 12" xfId="22712"/>
    <cellStyle name="Link Currency (2) 24 2" xfId="13693"/>
    <cellStyle name="Link Currency (2) 24 3" xfId="14800"/>
    <cellStyle name="Link Currency (2) 24 4" xfId="15731"/>
    <cellStyle name="Link Currency (2) 24 5" xfId="16659"/>
    <cellStyle name="Link Currency (2) 24 6" xfId="17586"/>
    <cellStyle name="Link Currency (2) 24 7" xfId="18490"/>
    <cellStyle name="Link Currency (2) 24 8" xfId="19373"/>
    <cellStyle name="Link Currency (2) 24 9" xfId="20245"/>
    <cellStyle name="Link Currency (2) 25" xfId="13759"/>
    <cellStyle name="Link Currency (2) 26" xfId="13811"/>
    <cellStyle name="Link Currency (2) 27" xfId="12626"/>
    <cellStyle name="Link Currency (2) 28" xfId="11682"/>
    <cellStyle name="Link Currency (2) 29" xfId="14849"/>
    <cellStyle name="Link Currency (2) 3" xfId="3791"/>
    <cellStyle name="Link Currency (2) 3 2" xfId="4037"/>
    <cellStyle name="Link Currency (2) 3 2 2" xfId="8854"/>
    <cellStyle name="Link Currency (2) 30" xfId="13991"/>
    <cellStyle name="Link Currency (2) 31" xfId="12617"/>
    <cellStyle name="Link Currency (2) 32" xfId="15905"/>
    <cellStyle name="Link Currency (2) 33" xfId="16833"/>
    <cellStyle name="Link Currency (2) 34" xfId="11486"/>
    <cellStyle name="Link Currency (2) 35" xfId="18382"/>
    <cellStyle name="Link Currency (2) 36" xfId="20989"/>
    <cellStyle name="Link Currency (2) 37" xfId="22871"/>
    <cellStyle name="Link Currency (2) 38" xfId="22908"/>
    <cellStyle name="Link Currency (2) 39" xfId="29534"/>
    <cellStyle name="Link Currency (2) 4" xfId="8841"/>
    <cellStyle name="Link Currency (2) 40" xfId="31310"/>
    <cellStyle name="Link Currency (2) 41" xfId="33074"/>
    <cellStyle name="Link Currency (2) 42" xfId="34793"/>
    <cellStyle name="Link Currency (2) 43" xfId="36448"/>
    <cellStyle name="Link Currency (2) 44" xfId="38031"/>
    <cellStyle name="Link Currency (2) 45" xfId="39493"/>
    <cellStyle name="Link Currency (2) 46" xfId="40784"/>
    <cellStyle name="Link Currency (2) 47" xfId="7850"/>
    <cellStyle name="Link Currency (2) 5" xfId="8932"/>
    <cellStyle name="Link Currency (2) 6" xfId="9010"/>
    <cellStyle name="Link Currency (2) 7" xfId="9078"/>
    <cellStyle name="Link Currency (2) 8" xfId="9293"/>
    <cellStyle name="Link Currency (2) 9" xfId="9768"/>
    <cellStyle name="Link Units (0)" xfId="3792"/>
    <cellStyle name="Link Units (0) 10" xfId="9854"/>
    <cellStyle name="Link Units (0) 11" xfId="9939"/>
    <cellStyle name="Link Units (0) 12" xfId="10023"/>
    <cellStyle name="Link Units (0) 13" xfId="10094"/>
    <cellStyle name="Link Units (0) 14" xfId="10150"/>
    <cellStyle name="Link Units (0) 15" xfId="10189"/>
    <cellStyle name="Link Units (0) 15 10" xfId="20426"/>
    <cellStyle name="Link Units (0) 15 11" xfId="21262"/>
    <cellStyle name="Link Units (0) 15 12" xfId="22059"/>
    <cellStyle name="Link Units (0) 15 13" xfId="26897"/>
    <cellStyle name="Link Units (0) 15 14" xfId="30225"/>
    <cellStyle name="Link Units (0) 15 15" xfId="32000"/>
    <cellStyle name="Link Units (0) 15 16" xfId="33755"/>
    <cellStyle name="Link Units (0) 15 17" xfId="35468"/>
    <cellStyle name="Link Units (0) 15 18" xfId="37112"/>
    <cellStyle name="Link Units (0) 15 19" xfId="38668"/>
    <cellStyle name="Link Units (0) 15 2" xfId="12976"/>
    <cellStyle name="Link Units (0) 15 20" xfId="40102"/>
    <cellStyle name="Link Units (0) 15 21" xfId="41349"/>
    <cellStyle name="Link Units (0) 15 22" xfId="42400"/>
    <cellStyle name="Link Units (0) 15 3" xfId="14102"/>
    <cellStyle name="Link Units (0) 15 4" xfId="15032"/>
    <cellStyle name="Link Units (0) 15 5" xfId="15959"/>
    <cellStyle name="Link Units (0) 15 6" xfId="16889"/>
    <cellStyle name="Link Units (0) 15 7" xfId="17797"/>
    <cellStyle name="Link Units (0) 15 8" xfId="18687"/>
    <cellStyle name="Link Units (0) 15 9" xfId="19565"/>
    <cellStyle name="Link Units (0) 16" xfId="10644"/>
    <cellStyle name="Link Units (0) 16 10" xfId="20506"/>
    <cellStyle name="Link Units (0) 16 11" xfId="21342"/>
    <cellStyle name="Link Units (0) 16 12" xfId="22136"/>
    <cellStyle name="Link Units (0) 16 13" xfId="26296"/>
    <cellStyle name="Link Units (0) 16 14" xfId="29627"/>
    <cellStyle name="Link Units (0) 16 15" xfId="31402"/>
    <cellStyle name="Link Units (0) 16 16" xfId="33165"/>
    <cellStyle name="Link Units (0) 16 17" xfId="34883"/>
    <cellStyle name="Link Units (0) 16 18" xfId="36536"/>
    <cellStyle name="Link Units (0) 16 19" xfId="38110"/>
    <cellStyle name="Link Units (0) 16 2" xfId="13056"/>
    <cellStyle name="Link Units (0) 16 20" xfId="39563"/>
    <cellStyle name="Link Units (0) 16 21" xfId="40836"/>
    <cellStyle name="Link Units (0) 16 22" xfId="41915"/>
    <cellStyle name="Link Units (0) 16 3" xfId="14182"/>
    <cellStyle name="Link Units (0) 16 4" xfId="15111"/>
    <cellStyle name="Link Units (0) 16 5" xfId="16039"/>
    <cellStyle name="Link Units (0) 16 6" xfId="16969"/>
    <cellStyle name="Link Units (0) 16 7" xfId="17877"/>
    <cellStyle name="Link Units (0) 16 8" xfId="18767"/>
    <cellStyle name="Link Units (0) 16 9" xfId="19645"/>
    <cellStyle name="Link Units (0) 17" xfId="10407"/>
    <cellStyle name="Link Units (0) 17 10" xfId="20585"/>
    <cellStyle name="Link Units (0) 17 11" xfId="21422"/>
    <cellStyle name="Link Units (0) 17 12" xfId="22213"/>
    <cellStyle name="Link Units (0) 17 13" xfId="26776"/>
    <cellStyle name="Link Units (0) 17 14" xfId="30106"/>
    <cellStyle name="Link Units (0) 17 15" xfId="31881"/>
    <cellStyle name="Link Units (0) 17 16" xfId="33637"/>
    <cellStyle name="Link Units (0) 17 17" xfId="35350"/>
    <cellStyle name="Link Units (0) 17 18" xfId="36996"/>
    <cellStyle name="Link Units (0) 17 19" xfId="38557"/>
    <cellStyle name="Link Units (0) 17 2" xfId="13136"/>
    <cellStyle name="Link Units (0) 17 20" xfId="39996"/>
    <cellStyle name="Link Units (0) 17 21" xfId="41248"/>
    <cellStyle name="Link Units (0) 17 22" xfId="42304"/>
    <cellStyle name="Link Units (0) 17 3" xfId="14262"/>
    <cellStyle name="Link Units (0) 17 4" xfId="15190"/>
    <cellStyle name="Link Units (0) 17 5" xfId="16119"/>
    <cellStyle name="Link Units (0) 17 6" xfId="17049"/>
    <cellStyle name="Link Units (0) 17 7" xfId="17957"/>
    <cellStyle name="Link Units (0) 17 8" xfId="18847"/>
    <cellStyle name="Link Units (0) 17 9" xfId="19725"/>
    <cellStyle name="Link Units (0) 18" xfId="10460"/>
    <cellStyle name="Link Units (0) 18 10" xfId="20664"/>
    <cellStyle name="Link Units (0) 18 11" xfId="21502"/>
    <cellStyle name="Link Units (0) 18 12" xfId="22290"/>
    <cellStyle name="Link Units (0) 18 13" xfId="26426"/>
    <cellStyle name="Link Units (0) 18 14" xfId="29757"/>
    <cellStyle name="Link Units (0) 18 15" xfId="31532"/>
    <cellStyle name="Link Units (0) 18 16" xfId="33291"/>
    <cellStyle name="Link Units (0) 18 17" xfId="35008"/>
    <cellStyle name="Link Units (0) 18 18" xfId="36659"/>
    <cellStyle name="Link Units (0) 18 19" xfId="38228"/>
    <cellStyle name="Link Units (0) 18 2" xfId="13216"/>
    <cellStyle name="Link Units (0) 18 20" xfId="39678"/>
    <cellStyle name="Link Units (0) 18 21" xfId="40946"/>
    <cellStyle name="Link Units (0) 18 22" xfId="42020"/>
    <cellStyle name="Link Units (0) 18 3" xfId="14341"/>
    <cellStyle name="Link Units (0) 18 4" xfId="15269"/>
    <cellStyle name="Link Units (0) 18 5" xfId="16199"/>
    <cellStyle name="Link Units (0) 18 6" xfId="17129"/>
    <cellStyle name="Link Units (0) 18 7" xfId="18037"/>
    <cellStyle name="Link Units (0) 18 8" xfId="18927"/>
    <cellStyle name="Link Units (0) 18 9" xfId="19804"/>
    <cellStyle name="Link Units (0) 19" xfId="10532"/>
    <cellStyle name="Link Units (0) 19 10" xfId="20743"/>
    <cellStyle name="Link Units (0) 19 11" xfId="21581"/>
    <cellStyle name="Link Units (0) 19 12" xfId="22367"/>
    <cellStyle name="Link Units (0) 19 13" xfId="26888"/>
    <cellStyle name="Link Units (0) 19 14" xfId="30216"/>
    <cellStyle name="Link Units (0) 19 15" xfId="31991"/>
    <cellStyle name="Link Units (0) 19 16" xfId="33746"/>
    <cellStyle name="Link Units (0) 19 17" xfId="35459"/>
    <cellStyle name="Link Units (0) 19 18" xfId="37103"/>
    <cellStyle name="Link Units (0) 19 19" xfId="38659"/>
    <cellStyle name="Link Units (0) 19 2" xfId="13296"/>
    <cellStyle name="Link Units (0) 19 20" xfId="40093"/>
    <cellStyle name="Link Units (0) 19 21" xfId="41340"/>
    <cellStyle name="Link Units (0) 19 22" xfId="42391"/>
    <cellStyle name="Link Units (0) 19 3" xfId="14420"/>
    <cellStyle name="Link Units (0) 19 4" xfId="15349"/>
    <cellStyle name="Link Units (0) 19 5" xfId="16278"/>
    <cellStyle name="Link Units (0) 19 6" xfId="17208"/>
    <cellStyle name="Link Units (0) 19 7" xfId="18116"/>
    <cellStyle name="Link Units (0) 19 8" xfId="19006"/>
    <cellStyle name="Link Units (0) 19 9" xfId="19883"/>
    <cellStyle name="Link Units (0) 2" xfId="3793"/>
    <cellStyle name="Link Units (0) 2 10" xfId="10981"/>
    <cellStyle name="Link Units (0) 2 11" xfId="12294"/>
    <cellStyle name="Link Units (0) 2 12" xfId="11563"/>
    <cellStyle name="Link Units (0) 2 13" xfId="11850"/>
    <cellStyle name="Link Units (0) 2 14" xfId="13848"/>
    <cellStyle name="Link Units (0) 2 15" xfId="11746"/>
    <cellStyle name="Link Units (0) 2 16" xfId="13894"/>
    <cellStyle name="Link Units (0) 2 17" xfId="11999"/>
    <cellStyle name="Link Units (0) 2 18" xfId="15710"/>
    <cellStyle name="Link Units (0) 2 19" xfId="14706"/>
    <cellStyle name="Link Units (0) 2 2" xfId="4038"/>
    <cellStyle name="Link Units (0) 2 2 2" xfId="9596"/>
    <cellStyle name="Link Units (0) 2 2 3" xfId="9444"/>
    <cellStyle name="Link Units (0) 2 20" xfId="12038"/>
    <cellStyle name="Link Units (0) 2 21" xfId="12792"/>
    <cellStyle name="Link Units (0) 2 22" xfId="18636"/>
    <cellStyle name="Link Units (0) 2 23" xfId="23064"/>
    <cellStyle name="Link Units (0) 2 24" xfId="23153"/>
    <cellStyle name="Link Units (0) 2 25" xfId="28656"/>
    <cellStyle name="Link Units (0) 2 26" xfId="30446"/>
    <cellStyle name="Link Units (0) 2 27" xfId="32221"/>
    <cellStyle name="Link Units (0) 2 28" xfId="33975"/>
    <cellStyle name="Link Units (0) 2 29" xfId="35687"/>
    <cellStyle name="Link Units (0) 2 3" xfId="10377"/>
    <cellStyle name="Link Units (0) 2 30" xfId="37329"/>
    <cellStyle name="Link Units (0) 2 31" xfId="38884"/>
    <cellStyle name="Link Units (0) 2 32" xfId="40313"/>
    <cellStyle name="Link Units (0) 2 33" xfId="8769"/>
    <cellStyle name="Link Units (0) 2 34" xfId="7749"/>
    <cellStyle name="Link Units (0) 2 4" xfId="10839"/>
    <cellStyle name="Link Units (0) 2 5" xfId="11185"/>
    <cellStyle name="Link Units (0) 2 6" xfId="11378"/>
    <cellStyle name="Link Units (0) 2 7" xfId="11568"/>
    <cellStyle name="Link Units (0) 2 8" xfId="11748"/>
    <cellStyle name="Link Units (0) 2 9" xfId="11931"/>
    <cellStyle name="Link Units (0) 20" xfId="10287"/>
    <cellStyle name="Link Units (0) 20 10" xfId="20822"/>
    <cellStyle name="Link Units (0) 20 11" xfId="21661"/>
    <cellStyle name="Link Units (0) 20 12" xfId="22445"/>
    <cellStyle name="Link Units (0) 20 13" xfId="26306"/>
    <cellStyle name="Link Units (0) 20 14" xfId="29637"/>
    <cellStyle name="Link Units (0) 20 15" xfId="31412"/>
    <cellStyle name="Link Units (0) 20 16" xfId="33175"/>
    <cellStyle name="Link Units (0) 20 17" xfId="34893"/>
    <cellStyle name="Link Units (0) 20 18" xfId="36546"/>
    <cellStyle name="Link Units (0) 20 19" xfId="38120"/>
    <cellStyle name="Link Units (0) 20 2" xfId="13376"/>
    <cellStyle name="Link Units (0) 20 20" xfId="39573"/>
    <cellStyle name="Link Units (0) 20 21" xfId="40846"/>
    <cellStyle name="Link Units (0) 20 22" xfId="41925"/>
    <cellStyle name="Link Units (0) 20 3" xfId="14500"/>
    <cellStyle name="Link Units (0) 20 4" xfId="15427"/>
    <cellStyle name="Link Units (0) 20 5" xfId="16358"/>
    <cellStyle name="Link Units (0) 20 6" xfId="17288"/>
    <cellStyle name="Link Units (0) 20 7" xfId="18196"/>
    <cellStyle name="Link Units (0) 20 8" xfId="19086"/>
    <cellStyle name="Link Units (0) 20 9" xfId="19963"/>
    <cellStyle name="Link Units (0) 21" xfId="10701"/>
    <cellStyle name="Link Units (0) 21 10" xfId="20900"/>
    <cellStyle name="Link Units (0) 21 11" xfId="21741"/>
    <cellStyle name="Link Units (0) 21 12" xfId="22523"/>
    <cellStyle name="Link Units (0) 21 13" xfId="26765"/>
    <cellStyle name="Link Units (0) 21 14" xfId="30095"/>
    <cellStyle name="Link Units (0) 21 15" xfId="31870"/>
    <cellStyle name="Link Units (0) 21 16" xfId="33626"/>
    <cellStyle name="Link Units (0) 21 17" xfId="35339"/>
    <cellStyle name="Link Units (0) 21 18" xfId="36985"/>
    <cellStyle name="Link Units (0) 21 19" xfId="38546"/>
    <cellStyle name="Link Units (0) 21 2" xfId="13456"/>
    <cellStyle name="Link Units (0) 21 20" xfId="39985"/>
    <cellStyle name="Link Units (0) 21 21" xfId="41237"/>
    <cellStyle name="Link Units (0) 21 22" xfId="42293"/>
    <cellStyle name="Link Units (0) 21 3" xfId="14579"/>
    <cellStyle name="Link Units (0) 21 4" xfId="15507"/>
    <cellStyle name="Link Units (0) 21 5" xfId="16438"/>
    <cellStyle name="Link Units (0) 21 6" xfId="17368"/>
    <cellStyle name="Link Units (0) 21 7" xfId="18276"/>
    <cellStyle name="Link Units (0) 21 8" xfId="19166"/>
    <cellStyle name="Link Units (0) 21 9" xfId="20042"/>
    <cellStyle name="Link Units (0) 22" xfId="11104"/>
    <cellStyle name="Link Units (0) 22 10" xfId="20978"/>
    <cellStyle name="Link Units (0) 22 11" xfId="21818"/>
    <cellStyle name="Link Units (0) 22 12" xfId="22599"/>
    <cellStyle name="Link Units (0) 22 13" xfId="26437"/>
    <cellStyle name="Link Units (0) 22 14" xfId="29768"/>
    <cellStyle name="Link Units (0) 22 15" xfId="31543"/>
    <cellStyle name="Link Units (0) 22 16" xfId="33302"/>
    <cellStyle name="Link Units (0) 22 17" xfId="35019"/>
    <cellStyle name="Link Units (0) 22 18" xfId="36670"/>
    <cellStyle name="Link Units (0) 22 19" xfId="38239"/>
    <cellStyle name="Link Units (0) 22 2" xfId="13536"/>
    <cellStyle name="Link Units (0) 22 20" xfId="39689"/>
    <cellStyle name="Link Units (0) 22 21" xfId="40957"/>
    <cellStyle name="Link Units (0) 22 22" xfId="42031"/>
    <cellStyle name="Link Units (0) 22 3" xfId="14658"/>
    <cellStyle name="Link Units (0) 22 4" xfId="15586"/>
    <cellStyle name="Link Units (0) 22 5" xfId="16517"/>
    <cellStyle name="Link Units (0) 22 6" xfId="17446"/>
    <cellStyle name="Link Units (0) 22 7" xfId="18355"/>
    <cellStyle name="Link Units (0) 22 8" xfId="19244"/>
    <cellStyle name="Link Units (0) 22 9" xfId="20118"/>
    <cellStyle name="Link Units (0) 23" xfId="12101"/>
    <cellStyle name="Link Units (0) 23 10" xfId="21046"/>
    <cellStyle name="Link Units (0) 23 11" xfId="21882"/>
    <cellStyle name="Link Units (0) 23 12" xfId="22663"/>
    <cellStyle name="Link Units (0) 23 2" xfId="13616"/>
    <cellStyle name="Link Units (0) 23 3" xfId="14734"/>
    <cellStyle name="Link Units (0) 23 4" xfId="15661"/>
    <cellStyle name="Link Units (0) 23 5" xfId="16591"/>
    <cellStyle name="Link Units (0) 23 6" xfId="17520"/>
    <cellStyle name="Link Units (0) 23 7" xfId="18424"/>
    <cellStyle name="Link Units (0) 23 8" xfId="19312"/>
    <cellStyle name="Link Units (0) 23 9" xfId="20187"/>
    <cellStyle name="Link Units (0) 24" xfId="12229"/>
    <cellStyle name="Link Units (0) 24 10" xfId="21099"/>
    <cellStyle name="Link Units (0) 24 11" xfId="21932"/>
    <cellStyle name="Link Units (0) 24 12" xfId="22713"/>
    <cellStyle name="Link Units (0) 24 2" xfId="13694"/>
    <cellStyle name="Link Units (0) 24 3" xfId="14801"/>
    <cellStyle name="Link Units (0) 24 4" xfId="15732"/>
    <cellStyle name="Link Units (0) 24 5" xfId="16660"/>
    <cellStyle name="Link Units (0) 24 6" xfId="17587"/>
    <cellStyle name="Link Units (0) 24 7" xfId="18491"/>
    <cellStyle name="Link Units (0) 24 8" xfId="19374"/>
    <cellStyle name="Link Units (0) 24 9" xfId="20246"/>
    <cellStyle name="Link Units (0) 25" xfId="13760"/>
    <cellStyle name="Link Units (0) 26" xfId="13812"/>
    <cellStyle name="Link Units (0) 27" xfId="12371"/>
    <cellStyle name="Link Units (0) 28" xfId="12452"/>
    <cellStyle name="Link Units (0) 29" xfId="14895"/>
    <cellStyle name="Link Units (0) 3" xfId="3794"/>
    <cellStyle name="Link Units (0) 3 2" xfId="4039"/>
    <cellStyle name="Link Units (0) 3 2 2" xfId="8855"/>
    <cellStyle name="Link Units (0) 3 3" xfId="7750"/>
    <cellStyle name="Link Units (0) 30" xfId="12348"/>
    <cellStyle name="Link Units (0) 31" xfId="15797"/>
    <cellStyle name="Link Units (0) 32" xfId="12078"/>
    <cellStyle name="Link Units (0) 33" xfId="14646"/>
    <cellStyle name="Link Units (0) 34" xfId="16782"/>
    <cellStyle name="Link Units (0) 35" xfId="20278"/>
    <cellStyle name="Link Units (0) 36" xfId="18616"/>
    <cellStyle name="Link Units (0) 37" xfId="22872"/>
    <cellStyle name="Link Units (0) 38" xfId="22907"/>
    <cellStyle name="Link Units (0) 39" xfId="29533"/>
    <cellStyle name="Link Units (0) 4" xfId="8933"/>
    <cellStyle name="Link Units (0) 40" xfId="31309"/>
    <cellStyle name="Link Units (0) 41" xfId="33073"/>
    <cellStyle name="Link Units (0) 42" xfId="34792"/>
    <cellStyle name="Link Units (0) 43" xfId="36447"/>
    <cellStyle name="Link Units (0) 44" xfId="38030"/>
    <cellStyle name="Link Units (0) 45" xfId="39492"/>
    <cellStyle name="Link Units (0) 46" xfId="40783"/>
    <cellStyle name="Link Units (0) 47" xfId="7851"/>
    <cellStyle name="Link Units (0) 48" xfId="7748"/>
    <cellStyle name="Link Units (0) 5" xfId="9011"/>
    <cellStyle name="Link Units (0) 6" xfId="9079"/>
    <cellStyle name="Link Units (0) 7" xfId="9132"/>
    <cellStyle name="Link Units (0) 8" xfId="9294"/>
    <cellStyle name="Link Units (0) 9" xfId="9769"/>
    <cellStyle name="Link Units (1)" xfId="3795"/>
    <cellStyle name="Link Units (1) 10" xfId="9855"/>
    <cellStyle name="Link Units (1) 11" xfId="9940"/>
    <cellStyle name="Link Units (1) 12" xfId="10024"/>
    <cellStyle name="Link Units (1) 13" xfId="10095"/>
    <cellStyle name="Link Units (1) 14" xfId="10151"/>
    <cellStyle name="Link Units (1) 15" xfId="10190"/>
    <cellStyle name="Link Units (1) 15 10" xfId="20427"/>
    <cellStyle name="Link Units (1) 15 11" xfId="21263"/>
    <cellStyle name="Link Units (1) 15 12" xfId="22060"/>
    <cellStyle name="Link Units (1) 15 13" xfId="26896"/>
    <cellStyle name="Link Units (1) 15 14" xfId="30224"/>
    <cellStyle name="Link Units (1) 15 15" xfId="31999"/>
    <cellStyle name="Link Units (1) 15 16" xfId="33754"/>
    <cellStyle name="Link Units (1) 15 17" xfId="35467"/>
    <cellStyle name="Link Units (1) 15 18" xfId="37111"/>
    <cellStyle name="Link Units (1) 15 19" xfId="38667"/>
    <cellStyle name="Link Units (1) 15 2" xfId="12977"/>
    <cellStyle name="Link Units (1) 15 20" xfId="40101"/>
    <cellStyle name="Link Units (1) 15 21" xfId="41348"/>
    <cellStyle name="Link Units (1) 15 22" xfId="42399"/>
    <cellStyle name="Link Units (1) 15 3" xfId="14103"/>
    <cellStyle name="Link Units (1) 15 4" xfId="15033"/>
    <cellStyle name="Link Units (1) 15 5" xfId="15960"/>
    <cellStyle name="Link Units (1) 15 6" xfId="16890"/>
    <cellStyle name="Link Units (1) 15 7" xfId="17798"/>
    <cellStyle name="Link Units (1) 15 8" xfId="18688"/>
    <cellStyle name="Link Units (1) 15 9" xfId="19566"/>
    <cellStyle name="Link Units (1) 16" xfId="10564"/>
    <cellStyle name="Link Units (1) 16 10" xfId="20507"/>
    <cellStyle name="Link Units (1) 16 11" xfId="21343"/>
    <cellStyle name="Link Units (1) 16 12" xfId="22137"/>
    <cellStyle name="Link Units (1) 16 13" xfId="26297"/>
    <cellStyle name="Link Units (1) 16 14" xfId="29628"/>
    <cellStyle name="Link Units (1) 16 15" xfId="31403"/>
    <cellStyle name="Link Units (1) 16 16" xfId="33166"/>
    <cellStyle name="Link Units (1) 16 17" xfId="34884"/>
    <cellStyle name="Link Units (1) 16 18" xfId="36537"/>
    <cellStyle name="Link Units (1) 16 19" xfId="38111"/>
    <cellStyle name="Link Units (1) 16 2" xfId="13057"/>
    <cellStyle name="Link Units (1) 16 20" xfId="39564"/>
    <cellStyle name="Link Units (1) 16 21" xfId="40837"/>
    <cellStyle name="Link Units (1) 16 22" xfId="41916"/>
    <cellStyle name="Link Units (1) 16 3" xfId="14183"/>
    <cellStyle name="Link Units (1) 16 4" xfId="15112"/>
    <cellStyle name="Link Units (1) 16 5" xfId="16040"/>
    <cellStyle name="Link Units (1) 16 6" xfId="16970"/>
    <cellStyle name="Link Units (1) 16 7" xfId="17878"/>
    <cellStyle name="Link Units (1) 16 8" xfId="18768"/>
    <cellStyle name="Link Units (1) 16 9" xfId="19646"/>
    <cellStyle name="Link Units (1) 17" xfId="11115"/>
    <cellStyle name="Link Units (1) 17 10" xfId="20586"/>
    <cellStyle name="Link Units (1) 17 11" xfId="21423"/>
    <cellStyle name="Link Units (1) 17 12" xfId="22214"/>
    <cellStyle name="Link Units (1) 17 13" xfId="26775"/>
    <cellStyle name="Link Units (1) 17 14" xfId="30105"/>
    <cellStyle name="Link Units (1) 17 15" xfId="31880"/>
    <cellStyle name="Link Units (1) 17 16" xfId="33636"/>
    <cellStyle name="Link Units (1) 17 17" xfId="35349"/>
    <cellStyle name="Link Units (1) 17 18" xfId="36995"/>
    <cellStyle name="Link Units (1) 17 19" xfId="38556"/>
    <cellStyle name="Link Units (1) 17 2" xfId="13137"/>
    <cellStyle name="Link Units (1) 17 20" xfId="39995"/>
    <cellStyle name="Link Units (1) 17 21" xfId="41247"/>
    <cellStyle name="Link Units (1) 17 22" xfId="42303"/>
    <cellStyle name="Link Units (1) 17 3" xfId="14263"/>
    <cellStyle name="Link Units (1) 17 4" xfId="15191"/>
    <cellStyle name="Link Units (1) 17 5" xfId="16120"/>
    <cellStyle name="Link Units (1) 17 6" xfId="17050"/>
    <cellStyle name="Link Units (1) 17 7" xfId="17958"/>
    <cellStyle name="Link Units (1) 17 8" xfId="18848"/>
    <cellStyle name="Link Units (1) 17 9" xfId="19726"/>
    <cellStyle name="Link Units (1) 18" xfId="11309"/>
    <cellStyle name="Link Units (1) 18 10" xfId="20665"/>
    <cellStyle name="Link Units (1) 18 11" xfId="21503"/>
    <cellStyle name="Link Units (1) 18 12" xfId="22291"/>
    <cellStyle name="Link Units (1) 18 13" xfId="26427"/>
    <cellStyle name="Link Units (1) 18 14" xfId="29758"/>
    <cellStyle name="Link Units (1) 18 15" xfId="31533"/>
    <cellStyle name="Link Units (1) 18 16" xfId="33292"/>
    <cellStyle name="Link Units (1) 18 17" xfId="35009"/>
    <cellStyle name="Link Units (1) 18 18" xfId="36660"/>
    <cellStyle name="Link Units (1) 18 19" xfId="38229"/>
    <cellStyle name="Link Units (1) 18 2" xfId="13217"/>
    <cellStyle name="Link Units (1) 18 20" xfId="39679"/>
    <cellStyle name="Link Units (1) 18 21" xfId="40947"/>
    <cellStyle name="Link Units (1) 18 22" xfId="42021"/>
    <cellStyle name="Link Units (1) 18 3" xfId="14342"/>
    <cellStyle name="Link Units (1) 18 4" xfId="15270"/>
    <cellStyle name="Link Units (1) 18 5" xfId="16200"/>
    <cellStyle name="Link Units (1) 18 6" xfId="17130"/>
    <cellStyle name="Link Units (1) 18 7" xfId="18038"/>
    <cellStyle name="Link Units (1) 18 8" xfId="18928"/>
    <cellStyle name="Link Units (1) 18 9" xfId="19805"/>
    <cellStyle name="Link Units (1) 19" xfId="11501"/>
    <cellStyle name="Link Units (1) 19 10" xfId="20744"/>
    <cellStyle name="Link Units (1) 19 11" xfId="21582"/>
    <cellStyle name="Link Units (1) 19 12" xfId="22368"/>
    <cellStyle name="Link Units (1) 19 13" xfId="26887"/>
    <cellStyle name="Link Units (1) 19 14" xfId="30215"/>
    <cellStyle name="Link Units (1) 19 15" xfId="31990"/>
    <cellStyle name="Link Units (1) 19 16" xfId="33745"/>
    <cellStyle name="Link Units (1) 19 17" xfId="35458"/>
    <cellStyle name="Link Units (1) 19 18" xfId="37102"/>
    <cellStyle name="Link Units (1) 19 19" xfId="38658"/>
    <cellStyle name="Link Units (1) 19 2" xfId="13297"/>
    <cellStyle name="Link Units (1) 19 20" xfId="40092"/>
    <cellStyle name="Link Units (1) 19 21" xfId="41339"/>
    <cellStyle name="Link Units (1) 19 22" xfId="42390"/>
    <cellStyle name="Link Units (1) 19 3" xfId="14421"/>
    <cellStyle name="Link Units (1) 19 4" xfId="15350"/>
    <cellStyle name="Link Units (1) 19 5" xfId="16279"/>
    <cellStyle name="Link Units (1) 19 6" xfId="17209"/>
    <cellStyle name="Link Units (1) 19 7" xfId="18117"/>
    <cellStyle name="Link Units (1) 19 8" xfId="19007"/>
    <cellStyle name="Link Units (1) 19 9" xfId="19884"/>
    <cellStyle name="Link Units (1) 2" xfId="3796"/>
    <cellStyle name="Link Units (1) 2 10" xfId="11152"/>
    <cellStyle name="Link Units (1) 2 11" xfId="12198"/>
    <cellStyle name="Link Units (1) 2 12" xfId="12054"/>
    <cellStyle name="Link Units (1) 2 13" xfId="11503"/>
    <cellStyle name="Link Units (1) 2 14" xfId="12702"/>
    <cellStyle name="Link Units (1) 2 15" xfId="12924"/>
    <cellStyle name="Link Units (1) 2 16" xfId="11961"/>
    <cellStyle name="Link Units (1) 2 17" xfId="14031"/>
    <cellStyle name="Link Units (1) 2 18" xfId="12901"/>
    <cellStyle name="Link Units (1) 2 19" xfId="12443"/>
    <cellStyle name="Link Units (1) 2 2" xfId="4040"/>
    <cellStyle name="Link Units (1) 2 2 2" xfId="9597"/>
    <cellStyle name="Link Units (1) 2 2 3" xfId="9445"/>
    <cellStyle name="Link Units (1) 2 20" xfId="11496"/>
    <cellStyle name="Link Units (1) 2 21" xfId="12490"/>
    <cellStyle name="Link Units (1) 2 22" xfId="20173"/>
    <cellStyle name="Link Units (1) 2 23" xfId="23065"/>
    <cellStyle name="Link Units (1) 2 24" xfId="23680"/>
    <cellStyle name="Link Units (1) 2 25" xfId="28655"/>
    <cellStyle name="Link Units (1) 2 26" xfId="30445"/>
    <cellStyle name="Link Units (1) 2 27" xfId="32220"/>
    <cellStyle name="Link Units (1) 2 28" xfId="33974"/>
    <cellStyle name="Link Units (1) 2 29" xfId="35686"/>
    <cellStyle name="Link Units (1) 2 3" xfId="10378"/>
    <cellStyle name="Link Units (1) 2 30" xfId="37328"/>
    <cellStyle name="Link Units (1) 2 31" xfId="38883"/>
    <cellStyle name="Link Units (1) 2 32" xfId="40312"/>
    <cellStyle name="Link Units (1) 2 33" xfId="8770"/>
    <cellStyle name="Link Units (1) 2 4" xfId="10764"/>
    <cellStyle name="Link Units (1) 2 5" xfId="11084"/>
    <cellStyle name="Link Units (1) 2 6" xfId="11278"/>
    <cellStyle name="Link Units (1) 2 7" xfId="11469"/>
    <cellStyle name="Link Units (1) 2 8" xfId="11654"/>
    <cellStyle name="Link Units (1) 2 9" xfId="11836"/>
    <cellStyle name="Link Units (1) 20" xfId="11684"/>
    <cellStyle name="Link Units (1) 20 10" xfId="20823"/>
    <cellStyle name="Link Units (1) 20 11" xfId="21662"/>
    <cellStyle name="Link Units (1) 20 12" xfId="22446"/>
    <cellStyle name="Link Units (1) 20 13" xfId="26307"/>
    <cellStyle name="Link Units (1) 20 14" xfId="29638"/>
    <cellStyle name="Link Units (1) 20 15" xfId="31413"/>
    <cellStyle name="Link Units (1) 20 16" xfId="33176"/>
    <cellStyle name="Link Units (1) 20 17" xfId="34894"/>
    <cellStyle name="Link Units (1) 20 18" xfId="36547"/>
    <cellStyle name="Link Units (1) 20 19" xfId="38121"/>
    <cellStyle name="Link Units (1) 20 2" xfId="13377"/>
    <cellStyle name="Link Units (1) 20 20" xfId="39574"/>
    <cellStyle name="Link Units (1) 20 21" xfId="40847"/>
    <cellStyle name="Link Units (1) 20 22" xfId="41926"/>
    <cellStyle name="Link Units (1) 20 3" xfId="14501"/>
    <cellStyle name="Link Units (1) 20 4" xfId="15428"/>
    <cellStyle name="Link Units (1) 20 5" xfId="16359"/>
    <cellStyle name="Link Units (1) 20 6" xfId="17289"/>
    <cellStyle name="Link Units (1) 20 7" xfId="18197"/>
    <cellStyle name="Link Units (1) 20 8" xfId="19087"/>
    <cellStyle name="Link Units (1) 20 9" xfId="19964"/>
    <cellStyle name="Link Units (1) 21" xfId="11865"/>
    <cellStyle name="Link Units (1) 21 10" xfId="20901"/>
    <cellStyle name="Link Units (1) 21 11" xfId="21742"/>
    <cellStyle name="Link Units (1) 21 12" xfId="22524"/>
    <cellStyle name="Link Units (1) 21 13" xfId="26764"/>
    <cellStyle name="Link Units (1) 21 14" xfId="30094"/>
    <cellStyle name="Link Units (1) 21 15" xfId="31869"/>
    <cellStyle name="Link Units (1) 21 16" xfId="33625"/>
    <cellStyle name="Link Units (1) 21 17" xfId="35338"/>
    <cellStyle name="Link Units (1) 21 18" xfId="36984"/>
    <cellStyle name="Link Units (1) 21 19" xfId="38545"/>
    <cellStyle name="Link Units (1) 21 2" xfId="13457"/>
    <cellStyle name="Link Units (1) 21 20" xfId="39984"/>
    <cellStyle name="Link Units (1) 21 21" xfId="41236"/>
    <cellStyle name="Link Units (1) 21 22" xfId="42292"/>
    <cellStyle name="Link Units (1) 21 3" xfId="14580"/>
    <cellStyle name="Link Units (1) 21 4" xfId="15508"/>
    <cellStyle name="Link Units (1) 21 5" xfId="16439"/>
    <cellStyle name="Link Units (1) 21 6" xfId="17369"/>
    <cellStyle name="Link Units (1) 21 7" xfId="18277"/>
    <cellStyle name="Link Units (1) 21 8" xfId="19167"/>
    <cellStyle name="Link Units (1) 21 9" xfId="20043"/>
    <cellStyle name="Link Units (1) 22" xfId="11792"/>
    <cellStyle name="Link Units (1) 22 10" xfId="20979"/>
    <cellStyle name="Link Units (1) 22 11" xfId="21819"/>
    <cellStyle name="Link Units (1) 22 12" xfId="22600"/>
    <cellStyle name="Link Units (1) 22 13" xfId="26438"/>
    <cellStyle name="Link Units (1) 22 14" xfId="29769"/>
    <cellStyle name="Link Units (1) 22 15" xfId="31544"/>
    <cellStyle name="Link Units (1) 22 16" xfId="33303"/>
    <cellStyle name="Link Units (1) 22 17" xfId="35020"/>
    <cellStyle name="Link Units (1) 22 18" xfId="36671"/>
    <cellStyle name="Link Units (1) 22 19" xfId="38240"/>
    <cellStyle name="Link Units (1) 22 2" xfId="13537"/>
    <cellStyle name="Link Units (1) 22 20" xfId="39690"/>
    <cellStyle name="Link Units (1) 22 21" xfId="40958"/>
    <cellStyle name="Link Units (1) 22 22" xfId="42032"/>
    <cellStyle name="Link Units (1) 22 3" xfId="14659"/>
    <cellStyle name="Link Units (1) 22 4" xfId="15587"/>
    <cellStyle name="Link Units (1) 22 5" xfId="16518"/>
    <cellStyle name="Link Units (1) 22 6" xfId="17447"/>
    <cellStyle name="Link Units (1) 22 7" xfId="18356"/>
    <cellStyle name="Link Units (1) 22 8" xfId="19245"/>
    <cellStyle name="Link Units (1) 22 9" xfId="20119"/>
    <cellStyle name="Link Units (1) 23" xfId="10443"/>
    <cellStyle name="Link Units (1) 23 10" xfId="21047"/>
    <cellStyle name="Link Units (1) 23 11" xfId="21883"/>
    <cellStyle name="Link Units (1) 23 12" xfId="22664"/>
    <cellStyle name="Link Units (1) 23 2" xfId="13617"/>
    <cellStyle name="Link Units (1) 23 3" xfId="14735"/>
    <cellStyle name="Link Units (1) 23 4" xfId="15662"/>
    <cellStyle name="Link Units (1) 23 5" xfId="16592"/>
    <cellStyle name="Link Units (1) 23 6" xfId="17521"/>
    <cellStyle name="Link Units (1) 23 7" xfId="18425"/>
    <cellStyle name="Link Units (1) 23 8" xfId="19313"/>
    <cellStyle name="Link Units (1) 23 9" xfId="20188"/>
    <cellStyle name="Link Units (1) 24" xfId="12723"/>
    <cellStyle name="Link Units (1) 24 10" xfId="21100"/>
    <cellStyle name="Link Units (1) 24 11" xfId="21933"/>
    <cellStyle name="Link Units (1) 24 12" xfId="22714"/>
    <cellStyle name="Link Units (1) 24 2" xfId="13695"/>
    <cellStyle name="Link Units (1) 24 3" xfId="14802"/>
    <cellStyle name="Link Units (1) 24 4" xfId="15733"/>
    <cellStyle name="Link Units (1) 24 5" xfId="16661"/>
    <cellStyle name="Link Units (1) 24 6" xfId="17588"/>
    <cellStyle name="Link Units (1) 24 7" xfId="18492"/>
    <cellStyle name="Link Units (1) 24 8" xfId="19375"/>
    <cellStyle name="Link Units (1) 24 9" xfId="20247"/>
    <cellStyle name="Link Units (1) 25" xfId="13761"/>
    <cellStyle name="Link Units (1) 26" xfId="13813"/>
    <cellStyle name="Link Units (1) 27" xfId="12656"/>
    <cellStyle name="Link Units (1) 28" xfId="12016"/>
    <cellStyle name="Link Units (1) 29" xfId="15837"/>
    <cellStyle name="Link Units (1) 3" xfId="3797"/>
    <cellStyle name="Link Units (1) 3 2" xfId="4041"/>
    <cellStyle name="Link Units (1) 3 2 2" xfId="8856"/>
    <cellStyle name="Link Units (1) 30" xfId="14746"/>
    <cellStyle name="Link Units (1) 31" xfId="14716"/>
    <cellStyle name="Link Units (1) 32" xfId="10819"/>
    <cellStyle name="Link Units (1) 33" xfId="15854"/>
    <cellStyle name="Link Units (1) 34" xfId="19440"/>
    <cellStyle name="Link Units (1) 35" xfId="20306"/>
    <cellStyle name="Link Units (1) 36" xfId="19446"/>
    <cellStyle name="Link Units (1) 37" xfId="22873"/>
    <cellStyle name="Link Units (1) 38" xfId="22906"/>
    <cellStyle name="Link Units (1) 39" xfId="29532"/>
    <cellStyle name="Link Units (1) 4" xfId="8934"/>
    <cellStyle name="Link Units (1) 40" xfId="31308"/>
    <cellStyle name="Link Units (1) 41" xfId="33072"/>
    <cellStyle name="Link Units (1) 42" xfId="34791"/>
    <cellStyle name="Link Units (1) 43" xfId="36446"/>
    <cellStyle name="Link Units (1) 44" xfId="38029"/>
    <cellStyle name="Link Units (1) 45" xfId="39491"/>
    <cellStyle name="Link Units (1) 46" xfId="40782"/>
    <cellStyle name="Link Units (1) 47" xfId="7852"/>
    <cellStyle name="Link Units (1) 5" xfId="9012"/>
    <cellStyle name="Link Units (1) 6" xfId="9080"/>
    <cellStyle name="Link Units (1) 7" xfId="9133"/>
    <cellStyle name="Link Units (1) 8" xfId="9295"/>
    <cellStyle name="Link Units (1) 9" xfId="9770"/>
    <cellStyle name="Link Units (2)" xfId="3798"/>
    <cellStyle name="Link Units (2) 10" xfId="9856"/>
    <cellStyle name="Link Units (2) 11" xfId="9941"/>
    <cellStyle name="Link Units (2) 12" xfId="10025"/>
    <cellStyle name="Link Units (2) 13" xfId="10096"/>
    <cellStyle name="Link Units (2) 14" xfId="10152"/>
    <cellStyle name="Link Units (2) 15" xfId="10191"/>
    <cellStyle name="Link Units (2) 15 10" xfId="20428"/>
    <cellStyle name="Link Units (2) 15 11" xfId="21264"/>
    <cellStyle name="Link Units (2) 15 12" xfId="22061"/>
    <cellStyle name="Link Units (2) 15 13" xfId="26895"/>
    <cellStyle name="Link Units (2) 15 14" xfId="30223"/>
    <cellStyle name="Link Units (2) 15 15" xfId="31998"/>
    <cellStyle name="Link Units (2) 15 16" xfId="33753"/>
    <cellStyle name="Link Units (2) 15 17" xfId="35466"/>
    <cellStyle name="Link Units (2) 15 18" xfId="37110"/>
    <cellStyle name="Link Units (2) 15 19" xfId="38666"/>
    <cellStyle name="Link Units (2) 15 2" xfId="12978"/>
    <cellStyle name="Link Units (2) 15 20" xfId="40100"/>
    <cellStyle name="Link Units (2) 15 21" xfId="41347"/>
    <cellStyle name="Link Units (2) 15 22" xfId="42398"/>
    <cellStyle name="Link Units (2) 15 3" xfId="14104"/>
    <cellStyle name="Link Units (2) 15 4" xfId="15034"/>
    <cellStyle name="Link Units (2) 15 5" xfId="15961"/>
    <cellStyle name="Link Units (2) 15 6" xfId="16891"/>
    <cellStyle name="Link Units (2) 15 7" xfId="17799"/>
    <cellStyle name="Link Units (2) 15 8" xfId="18689"/>
    <cellStyle name="Link Units (2) 15 9" xfId="19567"/>
    <cellStyle name="Link Units (2) 16" xfId="10489"/>
    <cellStyle name="Link Units (2) 16 10" xfId="20508"/>
    <cellStyle name="Link Units (2) 16 11" xfId="21344"/>
    <cellStyle name="Link Units (2) 16 12" xfId="22138"/>
    <cellStyle name="Link Units (2) 16 13" xfId="26298"/>
    <cellStyle name="Link Units (2) 16 14" xfId="29629"/>
    <cellStyle name="Link Units (2) 16 15" xfId="31404"/>
    <cellStyle name="Link Units (2) 16 16" xfId="33167"/>
    <cellStyle name="Link Units (2) 16 17" xfId="34885"/>
    <cellStyle name="Link Units (2) 16 18" xfId="36538"/>
    <cellStyle name="Link Units (2) 16 19" xfId="38112"/>
    <cellStyle name="Link Units (2) 16 2" xfId="13058"/>
    <cellStyle name="Link Units (2) 16 20" xfId="39565"/>
    <cellStyle name="Link Units (2) 16 21" xfId="40838"/>
    <cellStyle name="Link Units (2) 16 22" xfId="41917"/>
    <cellStyle name="Link Units (2) 16 3" xfId="14184"/>
    <cellStyle name="Link Units (2) 16 4" xfId="15113"/>
    <cellStyle name="Link Units (2) 16 5" xfId="16041"/>
    <cellStyle name="Link Units (2) 16 6" xfId="16971"/>
    <cellStyle name="Link Units (2) 16 7" xfId="17879"/>
    <cellStyle name="Link Units (2) 16 8" xfId="18769"/>
    <cellStyle name="Link Units (2) 16 9" xfId="19647"/>
    <cellStyle name="Link Units (2) 17" xfId="10830"/>
    <cellStyle name="Link Units (2) 17 10" xfId="20587"/>
    <cellStyle name="Link Units (2) 17 11" xfId="21424"/>
    <cellStyle name="Link Units (2) 17 12" xfId="22215"/>
    <cellStyle name="Link Units (2) 17 13" xfId="26774"/>
    <cellStyle name="Link Units (2) 17 14" xfId="30104"/>
    <cellStyle name="Link Units (2) 17 15" xfId="31879"/>
    <cellStyle name="Link Units (2) 17 16" xfId="33635"/>
    <cellStyle name="Link Units (2) 17 17" xfId="35348"/>
    <cellStyle name="Link Units (2) 17 18" xfId="36994"/>
    <cellStyle name="Link Units (2) 17 19" xfId="38555"/>
    <cellStyle name="Link Units (2) 17 2" xfId="13138"/>
    <cellStyle name="Link Units (2) 17 20" xfId="39994"/>
    <cellStyle name="Link Units (2) 17 21" xfId="41246"/>
    <cellStyle name="Link Units (2) 17 22" xfId="42302"/>
    <cellStyle name="Link Units (2) 17 3" xfId="14264"/>
    <cellStyle name="Link Units (2) 17 4" xfId="15192"/>
    <cellStyle name="Link Units (2) 17 5" xfId="16121"/>
    <cellStyle name="Link Units (2) 17 6" xfId="17051"/>
    <cellStyle name="Link Units (2) 17 7" xfId="17959"/>
    <cellStyle name="Link Units (2) 17 8" xfId="18849"/>
    <cellStyle name="Link Units (2) 17 9" xfId="19727"/>
    <cellStyle name="Link Units (2) 18" xfId="11042"/>
    <cellStyle name="Link Units (2) 18 10" xfId="20666"/>
    <cellStyle name="Link Units (2) 18 11" xfId="21504"/>
    <cellStyle name="Link Units (2) 18 12" xfId="22292"/>
    <cellStyle name="Link Units (2) 18 13" xfId="26428"/>
    <cellStyle name="Link Units (2) 18 14" xfId="29759"/>
    <cellStyle name="Link Units (2) 18 15" xfId="31534"/>
    <cellStyle name="Link Units (2) 18 16" xfId="33293"/>
    <cellStyle name="Link Units (2) 18 17" xfId="35010"/>
    <cellStyle name="Link Units (2) 18 18" xfId="36661"/>
    <cellStyle name="Link Units (2) 18 19" xfId="38230"/>
    <cellStyle name="Link Units (2) 18 2" xfId="13218"/>
    <cellStyle name="Link Units (2) 18 20" xfId="39680"/>
    <cellStyle name="Link Units (2) 18 21" xfId="40948"/>
    <cellStyle name="Link Units (2) 18 22" xfId="42022"/>
    <cellStyle name="Link Units (2) 18 3" xfId="14343"/>
    <cellStyle name="Link Units (2) 18 4" xfId="15271"/>
    <cellStyle name="Link Units (2) 18 5" xfId="16201"/>
    <cellStyle name="Link Units (2) 18 6" xfId="17131"/>
    <cellStyle name="Link Units (2) 18 7" xfId="18039"/>
    <cellStyle name="Link Units (2) 18 8" xfId="18929"/>
    <cellStyle name="Link Units (2) 18 9" xfId="19806"/>
    <cellStyle name="Link Units (2) 19" xfId="11232"/>
    <cellStyle name="Link Units (2) 19 10" xfId="20745"/>
    <cellStyle name="Link Units (2) 19 11" xfId="21583"/>
    <cellStyle name="Link Units (2) 19 12" xfId="22369"/>
    <cellStyle name="Link Units (2) 19 13" xfId="26886"/>
    <cellStyle name="Link Units (2) 19 14" xfId="30214"/>
    <cellStyle name="Link Units (2) 19 15" xfId="31989"/>
    <cellStyle name="Link Units (2) 19 16" xfId="33744"/>
    <cellStyle name="Link Units (2) 19 17" xfId="35457"/>
    <cellStyle name="Link Units (2) 19 18" xfId="37101"/>
    <cellStyle name="Link Units (2) 19 19" xfId="38657"/>
    <cellStyle name="Link Units (2) 19 2" xfId="13298"/>
    <cellStyle name="Link Units (2) 19 20" xfId="40091"/>
    <cellStyle name="Link Units (2) 19 21" xfId="41338"/>
    <cellStyle name="Link Units (2) 19 22" xfId="42389"/>
    <cellStyle name="Link Units (2) 19 3" xfId="14422"/>
    <cellStyle name="Link Units (2) 19 4" xfId="15351"/>
    <cellStyle name="Link Units (2) 19 5" xfId="16280"/>
    <cellStyle name="Link Units (2) 19 6" xfId="17210"/>
    <cellStyle name="Link Units (2) 19 7" xfId="18118"/>
    <cellStyle name="Link Units (2) 19 8" xfId="19008"/>
    <cellStyle name="Link Units (2) 19 9" xfId="19885"/>
    <cellStyle name="Link Units (2) 2" xfId="3799"/>
    <cellStyle name="Link Units (2) 2 10" xfId="10230"/>
    <cellStyle name="Link Units (2) 2 11" xfId="10881"/>
    <cellStyle name="Link Units (2) 2 12" xfId="11240"/>
    <cellStyle name="Link Units (2) 2 13" xfId="12451"/>
    <cellStyle name="Link Units (2) 2 14" xfId="12100"/>
    <cellStyle name="Link Units (2) 2 15" xfId="11458"/>
    <cellStyle name="Link Units (2) 2 16" xfId="11098"/>
    <cellStyle name="Link Units (2) 2 17" xfId="11031"/>
    <cellStyle name="Link Units (2) 2 18" xfId="11253"/>
    <cellStyle name="Link Units (2) 2 19" xfId="13982"/>
    <cellStyle name="Link Units (2) 2 2" xfId="4042"/>
    <cellStyle name="Link Units (2) 2 2 2" xfId="9598"/>
    <cellStyle name="Link Units (2) 2 2 3" xfId="9446"/>
    <cellStyle name="Link Units (2) 2 20" xfId="18549"/>
    <cellStyle name="Link Units (2) 2 21" xfId="19426"/>
    <cellStyle name="Link Units (2) 2 22" xfId="15904"/>
    <cellStyle name="Link Units (2) 2 23" xfId="23066"/>
    <cellStyle name="Link Units (2) 2 24" xfId="22877"/>
    <cellStyle name="Link Units (2) 2 25" xfId="28654"/>
    <cellStyle name="Link Units (2) 2 26" xfId="30444"/>
    <cellStyle name="Link Units (2) 2 27" xfId="32219"/>
    <cellStyle name="Link Units (2) 2 28" xfId="33973"/>
    <cellStyle name="Link Units (2) 2 29" xfId="35685"/>
    <cellStyle name="Link Units (2) 2 3" xfId="10379"/>
    <cellStyle name="Link Units (2) 2 30" xfId="37327"/>
    <cellStyle name="Link Units (2) 2 31" xfId="38882"/>
    <cellStyle name="Link Units (2) 2 32" xfId="40311"/>
    <cellStyle name="Link Units (2) 2 33" xfId="8771"/>
    <cellStyle name="Link Units (2) 2 4" xfId="10688"/>
    <cellStyle name="Link Units (2) 2 5" xfId="10324"/>
    <cellStyle name="Link Units (2) 2 6" xfId="10692"/>
    <cellStyle name="Link Units (2) 2 7" xfId="10597"/>
    <cellStyle name="Link Units (2) 2 8" xfId="10410"/>
    <cellStyle name="Link Units (2) 2 9" xfId="11058"/>
    <cellStyle name="Link Units (2) 20" xfId="11423"/>
    <cellStyle name="Link Units (2) 20 10" xfId="20824"/>
    <cellStyle name="Link Units (2) 20 11" xfId="21663"/>
    <cellStyle name="Link Units (2) 20 12" xfId="22447"/>
    <cellStyle name="Link Units (2) 20 13" xfId="26308"/>
    <cellStyle name="Link Units (2) 20 14" xfId="29639"/>
    <cellStyle name="Link Units (2) 20 15" xfId="31414"/>
    <cellStyle name="Link Units (2) 20 16" xfId="33177"/>
    <cellStyle name="Link Units (2) 20 17" xfId="34895"/>
    <cellStyle name="Link Units (2) 20 18" xfId="36548"/>
    <cellStyle name="Link Units (2) 20 19" xfId="38122"/>
    <cellStyle name="Link Units (2) 20 2" xfId="13378"/>
    <cellStyle name="Link Units (2) 20 20" xfId="39575"/>
    <cellStyle name="Link Units (2) 20 21" xfId="40848"/>
    <cellStyle name="Link Units (2) 20 22" xfId="41927"/>
    <cellStyle name="Link Units (2) 20 3" xfId="14502"/>
    <cellStyle name="Link Units (2) 20 4" xfId="15429"/>
    <cellStyle name="Link Units (2) 20 5" xfId="16360"/>
    <cellStyle name="Link Units (2) 20 6" xfId="17290"/>
    <cellStyle name="Link Units (2) 20 7" xfId="18198"/>
    <cellStyle name="Link Units (2) 20 8" xfId="19088"/>
    <cellStyle name="Link Units (2) 20 9" xfId="19965"/>
    <cellStyle name="Link Units (2) 21" xfId="11614"/>
    <cellStyle name="Link Units (2) 21 10" xfId="20902"/>
    <cellStyle name="Link Units (2) 21 11" xfId="21743"/>
    <cellStyle name="Link Units (2) 21 12" xfId="22525"/>
    <cellStyle name="Link Units (2) 21 13" xfId="26763"/>
    <cellStyle name="Link Units (2) 21 14" xfId="30093"/>
    <cellStyle name="Link Units (2) 21 15" xfId="31868"/>
    <cellStyle name="Link Units (2) 21 16" xfId="33624"/>
    <cellStyle name="Link Units (2) 21 17" xfId="35337"/>
    <cellStyle name="Link Units (2) 21 18" xfId="36983"/>
    <cellStyle name="Link Units (2) 21 19" xfId="38544"/>
    <cellStyle name="Link Units (2) 21 2" xfId="13458"/>
    <cellStyle name="Link Units (2) 21 20" xfId="39983"/>
    <cellStyle name="Link Units (2) 21 21" xfId="41235"/>
    <cellStyle name="Link Units (2) 21 22" xfId="42291"/>
    <cellStyle name="Link Units (2) 21 3" xfId="14581"/>
    <cellStyle name="Link Units (2) 21 4" xfId="15509"/>
    <cellStyle name="Link Units (2) 21 5" xfId="16440"/>
    <cellStyle name="Link Units (2) 21 6" xfId="17370"/>
    <cellStyle name="Link Units (2) 21 7" xfId="18278"/>
    <cellStyle name="Link Units (2) 21 8" xfId="19168"/>
    <cellStyle name="Link Units (2) 21 9" xfId="20044"/>
    <cellStyle name="Link Units (2) 22" xfId="11716"/>
    <cellStyle name="Link Units (2) 22 10" xfId="20980"/>
    <cellStyle name="Link Units (2) 22 11" xfId="21820"/>
    <cellStyle name="Link Units (2) 22 12" xfId="22601"/>
    <cellStyle name="Link Units (2) 22 13" xfId="26439"/>
    <cellStyle name="Link Units (2) 22 14" xfId="29770"/>
    <cellStyle name="Link Units (2) 22 15" xfId="31545"/>
    <cellStyle name="Link Units (2) 22 16" xfId="33304"/>
    <cellStyle name="Link Units (2) 22 17" xfId="35021"/>
    <cellStyle name="Link Units (2) 22 18" xfId="36672"/>
    <cellStyle name="Link Units (2) 22 19" xfId="38241"/>
    <cellStyle name="Link Units (2) 22 2" xfId="13538"/>
    <cellStyle name="Link Units (2) 22 20" xfId="39691"/>
    <cellStyle name="Link Units (2) 22 21" xfId="40959"/>
    <cellStyle name="Link Units (2) 22 22" xfId="42033"/>
    <cellStyle name="Link Units (2) 22 3" xfId="14660"/>
    <cellStyle name="Link Units (2) 22 4" xfId="15588"/>
    <cellStyle name="Link Units (2) 22 5" xfId="16519"/>
    <cellStyle name="Link Units (2) 22 6" xfId="17448"/>
    <cellStyle name="Link Units (2) 22 7" xfId="18357"/>
    <cellStyle name="Link Units (2) 22 8" xfId="19246"/>
    <cellStyle name="Link Units (2) 22 9" xfId="20120"/>
    <cellStyle name="Link Units (2) 23" xfId="12048"/>
    <cellStyle name="Link Units (2) 23 10" xfId="21048"/>
    <cellStyle name="Link Units (2) 23 11" xfId="21884"/>
    <cellStyle name="Link Units (2) 23 12" xfId="22665"/>
    <cellStyle name="Link Units (2) 23 2" xfId="13618"/>
    <cellStyle name="Link Units (2) 23 3" xfId="14736"/>
    <cellStyle name="Link Units (2) 23 4" xfId="15663"/>
    <cellStyle name="Link Units (2) 23 5" xfId="16593"/>
    <cellStyle name="Link Units (2) 23 6" xfId="17522"/>
    <cellStyle name="Link Units (2) 23 7" xfId="18426"/>
    <cellStyle name="Link Units (2) 23 8" xfId="19314"/>
    <cellStyle name="Link Units (2) 23 9" xfId="20189"/>
    <cellStyle name="Link Units (2) 24" xfId="12681"/>
    <cellStyle name="Link Units (2) 24 10" xfId="21101"/>
    <cellStyle name="Link Units (2) 24 11" xfId="21934"/>
    <cellStyle name="Link Units (2) 24 12" xfId="22715"/>
    <cellStyle name="Link Units (2) 24 2" xfId="13696"/>
    <cellStyle name="Link Units (2) 24 3" xfId="14803"/>
    <cellStyle name="Link Units (2) 24 4" xfId="15734"/>
    <cellStyle name="Link Units (2) 24 5" xfId="16662"/>
    <cellStyle name="Link Units (2) 24 6" xfId="17589"/>
    <cellStyle name="Link Units (2) 24 7" xfId="18493"/>
    <cellStyle name="Link Units (2) 24 8" xfId="19376"/>
    <cellStyle name="Link Units (2) 24 9" xfId="20248"/>
    <cellStyle name="Link Units (2) 25" xfId="13762"/>
    <cellStyle name="Link Units (2) 26" xfId="13814"/>
    <cellStyle name="Link Units (2) 27" xfId="10544"/>
    <cellStyle name="Link Units (2) 28" xfId="12834"/>
    <cellStyle name="Link Units (2) 29" xfId="15803"/>
    <cellStyle name="Link Units (2) 3" xfId="3800"/>
    <cellStyle name="Link Units (2) 3 2" xfId="4043"/>
    <cellStyle name="Link Units (2) 3 2 2" xfId="8857"/>
    <cellStyle name="Link Units (2) 30" xfId="12509"/>
    <cellStyle name="Link Units (2) 31" xfId="16749"/>
    <cellStyle name="Link Units (2) 32" xfId="17663"/>
    <cellStyle name="Link Units (2) 33" xfId="18563"/>
    <cellStyle name="Link Units (2) 34" xfId="14869"/>
    <cellStyle name="Link Units (2) 35" xfId="21163"/>
    <cellStyle name="Link Units (2) 36" xfId="20355"/>
    <cellStyle name="Link Units (2) 37" xfId="22874"/>
    <cellStyle name="Link Units (2) 38" xfId="22905"/>
    <cellStyle name="Link Units (2) 39" xfId="29530"/>
    <cellStyle name="Link Units (2) 4" xfId="8935"/>
    <cellStyle name="Link Units (2) 40" xfId="31306"/>
    <cellStyle name="Link Units (2) 41" xfId="33070"/>
    <cellStyle name="Link Units (2) 42" xfId="34789"/>
    <cellStyle name="Link Units (2) 43" xfId="36444"/>
    <cellStyle name="Link Units (2) 44" xfId="38027"/>
    <cellStyle name="Link Units (2) 45" xfId="39489"/>
    <cellStyle name="Link Units (2) 46" xfId="40780"/>
    <cellStyle name="Link Units (2) 47" xfId="7853"/>
    <cellStyle name="Link Units (2) 5" xfId="9013"/>
    <cellStyle name="Link Units (2) 6" xfId="9081"/>
    <cellStyle name="Link Units (2) 7" xfId="9134"/>
    <cellStyle name="Link Units (2) 8" xfId="9296"/>
    <cellStyle name="Link Units (2) 9" xfId="9771"/>
    <cellStyle name="Linked Cell" xfId="13" builtinId="24" customBuiltin="1"/>
    <cellStyle name="Linked Cell 10" xfId="9857"/>
    <cellStyle name="Linked Cell 11" xfId="9942"/>
    <cellStyle name="Linked Cell 11 10" xfId="38573"/>
    <cellStyle name="Linked Cell 11 11" xfId="40010"/>
    <cellStyle name="Linked Cell 11 2" xfId="24845"/>
    <cellStyle name="Linked Cell 11 3" xfId="28232"/>
    <cellStyle name="Linked Cell 11 4" xfId="27544"/>
    <cellStyle name="Linked Cell 11 5" xfId="30126"/>
    <cellStyle name="Linked Cell 11 6" xfId="31901"/>
    <cellStyle name="Linked Cell 11 7" xfId="33656"/>
    <cellStyle name="Linked Cell 11 8" xfId="35369"/>
    <cellStyle name="Linked Cell 11 9" xfId="37014"/>
    <cellStyle name="Linked Cell 12" xfId="10026"/>
    <cellStyle name="Linked Cell 12 10" xfId="41075"/>
    <cellStyle name="Linked Cell 12 11" xfId="42140"/>
    <cellStyle name="Linked Cell 12 2" xfId="26583"/>
    <cellStyle name="Linked Cell 12 3" xfId="29913"/>
    <cellStyle name="Linked Cell 12 4" xfId="31688"/>
    <cellStyle name="Linked Cell 12 5" xfId="33447"/>
    <cellStyle name="Linked Cell 12 6" xfId="35161"/>
    <cellStyle name="Linked Cell 12 7" xfId="36810"/>
    <cellStyle name="Linked Cell 12 8" xfId="38374"/>
    <cellStyle name="Linked Cell 12 9" xfId="39817"/>
    <cellStyle name="Linked Cell 13" xfId="10097"/>
    <cellStyle name="Linked Cell 13 10" xfId="41253"/>
    <cellStyle name="Linked Cell 13 11" xfId="42308"/>
    <cellStyle name="Linked Cell 13 2" xfId="26782"/>
    <cellStyle name="Linked Cell 13 3" xfId="30112"/>
    <cellStyle name="Linked Cell 13 4" xfId="31887"/>
    <cellStyle name="Linked Cell 13 5" xfId="33643"/>
    <cellStyle name="Linked Cell 13 6" xfId="35356"/>
    <cellStyle name="Linked Cell 13 7" xfId="37001"/>
    <cellStyle name="Linked Cell 13 8" xfId="38562"/>
    <cellStyle name="Linked Cell 13 9" xfId="40001"/>
    <cellStyle name="Linked Cell 14" xfId="10153"/>
    <cellStyle name="Linked Cell 14 10" xfId="40938"/>
    <cellStyle name="Linked Cell 14 11" xfId="42012"/>
    <cellStyle name="Linked Cell 14 2" xfId="26416"/>
    <cellStyle name="Linked Cell 14 3" xfId="29747"/>
    <cellStyle name="Linked Cell 14 4" xfId="31522"/>
    <cellStyle name="Linked Cell 14 5" xfId="33281"/>
    <cellStyle name="Linked Cell 14 6" xfId="34998"/>
    <cellStyle name="Linked Cell 14 7" xfId="36649"/>
    <cellStyle name="Linked Cell 14 8" xfId="38219"/>
    <cellStyle name="Linked Cell 14 9" xfId="39669"/>
    <cellStyle name="Linked Cell 15" xfId="10192"/>
    <cellStyle name="Linked Cell 15 10" xfId="20429"/>
    <cellStyle name="Linked Cell 15 11" xfId="21265"/>
    <cellStyle name="Linked Cell 15 12" xfId="22062"/>
    <cellStyle name="Linked Cell 15 13" xfId="26894"/>
    <cellStyle name="Linked Cell 15 14" xfId="30222"/>
    <cellStyle name="Linked Cell 15 15" xfId="31997"/>
    <cellStyle name="Linked Cell 15 16" xfId="33752"/>
    <cellStyle name="Linked Cell 15 17" xfId="35465"/>
    <cellStyle name="Linked Cell 15 18" xfId="37109"/>
    <cellStyle name="Linked Cell 15 19" xfId="38665"/>
    <cellStyle name="Linked Cell 15 2" xfId="12979"/>
    <cellStyle name="Linked Cell 15 20" xfId="40099"/>
    <cellStyle name="Linked Cell 15 21" xfId="41346"/>
    <cellStyle name="Linked Cell 15 22" xfId="42397"/>
    <cellStyle name="Linked Cell 15 3" xfId="14105"/>
    <cellStyle name="Linked Cell 15 4" xfId="15035"/>
    <cellStyle name="Linked Cell 15 5" xfId="15962"/>
    <cellStyle name="Linked Cell 15 6" xfId="16892"/>
    <cellStyle name="Linked Cell 15 7" xfId="17800"/>
    <cellStyle name="Linked Cell 15 8" xfId="18690"/>
    <cellStyle name="Linked Cell 15 9" xfId="19568"/>
    <cellStyle name="Linked Cell 16" xfId="11262"/>
    <cellStyle name="Linked Cell 16 10" xfId="20509"/>
    <cellStyle name="Linked Cell 16 11" xfId="21345"/>
    <cellStyle name="Linked Cell 16 12" xfId="22139"/>
    <cellStyle name="Linked Cell 16 13" xfId="26299"/>
    <cellStyle name="Linked Cell 16 14" xfId="29630"/>
    <cellStyle name="Linked Cell 16 15" xfId="31405"/>
    <cellStyle name="Linked Cell 16 16" xfId="33168"/>
    <cellStyle name="Linked Cell 16 17" xfId="34886"/>
    <cellStyle name="Linked Cell 16 18" xfId="36539"/>
    <cellStyle name="Linked Cell 16 19" xfId="38113"/>
    <cellStyle name="Linked Cell 16 2" xfId="13059"/>
    <cellStyle name="Linked Cell 16 20" xfId="39566"/>
    <cellStyle name="Linked Cell 16 21" xfId="40839"/>
    <cellStyle name="Linked Cell 16 22" xfId="41918"/>
    <cellStyle name="Linked Cell 16 3" xfId="14185"/>
    <cellStyle name="Linked Cell 16 4" xfId="15114"/>
    <cellStyle name="Linked Cell 16 5" xfId="16042"/>
    <cellStyle name="Linked Cell 16 6" xfId="16972"/>
    <cellStyle name="Linked Cell 16 7" xfId="17880"/>
    <cellStyle name="Linked Cell 16 8" xfId="18770"/>
    <cellStyle name="Linked Cell 16 9" xfId="19648"/>
    <cellStyle name="Linked Cell 17" xfId="11453"/>
    <cellStyle name="Linked Cell 17 10" xfId="20588"/>
    <cellStyle name="Linked Cell 17 11" xfId="21425"/>
    <cellStyle name="Linked Cell 17 12" xfId="22216"/>
    <cellStyle name="Linked Cell 17 13" xfId="26773"/>
    <cellStyle name="Linked Cell 17 14" xfId="30103"/>
    <cellStyle name="Linked Cell 17 15" xfId="31878"/>
    <cellStyle name="Linked Cell 17 16" xfId="33634"/>
    <cellStyle name="Linked Cell 17 17" xfId="35347"/>
    <cellStyle name="Linked Cell 17 18" xfId="36993"/>
    <cellStyle name="Linked Cell 17 19" xfId="38554"/>
    <cellStyle name="Linked Cell 17 2" xfId="13139"/>
    <cellStyle name="Linked Cell 17 20" xfId="39993"/>
    <cellStyle name="Linked Cell 17 21" xfId="41245"/>
    <cellStyle name="Linked Cell 17 22" xfId="42301"/>
    <cellStyle name="Linked Cell 17 3" xfId="14265"/>
    <cellStyle name="Linked Cell 17 4" xfId="15193"/>
    <cellStyle name="Linked Cell 17 5" xfId="16122"/>
    <cellStyle name="Linked Cell 17 6" xfId="17052"/>
    <cellStyle name="Linked Cell 17 7" xfId="17960"/>
    <cellStyle name="Linked Cell 17 8" xfId="18850"/>
    <cellStyle name="Linked Cell 17 9" xfId="19728"/>
    <cellStyle name="Linked Cell 18" xfId="11640"/>
    <cellStyle name="Linked Cell 18 10" xfId="20667"/>
    <cellStyle name="Linked Cell 18 11" xfId="21505"/>
    <cellStyle name="Linked Cell 18 12" xfId="22293"/>
    <cellStyle name="Linked Cell 18 13" xfId="26429"/>
    <cellStyle name="Linked Cell 18 14" xfId="29760"/>
    <cellStyle name="Linked Cell 18 15" xfId="31535"/>
    <cellStyle name="Linked Cell 18 16" xfId="33294"/>
    <cellStyle name="Linked Cell 18 17" xfId="35011"/>
    <cellStyle name="Linked Cell 18 18" xfId="36662"/>
    <cellStyle name="Linked Cell 18 19" xfId="38231"/>
    <cellStyle name="Linked Cell 18 2" xfId="13219"/>
    <cellStyle name="Linked Cell 18 20" xfId="39681"/>
    <cellStyle name="Linked Cell 18 21" xfId="40949"/>
    <cellStyle name="Linked Cell 18 22" xfId="42023"/>
    <cellStyle name="Linked Cell 18 3" xfId="14344"/>
    <cellStyle name="Linked Cell 18 4" xfId="15272"/>
    <cellStyle name="Linked Cell 18 5" xfId="16202"/>
    <cellStyle name="Linked Cell 18 6" xfId="17132"/>
    <cellStyle name="Linked Cell 18 7" xfId="18040"/>
    <cellStyle name="Linked Cell 18 8" xfId="18930"/>
    <cellStyle name="Linked Cell 18 9" xfId="19807"/>
    <cellStyle name="Linked Cell 19" xfId="11823"/>
    <cellStyle name="Linked Cell 19 10" xfId="20746"/>
    <cellStyle name="Linked Cell 19 11" xfId="21584"/>
    <cellStyle name="Linked Cell 19 12" xfId="22370"/>
    <cellStyle name="Linked Cell 19 13" xfId="26885"/>
    <cellStyle name="Linked Cell 19 14" xfId="30213"/>
    <cellStyle name="Linked Cell 19 15" xfId="31988"/>
    <cellStyle name="Linked Cell 19 16" xfId="33743"/>
    <cellStyle name="Linked Cell 19 17" xfId="35456"/>
    <cellStyle name="Linked Cell 19 18" xfId="37100"/>
    <cellStyle name="Linked Cell 19 19" xfId="38656"/>
    <cellStyle name="Linked Cell 19 2" xfId="13299"/>
    <cellStyle name="Linked Cell 19 20" xfId="40090"/>
    <cellStyle name="Linked Cell 19 21" xfId="41337"/>
    <cellStyle name="Linked Cell 19 22" xfId="42388"/>
    <cellStyle name="Linked Cell 19 3" xfId="14423"/>
    <cellStyle name="Linked Cell 19 4" xfId="15352"/>
    <cellStyle name="Linked Cell 19 5" xfId="16281"/>
    <cellStyle name="Linked Cell 19 6" xfId="17211"/>
    <cellStyle name="Linked Cell 19 7" xfId="18119"/>
    <cellStyle name="Linked Cell 19 8" xfId="19009"/>
    <cellStyle name="Linked Cell 19 9" xfId="19886"/>
    <cellStyle name="Linked Cell 2" xfId="4044"/>
    <cellStyle name="Linked Cell 2 10" xfId="11140"/>
    <cellStyle name="Linked Cell 2 11" xfId="10995"/>
    <cellStyle name="Linked Cell 2 12" xfId="12532"/>
    <cellStyle name="Linked Cell 2 13" xfId="12629"/>
    <cellStyle name="Linked Cell 2 14" xfId="12643"/>
    <cellStyle name="Linked Cell 2 15" xfId="13864"/>
    <cellStyle name="Linked Cell 2 16" xfId="12324"/>
    <cellStyle name="Linked Cell 2 17" xfId="14840"/>
    <cellStyle name="Linked Cell 2 18" xfId="16732"/>
    <cellStyle name="Linked Cell 2 19" xfId="17647"/>
    <cellStyle name="Linked Cell 2 2" xfId="9447"/>
    <cellStyle name="Linked Cell 2 2 2" xfId="9599"/>
    <cellStyle name="Linked Cell 2 20" xfId="17756"/>
    <cellStyle name="Linked Cell 2 21" xfId="14029"/>
    <cellStyle name="Linked Cell 2 22" xfId="19338"/>
    <cellStyle name="Linked Cell 2 23" xfId="23067"/>
    <cellStyle name="Linked Cell 2 24" xfId="23622"/>
    <cellStyle name="Linked Cell 2 25" xfId="28653"/>
    <cellStyle name="Linked Cell 2 26" xfId="30443"/>
    <cellStyle name="Linked Cell 2 27" xfId="32218"/>
    <cellStyle name="Linked Cell 2 28" xfId="33972"/>
    <cellStyle name="Linked Cell 2 29" xfId="35684"/>
    <cellStyle name="Linked Cell 2 3" xfId="10380"/>
    <cellStyle name="Linked Cell 2 30" xfId="37326"/>
    <cellStyle name="Linked Cell 2 31" xfId="38881"/>
    <cellStyle name="Linked Cell 2 32" xfId="40310"/>
    <cellStyle name="Linked Cell 2 33" xfId="8772"/>
    <cellStyle name="Linked Cell 2 4" xfId="10615"/>
    <cellStyle name="Linked Cell 2 5" xfId="10868"/>
    <cellStyle name="Linked Cell 2 6" xfId="10860"/>
    <cellStyle name="Linked Cell 2 7" xfId="11187"/>
    <cellStyle name="Linked Cell 2 8" xfId="11380"/>
    <cellStyle name="Linked Cell 2 9" xfId="11570"/>
    <cellStyle name="Linked Cell 20" xfId="12005"/>
    <cellStyle name="Linked Cell 20 10" xfId="20825"/>
    <cellStyle name="Linked Cell 20 11" xfId="21664"/>
    <cellStyle name="Linked Cell 20 12" xfId="22448"/>
    <cellStyle name="Linked Cell 20 13" xfId="26309"/>
    <cellStyle name="Linked Cell 20 14" xfId="29640"/>
    <cellStyle name="Linked Cell 20 15" xfId="31415"/>
    <cellStyle name="Linked Cell 20 16" xfId="33178"/>
    <cellStyle name="Linked Cell 20 17" xfId="34896"/>
    <cellStyle name="Linked Cell 20 18" xfId="36549"/>
    <cellStyle name="Linked Cell 20 19" xfId="38123"/>
    <cellStyle name="Linked Cell 20 2" xfId="13379"/>
    <cellStyle name="Linked Cell 20 20" xfId="39576"/>
    <cellStyle name="Linked Cell 20 21" xfId="40849"/>
    <cellStyle name="Linked Cell 20 22" xfId="41928"/>
    <cellStyle name="Linked Cell 20 3" xfId="14503"/>
    <cellStyle name="Linked Cell 20 4" xfId="15430"/>
    <cellStyle name="Linked Cell 20 5" xfId="16361"/>
    <cellStyle name="Linked Cell 20 6" xfId="17291"/>
    <cellStyle name="Linked Cell 20 7" xfId="18199"/>
    <cellStyle name="Linked Cell 20 8" xfId="19089"/>
    <cellStyle name="Linked Cell 20 9" xfId="19966"/>
    <cellStyle name="Linked Cell 21" xfId="12179"/>
    <cellStyle name="Linked Cell 21 10" xfId="20903"/>
    <cellStyle name="Linked Cell 21 11" xfId="21744"/>
    <cellStyle name="Linked Cell 21 12" xfId="22526"/>
    <cellStyle name="Linked Cell 21 13" xfId="26762"/>
    <cellStyle name="Linked Cell 21 14" xfId="30092"/>
    <cellStyle name="Linked Cell 21 15" xfId="31867"/>
    <cellStyle name="Linked Cell 21 16" xfId="33623"/>
    <cellStyle name="Linked Cell 21 17" xfId="35336"/>
    <cellStyle name="Linked Cell 21 18" xfId="36982"/>
    <cellStyle name="Linked Cell 21 19" xfId="38543"/>
    <cellStyle name="Linked Cell 21 2" xfId="13459"/>
    <cellStyle name="Linked Cell 21 20" xfId="39982"/>
    <cellStyle name="Linked Cell 21 21" xfId="41234"/>
    <cellStyle name="Linked Cell 21 22" xfId="42290"/>
    <cellStyle name="Linked Cell 21 3" xfId="14582"/>
    <cellStyle name="Linked Cell 21 4" xfId="15510"/>
    <cellStyle name="Linked Cell 21 5" xfId="16441"/>
    <cellStyle name="Linked Cell 21 6" xfId="17371"/>
    <cellStyle name="Linked Cell 21 7" xfId="18279"/>
    <cellStyle name="Linked Cell 21 8" xfId="19169"/>
    <cellStyle name="Linked Cell 21 9" xfId="20045"/>
    <cellStyle name="Linked Cell 22" xfId="10505"/>
    <cellStyle name="Linked Cell 22 10" xfId="20981"/>
    <cellStyle name="Linked Cell 22 11" xfId="21821"/>
    <cellStyle name="Linked Cell 22 12" xfId="22602"/>
    <cellStyle name="Linked Cell 22 13" xfId="26440"/>
    <cellStyle name="Linked Cell 22 14" xfId="29771"/>
    <cellStyle name="Linked Cell 22 15" xfId="31546"/>
    <cellStyle name="Linked Cell 22 16" xfId="33305"/>
    <cellStyle name="Linked Cell 22 17" xfId="35022"/>
    <cellStyle name="Linked Cell 22 18" xfId="36673"/>
    <cellStyle name="Linked Cell 22 19" xfId="38242"/>
    <cellStyle name="Linked Cell 22 2" xfId="13539"/>
    <cellStyle name="Linked Cell 22 20" xfId="39692"/>
    <cellStyle name="Linked Cell 22 21" xfId="40960"/>
    <cellStyle name="Linked Cell 22 22" xfId="42034"/>
    <cellStyle name="Linked Cell 22 3" xfId="14661"/>
    <cellStyle name="Linked Cell 22 4" xfId="15589"/>
    <cellStyle name="Linked Cell 22 5" xfId="16520"/>
    <cellStyle name="Linked Cell 22 6" xfId="17449"/>
    <cellStyle name="Linked Cell 22 7" xfId="18358"/>
    <cellStyle name="Linked Cell 22 8" xfId="19247"/>
    <cellStyle name="Linked Cell 22 9" xfId="20121"/>
    <cellStyle name="Linked Cell 23" xfId="12551"/>
    <cellStyle name="Linked Cell 23 10" xfId="21049"/>
    <cellStyle name="Linked Cell 23 11" xfId="21885"/>
    <cellStyle name="Linked Cell 23 12" xfId="22666"/>
    <cellStyle name="Linked Cell 23 2" xfId="13619"/>
    <cellStyle name="Linked Cell 23 3" xfId="14737"/>
    <cellStyle name="Linked Cell 23 4" xfId="15664"/>
    <cellStyle name="Linked Cell 23 5" xfId="16594"/>
    <cellStyle name="Linked Cell 23 6" xfId="17523"/>
    <cellStyle name="Linked Cell 23 7" xfId="18427"/>
    <cellStyle name="Linked Cell 23 8" xfId="19315"/>
    <cellStyle name="Linked Cell 23 9" xfId="20190"/>
    <cellStyle name="Linked Cell 24" xfId="12633"/>
    <cellStyle name="Linked Cell 24 10" xfId="21102"/>
    <cellStyle name="Linked Cell 24 11" xfId="21935"/>
    <cellStyle name="Linked Cell 24 12" xfId="22716"/>
    <cellStyle name="Linked Cell 24 2" xfId="13697"/>
    <cellStyle name="Linked Cell 24 3" xfId="14804"/>
    <cellStyle name="Linked Cell 24 4" xfId="15735"/>
    <cellStyle name="Linked Cell 24 5" xfId="16663"/>
    <cellStyle name="Linked Cell 24 6" xfId="17590"/>
    <cellStyle name="Linked Cell 24 7" xfId="18494"/>
    <cellStyle name="Linked Cell 24 8" xfId="19377"/>
    <cellStyle name="Linked Cell 24 9" xfId="20249"/>
    <cellStyle name="Linked Cell 25" xfId="13763"/>
    <cellStyle name="Linked Cell 26" xfId="13815"/>
    <cellStyle name="Linked Cell 27" xfId="11945"/>
    <cellStyle name="Linked Cell 28" xfId="14910"/>
    <cellStyle name="Linked Cell 29" xfId="14997"/>
    <cellStyle name="Linked Cell 3" xfId="8858"/>
    <cellStyle name="Linked Cell 30" xfId="14961"/>
    <cellStyle name="Linked Cell 31" xfId="15823"/>
    <cellStyle name="Linked Cell 32" xfId="11918"/>
    <cellStyle name="Linked Cell 33" xfId="10711"/>
    <cellStyle name="Linked Cell 34" xfId="20317"/>
    <cellStyle name="Linked Cell 35" xfId="21145"/>
    <cellStyle name="Linked Cell 36" xfId="21132"/>
    <cellStyle name="Linked Cell 37" xfId="22875"/>
    <cellStyle name="Linked Cell 38" xfId="22904"/>
    <cellStyle name="Linked Cell 39" xfId="29529"/>
    <cellStyle name="Linked Cell 4" xfId="8936"/>
    <cellStyle name="Linked Cell 40" xfId="31305"/>
    <cellStyle name="Linked Cell 41" xfId="33069"/>
    <cellStyle name="Linked Cell 42" xfId="34788"/>
    <cellStyle name="Linked Cell 43" xfId="36443"/>
    <cellStyle name="Linked Cell 44" xfId="38026"/>
    <cellStyle name="Linked Cell 45" xfId="39488"/>
    <cellStyle name="Linked Cell 46" xfId="40779"/>
    <cellStyle name="Linked Cell 47" xfId="42651"/>
    <cellStyle name="Linked Cell 48" xfId="42599"/>
    <cellStyle name="Linked Cell 49" xfId="42671"/>
    <cellStyle name="Linked Cell 5" xfId="9014"/>
    <cellStyle name="Linked Cell 50" xfId="42716"/>
    <cellStyle name="Linked Cell 51" xfId="42713"/>
    <cellStyle name="Linked Cell 52" xfId="42758"/>
    <cellStyle name="Linked Cell 53" xfId="42800"/>
    <cellStyle name="Linked Cell 54" xfId="42841"/>
    <cellStyle name="Linked Cell 55" xfId="42882"/>
    <cellStyle name="Linked Cell 56" xfId="42922"/>
    <cellStyle name="Linked Cell 57" xfId="42962"/>
    <cellStyle name="Linked Cell 58" xfId="42999"/>
    <cellStyle name="Linked Cell 59" xfId="43034"/>
    <cellStyle name="Linked Cell 6" xfId="9082"/>
    <cellStyle name="Linked Cell 60" xfId="43169"/>
    <cellStyle name="Linked Cell 61" xfId="43143"/>
    <cellStyle name="Linked Cell 62" xfId="8659"/>
    <cellStyle name="Linked Cell 63" xfId="7751"/>
    <cellStyle name="Linked Cell 64" xfId="3801"/>
    <cellStyle name="Linked Cell 7" xfId="9135"/>
    <cellStyle name="Linked Cell 8" xfId="9297"/>
    <cellStyle name="Linked Cell 9" xfId="9772"/>
    <cellStyle name="Linked Cells" xfId="3802"/>
    <cellStyle name="Linked Cells 10" xfId="9858"/>
    <cellStyle name="Linked Cells 11" xfId="9943"/>
    <cellStyle name="Linked Cells 12" xfId="10027"/>
    <cellStyle name="Linked Cells 13" xfId="10098"/>
    <cellStyle name="Linked Cells 14" xfId="10154"/>
    <cellStyle name="Linked Cells 15" xfId="10193"/>
    <cellStyle name="Linked Cells 15 10" xfId="20430"/>
    <cellStyle name="Linked Cells 15 11" xfId="21266"/>
    <cellStyle name="Linked Cells 15 12" xfId="22063"/>
    <cellStyle name="Linked Cells 15 13" xfId="26893"/>
    <cellStyle name="Linked Cells 15 14" xfId="30221"/>
    <cellStyle name="Linked Cells 15 15" xfId="31996"/>
    <cellStyle name="Linked Cells 15 16" xfId="33751"/>
    <cellStyle name="Linked Cells 15 17" xfId="35464"/>
    <cellStyle name="Linked Cells 15 18" xfId="37108"/>
    <cellStyle name="Linked Cells 15 19" xfId="38664"/>
    <cellStyle name="Linked Cells 15 2" xfId="12980"/>
    <cellStyle name="Linked Cells 15 20" xfId="40098"/>
    <cellStyle name="Linked Cells 15 21" xfId="41345"/>
    <cellStyle name="Linked Cells 15 22" xfId="42396"/>
    <cellStyle name="Linked Cells 15 3" xfId="14106"/>
    <cellStyle name="Linked Cells 15 4" xfId="15036"/>
    <cellStyle name="Linked Cells 15 5" xfId="15963"/>
    <cellStyle name="Linked Cells 15 6" xfId="16893"/>
    <cellStyle name="Linked Cells 15 7" xfId="17801"/>
    <cellStyle name="Linked Cells 15 8" xfId="18691"/>
    <cellStyle name="Linked Cells 15 9" xfId="19569"/>
    <cellStyle name="Linked Cells 16" xfId="11217"/>
    <cellStyle name="Linked Cells 16 10" xfId="20510"/>
    <cellStyle name="Linked Cells 16 11" xfId="21346"/>
    <cellStyle name="Linked Cells 16 12" xfId="22140"/>
    <cellStyle name="Linked Cells 16 13" xfId="26300"/>
    <cellStyle name="Linked Cells 16 14" xfId="29631"/>
    <cellStyle name="Linked Cells 16 15" xfId="31406"/>
    <cellStyle name="Linked Cells 16 16" xfId="33169"/>
    <cellStyle name="Linked Cells 16 17" xfId="34887"/>
    <cellStyle name="Linked Cells 16 18" xfId="36540"/>
    <cellStyle name="Linked Cells 16 19" xfId="38114"/>
    <cellStyle name="Linked Cells 16 2" xfId="13060"/>
    <cellStyle name="Linked Cells 16 20" xfId="39567"/>
    <cellStyle name="Linked Cells 16 21" xfId="40840"/>
    <cellStyle name="Linked Cells 16 22" xfId="41919"/>
    <cellStyle name="Linked Cells 16 3" xfId="14186"/>
    <cellStyle name="Linked Cells 16 4" xfId="15115"/>
    <cellStyle name="Linked Cells 16 5" xfId="16043"/>
    <cellStyle name="Linked Cells 16 6" xfId="16973"/>
    <cellStyle name="Linked Cells 16 7" xfId="17881"/>
    <cellStyle name="Linked Cells 16 8" xfId="18771"/>
    <cellStyle name="Linked Cells 16 9" xfId="19649"/>
    <cellStyle name="Linked Cells 17" xfId="11409"/>
    <cellStyle name="Linked Cells 17 10" xfId="20589"/>
    <cellStyle name="Linked Cells 17 11" xfId="21426"/>
    <cellStyle name="Linked Cells 17 12" xfId="22217"/>
    <cellStyle name="Linked Cells 17 13" xfId="26772"/>
    <cellStyle name="Linked Cells 17 14" xfId="30102"/>
    <cellStyle name="Linked Cells 17 15" xfId="31877"/>
    <cellStyle name="Linked Cells 17 16" xfId="33633"/>
    <cellStyle name="Linked Cells 17 17" xfId="35346"/>
    <cellStyle name="Linked Cells 17 18" xfId="36992"/>
    <cellStyle name="Linked Cells 17 19" xfId="38553"/>
    <cellStyle name="Linked Cells 17 2" xfId="13140"/>
    <cellStyle name="Linked Cells 17 20" xfId="39992"/>
    <cellStyle name="Linked Cells 17 21" xfId="41244"/>
    <cellStyle name="Linked Cells 17 22" xfId="42300"/>
    <cellStyle name="Linked Cells 17 3" xfId="14266"/>
    <cellStyle name="Linked Cells 17 4" xfId="15194"/>
    <cellStyle name="Linked Cells 17 5" xfId="16123"/>
    <cellStyle name="Linked Cells 17 6" xfId="17053"/>
    <cellStyle name="Linked Cells 17 7" xfId="17961"/>
    <cellStyle name="Linked Cells 17 8" xfId="18851"/>
    <cellStyle name="Linked Cells 17 9" xfId="19729"/>
    <cellStyle name="Linked Cells 18" xfId="11598"/>
    <cellStyle name="Linked Cells 18 10" xfId="20668"/>
    <cellStyle name="Linked Cells 18 11" xfId="21506"/>
    <cellStyle name="Linked Cells 18 12" xfId="22294"/>
    <cellStyle name="Linked Cells 18 13" xfId="26430"/>
    <cellStyle name="Linked Cells 18 14" xfId="29761"/>
    <cellStyle name="Linked Cells 18 15" xfId="31536"/>
    <cellStyle name="Linked Cells 18 16" xfId="33295"/>
    <cellStyle name="Linked Cells 18 17" xfId="35012"/>
    <cellStyle name="Linked Cells 18 18" xfId="36663"/>
    <cellStyle name="Linked Cells 18 19" xfId="38232"/>
    <cellStyle name="Linked Cells 18 2" xfId="13220"/>
    <cellStyle name="Linked Cells 18 20" xfId="39682"/>
    <cellStyle name="Linked Cells 18 21" xfId="40950"/>
    <cellStyle name="Linked Cells 18 22" xfId="42024"/>
    <cellStyle name="Linked Cells 18 3" xfId="14345"/>
    <cellStyle name="Linked Cells 18 4" xfId="15273"/>
    <cellStyle name="Linked Cells 18 5" xfId="16203"/>
    <cellStyle name="Linked Cells 18 6" xfId="17133"/>
    <cellStyle name="Linked Cells 18 7" xfId="18041"/>
    <cellStyle name="Linked Cells 18 8" xfId="18931"/>
    <cellStyle name="Linked Cells 18 9" xfId="19808"/>
    <cellStyle name="Linked Cells 19" xfId="11779"/>
    <cellStyle name="Linked Cells 19 10" xfId="20747"/>
    <cellStyle name="Linked Cells 19 11" xfId="21585"/>
    <cellStyle name="Linked Cells 19 12" xfId="22371"/>
    <cellStyle name="Linked Cells 19 13" xfId="26884"/>
    <cellStyle name="Linked Cells 19 14" xfId="30212"/>
    <cellStyle name="Linked Cells 19 15" xfId="31987"/>
    <cellStyle name="Linked Cells 19 16" xfId="33742"/>
    <cellStyle name="Linked Cells 19 17" xfId="35455"/>
    <cellStyle name="Linked Cells 19 18" xfId="37099"/>
    <cellStyle name="Linked Cells 19 19" xfId="38655"/>
    <cellStyle name="Linked Cells 19 2" xfId="13300"/>
    <cellStyle name="Linked Cells 19 20" xfId="40089"/>
    <cellStyle name="Linked Cells 19 21" xfId="41336"/>
    <cellStyle name="Linked Cells 19 22" xfId="42387"/>
    <cellStyle name="Linked Cells 19 3" xfId="14424"/>
    <cellStyle name="Linked Cells 19 4" xfId="15353"/>
    <cellStyle name="Linked Cells 19 5" xfId="16282"/>
    <cellStyle name="Linked Cells 19 6" xfId="17212"/>
    <cellStyle name="Linked Cells 19 7" xfId="18120"/>
    <cellStyle name="Linked Cells 19 8" xfId="19010"/>
    <cellStyle name="Linked Cells 19 9" xfId="19887"/>
    <cellStyle name="Linked Cells 2" xfId="8773"/>
    <cellStyle name="Linked Cells 2 10" xfId="11997"/>
    <cellStyle name="Linked Cells 2 11" xfId="11245"/>
    <cellStyle name="Linked Cells 2 12" xfId="12434"/>
    <cellStyle name="Linked Cells 2 13" xfId="11602"/>
    <cellStyle name="Linked Cells 2 14" xfId="12367"/>
    <cellStyle name="Linked Cells 2 15" xfId="13925"/>
    <cellStyle name="Linked Cells 2 16" xfId="12694"/>
    <cellStyle name="Linked Cells 2 17" xfId="12815"/>
    <cellStyle name="Linked Cells 2 18" xfId="15918"/>
    <cellStyle name="Linked Cells 2 19" xfId="16847"/>
    <cellStyle name="Linked Cells 2 2" xfId="9448"/>
    <cellStyle name="Linked Cells 2 2 2" xfId="9600"/>
    <cellStyle name="Linked Cells 2 20" xfId="12587"/>
    <cellStyle name="Linked Cells 2 21" xfId="12217"/>
    <cellStyle name="Linked Cells 2 22" xfId="19395"/>
    <cellStyle name="Linked Cells 2 23" xfId="23068"/>
    <cellStyle name="Linked Cells 2 24" xfId="23553"/>
    <cellStyle name="Linked Cells 2 25" xfId="28624"/>
    <cellStyle name="Linked Cells 2 26" xfId="30414"/>
    <cellStyle name="Linked Cells 2 27" xfId="32189"/>
    <cellStyle name="Linked Cells 2 28" xfId="33943"/>
    <cellStyle name="Linked Cells 2 29" xfId="35655"/>
    <cellStyle name="Linked Cells 2 3" xfId="10381"/>
    <cellStyle name="Linked Cells 2 30" xfId="37297"/>
    <cellStyle name="Linked Cells 2 31" xfId="38852"/>
    <cellStyle name="Linked Cells 2 32" xfId="40281"/>
    <cellStyle name="Linked Cells 2 4" xfId="10539"/>
    <cellStyle name="Linked Cells 2 5" xfId="10676"/>
    <cellStyle name="Linked Cells 2 6" xfId="10320"/>
    <cellStyle name="Linked Cells 2 7" xfId="10203"/>
    <cellStyle name="Linked Cells 2 8" xfId="10707"/>
    <cellStyle name="Linked Cells 2 9" xfId="10412"/>
    <cellStyle name="Linked Cells 20" xfId="11963"/>
    <cellStyle name="Linked Cells 20 10" xfId="20826"/>
    <cellStyle name="Linked Cells 20 11" xfId="21665"/>
    <cellStyle name="Linked Cells 20 12" xfId="22449"/>
    <cellStyle name="Linked Cells 20 13" xfId="26310"/>
    <cellStyle name="Linked Cells 20 14" xfId="29641"/>
    <cellStyle name="Linked Cells 20 15" xfId="31416"/>
    <cellStyle name="Linked Cells 20 16" xfId="33179"/>
    <cellStyle name="Linked Cells 20 17" xfId="34897"/>
    <cellStyle name="Linked Cells 20 18" xfId="36550"/>
    <cellStyle name="Linked Cells 20 19" xfId="38124"/>
    <cellStyle name="Linked Cells 20 2" xfId="13380"/>
    <cellStyle name="Linked Cells 20 20" xfId="39577"/>
    <cellStyle name="Linked Cells 20 21" xfId="40850"/>
    <cellStyle name="Linked Cells 20 22" xfId="41929"/>
    <cellStyle name="Linked Cells 20 3" xfId="14504"/>
    <cellStyle name="Linked Cells 20 4" xfId="15431"/>
    <cellStyle name="Linked Cells 20 5" xfId="16362"/>
    <cellStyle name="Linked Cells 20 6" xfId="17292"/>
    <cellStyle name="Linked Cells 20 7" xfId="18200"/>
    <cellStyle name="Linked Cells 20 8" xfId="19090"/>
    <cellStyle name="Linked Cells 20 9" xfId="19967"/>
    <cellStyle name="Linked Cells 21" xfId="12139"/>
    <cellStyle name="Linked Cells 21 10" xfId="20904"/>
    <cellStyle name="Linked Cells 21 11" xfId="21745"/>
    <cellStyle name="Linked Cells 21 12" xfId="22527"/>
    <cellStyle name="Linked Cells 21 13" xfId="26761"/>
    <cellStyle name="Linked Cells 21 14" xfId="30091"/>
    <cellStyle name="Linked Cells 21 15" xfId="31866"/>
    <cellStyle name="Linked Cells 21 16" xfId="33622"/>
    <cellStyle name="Linked Cells 21 17" xfId="35335"/>
    <cellStyle name="Linked Cells 21 18" xfId="36981"/>
    <cellStyle name="Linked Cells 21 19" xfId="38542"/>
    <cellStyle name="Linked Cells 21 2" xfId="13460"/>
    <cellStyle name="Linked Cells 21 20" xfId="39981"/>
    <cellStyle name="Linked Cells 21 21" xfId="41233"/>
    <cellStyle name="Linked Cells 21 22" xfId="42289"/>
    <cellStyle name="Linked Cells 21 3" xfId="14583"/>
    <cellStyle name="Linked Cells 21 4" xfId="15511"/>
    <cellStyle name="Linked Cells 21 5" xfId="16442"/>
    <cellStyle name="Linked Cells 21 6" xfId="17372"/>
    <cellStyle name="Linked Cells 21 7" xfId="18280"/>
    <cellStyle name="Linked Cells 21 8" xfId="19170"/>
    <cellStyle name="Linked Cells 21 9" xfId="20046"/>
    <cellStyle name="Linked Cells 22" xfId="12085"/>
    <cellStyle name="Linked Cells 22 10" xfId="20982"/>
    <cellStyle name="Linked Cells 22 11" xfId="21822"/>
    <cellStyle name="Linked Cells 22 12" xfId="22603"/>
    <cellStyle name="Linked Cells 22 13" xfId="26441"/>
    <cellStyle name="Linked Cells 22 14" xfId="29772"/>
    <cellStyle name="Linked Cells 22 15" xfId="31547"/>
    <cellStyle name="Linked Cells 22 16" xfId="33306"/>
    <cellStyle name="Linked Cells 22 17" xfId="35023"/>
    <cellStyle name="Linked Cells 22 18" xfId="36674"/>
    <cellStyle name="Linked Cells 22 19" xfId="38243"/>
    <cellStyle name="Linked Cells 22 2" xfId="13540"/>
    <cellStyle name="Linked Cells 22 20" xfId="39693"/>
    <cellStyle name="Linked Cells 22 21" xfId="40961"/>
    <cellStyle name="Linked Cells 22 22" xfId="42035"/>
    <cellStyle name="Linked Cells 22 3" xfId="14662"/>
    <cellStyle name="Linked Cells 22 4" xfId="15590"/>
    <cellStyle name="Linked Cells 22 5" xfId="16521"/>
    <cellStyle name="Linked Cells 22 6" xfId="17450"/>
    <cellStyle name="Linked Cells 22 7" xfId="18359"/>
    <cellStyle name="Linked Cells 22 8" xfId="19248"/>
    <cellStyle name="Linked Cells 22 9" xfId="20122"/>
    <cellStyle name="Linked Cells 23" xfId="12512"/>
    <cellStyle name="Linked Cells 23 10" xfId="21050"/>
    <cellStyle name="Linked Cells 23 11" xfId="21886"/>
    <cellStyle name="Linked Cells 23 12" xfId="22667"/>
    <cellStyle name="Linked Cells 23 2" xfId="13620"/>
    <cellStyle name="Linked Cells 23 3" xfId="14738"/>
    <cellStyle name="Linked Cells 23 4" xfId="15665"/>
    <cellStyle name="Linked Cells 23 5" xfId="16595"/>
    <cellStyle name="Linked Cells 23 6" xfId="17524"/>
    <cellStyle name="Linked Cells 23 7" xfId="18428"/>
    <cellStyle name="Linked Cells 23 8" xfId="19316"/>
    <cellStyle name="Linked Cells 23 9" xfId="20191"/>
    <cellStyle name="Linked Cells 24" xfId="12569"/>
    <cellStyle name="Linked Cells 24 10" xfId="21103"/>
    <cellStyle name="Linked Cells 24 11" xfId="21936"/>
    <cellStyle name="Linked Cells 24 12" xfId="22717"/>
    <cellStyle name="Linked Cells 24 2" xfId="13698"/>
    <cellStyle name="Linked Cells 24 3" xfId="14805"/>
    <cellStyle name="Linked Cells 24 4" xfId="15736"/>
    <cellStyle name="Linked Cells 24 5" xfId="16664"/>
    <cellStyle name="Linked Cells 24 6" xfId="17591"/>
    <cellStyle name="Linked Cells 24 7" xfId="18495"/>
    <cellStyle name="Linked Cells 24 8" xfId="19378"/>
    <cellStyle name="Linked Cells 24 9" xfId="20250"/>
    <cellStyle name="Linked Cells 25" xfId="13764"/>
    <cellStyle name="Linked Cells 26" xfId="13816"/>
    <cellStyle name="Linked Cells 27" xfId="10890"/>
    <cellStyle name="Linked Cells 28" xfId="14879"/>
    <cellStyle name="Linked Cells 29" xfId="14929"/>
    <cellStyle name="Linked Cells 3" xfId="8859"/>
    <cellStyle name="Linked Cells 30" xfId="16768"/>
    <cellStyle name="Linked Cells 31" xfId="17678"/>
    <cellStyle name="Linked Cells 32" xfId="18578"/>
    <cellStyle name="Linked Cells 33" xfId="19456"/>
    <cellStyle name="Linked Cells 34" xfId="20298"/>
    <cellStyle name="Linked Cells 35" xfId="20391"/>
    <cellStyle name="Linked Cells 36" xfId="21979"/>
    <cellStyle name="Linked Cells 37" xfId="22876"/>
    <cellStyle name="Linked Cells 38" xfId="22903"/>
    <cellStyle name="Linked Cells 39" xfId="29528"/>
    <cellStyle name="Linked Cells 4" xfId="8937"/>
    <cellStyle name="Linked Cells 40" xfId="31304"/>
    <cellStyle name="Linked Cells 41" xfId="33068"/>
    <cellStyle name="Linked Cells 42" xfId="34787"/>
    <cellStyle name="Linked Cells 43" xfId="36442"/>
    <cellStyle name="Linked Cells 44" xfId="38025"/>
    <cellStyle name="Linked Cells 45" xfId="39487"/>
    <cellStyle name="Linked Cells 46" xfId="40778"/>
    <cellStyle name="Linked Cells 47" xfId="7854"/>
    <cellStyle name="Linked Cells 5" xfId="9015"/>
    <cellStyle name="Linked Cells 6" xfId="9083"/>
    <cellStyle name="Linked Cells 7" xfId="9136"/>
    <cellStyle name="Linked Cells 8" xfId="9298"/>
    <cellStyle name="Linked Cells 9" xfId="9773"/>
    <cellStyle name="MainSection" xfId="3803"/>
    <cellStyle name="MainSection 2" xfId="7752"/>
    <cellStyle name="Migliaia (0)_NEGS" xfId="3804"/>
    <cellStyle name="Migliaia_NEGS" xfId="3805"/>
    <cellStyle name="Milliers [0]_!!!GO" xfId="3806"/>
    <cellStyle name="Milliers_!!!GO" xfId="3807"/>
    <cellStyle name="Monetaire [0]_!!!GO" xfId="3808"/>
    <cellStyle name="Monétaire [0]_!!!GO" xfId="3809"/>
    <cellStyle name="Monetaire [0]_!!!GO 2" xfId="7855"/>
    <cellStyle name="Monetaire_!!!GO" xfId="3810"/>
    <cellStyle name="Monétaire_!!!GO" xfId="3811"/>
    <cellStyle name="Monetaire_!!!GO 2" xfId="7856"/>
    <cellStyle name="Needs Work" xfId="3812"/>
    <cellStyle name="Needs Work 2" xfId="7857"/>
    <cellStyle name="Neutral" xfId="9" builtinId="28" customBuiltin="1"/>
    <cellStyle name="Neutral 10" xfId="9860"/>
    <cellStyle name="Neutral 11" xfId="9945"/>
    <cellStyle name="Neutral 11 10" xfId="35795"/>
    <cellStyle name="Neutral 11 11" xfId="37431"/>
    <cellStyle name="Neutral 11 2" xfId="24847"/>
    <cellStyle name="Neutral 11 3" xfId="28234"/>
    <cellStyle name="Neutral 11 4" xfId="27542"/>
    <cellStyle name="Neutral 11 5" xfId="23631"/>
    <cellStyle name="Neutral 11 6" xfId="28770"/>
    <cellStyle name="Neutral 11 7" xfId="30558"/>
    <cellStyle name="Neutral 11 8" xfId="32333"/>
    <cellStyle name="Neutral 11 9" xfId="34085"/>
    <cellStyle name="Neutral 12" xfId="10029"/>
    <cellStyle name="Neutral 12 10" xfId="41078"/>
    <cellStyle name="Neutral 12 11" xfId="42142"/>
    <cellStyle name="Neutral 12 2" xfId="26586"/>
    <cellStyle name="Neutral 12 3" xfId="29916"/>
    <cellStyle name="Neutral 12 4" xfId="31691"/>
    <cellStyle name="Neutral 12 5" xfId="33450"/>
    <cellStyle name="Neutral 12 6" xfId="35164"/>
    <cellStyle name="Neutral 12 7" xfId="36813"/>
    <cellStyle name="Neutral 12 8" xfId="38377"/>
    <cellStyle name="Neutral 12 9" xfId="39820"/>
    <cellStyle name="Neutral 13" xfId="10099"/>
    <cellStyle name="Neutral 13 10" xfId="41250"/>
    <cellStyle name="Neutral 13 11" xfId="42306"/>
    <cellStyle name="Neutral 13 2" xfId="26779"/>
    <cellStyle name="Neutral 13 3" xfId="30109"/>
    <cellStyle name="Neutral 13 4" xfId="31884"/>
    <cellStyle name="Neutral 13 5" xfId="33640"/>
    <cellStyle name="Neutral 13 6" xfId="35353"/>
    <cellStyle name="Neutral 13 7" xfId="36998"/>
    <cellStyle name="Neutral 13 8" xfId="38559"/>
    <cellStyle name="Neutral 13 9" xfId="39998"/>
    <cellStyle name="Neutral 14" xfId="10155"/>
    <cellStyle name="Neutral 14 10" xfId="40940"/>
    <cellStyle name="Neutral 14 11" xfId="42014"/>
    <cellStyle name="Neutral 14 2" xfId="26419"/>
    <cellStyle name="Neutral 14 3" xfId="29750"/>
    <cellStyle name="Neutral 14 4" xfId="31525"/>
    <cellStyle name="Neutral 14 5" xfId="33284"/>
    <cellStyle name="Neutral 14 6" xfId="35001"/>
    <cellStyle name="Neutral 14 7" xfId="36652"/>
    <cellStyle name="Neutral 14 8" xfId="38222"/>
    <cellStyle name="Neutral 14 9" xfId="39672"/>
    <cellStyle name="Neutral 15" xfId="10195"/>
    <cellStyle name="Neutral 15 10" xfId="20432"/>
    <cellStyle name="Neutral 15 11" xfId="21268"/>
    <cellStyle name="Neutral 15 12" xfId="22065"/>
    <cellStyle name="Neutral 15 13" xfId="26891"/>
    <cellStyle name="Neutral 15 14" xfId="30219"/>
    <cellStyle name="Neutral 15 15" xfId="31994"/>
    <cellStyle name="Neutral 15 16" xfId="33749"/>
    <cellStyle name="Neutral 15 17" xfId="35462"/>
    <cellStyle name="Neutral 15 18" xfId="37106"/>
    <cellStyle name="Neutral 15 19" xfId="38662"/>
    <cellStyle name="Neutral 15 2" xfId="12982"/>
    <cellStyle name="Neutral 15 20" xfId="40096"/>
    <cellStyle name="Neutral 15 21" xfId="41343"/>
    <cellStyle name="Neutral 15 22" xfId="42394"/>
    <cellStyle name="Neutral 15 3" xfId="14108"/>
    <cellStyle name="Neutral 15 4" xfId="15038"/>
    <cellStyle name="Neutral 15 5" xfId="15965"/>
    <cellStyle name="Neutral 15 6" xfId="16895"/>
    <cellStyle name="Neutral 15 7" xfId="17803"/>
    <cellStyle name="Neutral 15 8" xfId="18693"/>
    <cellStyle name="Neutral 15 9" xfId="19571"/>
    <cellStyle name="Neutral 16" xfId="10223"/>
    <cellStyle name="Neutral 16 10" xfId="20512"/>
    <cellStyle name="Neutral 16 11" xfId="21348"/>
    <cellStyle name="Neutral 16 12" xfId="22142"/>
    <cellStyle name="Neutral 16 13" xfId="26377"/>
    <cellStyle name="Neutral 16 14" xfId="29708"/>
    <cellStyle name="Neutral 16 15" xfId="31483"/>
    <cellStyle name="Neutral 16 16" xfId="33244"/>
    <cellStyle name="Neutral 16 17" xfId="34962"/>
    <cellStyle name="Neutral 16 18" xfId="36615"/>
    <cellStyle name="Neutral 16 19" xfId="38189"/>
    <cellStyle name="Neutral 16 2" xfId="13062"/>
    <cellStyle name="Neutral 16 20" xfId="39642"/>
    <cellStyle name="Neutral 16 21" xfId="40914"/>
    <cellStyle name="Neutral 16 22" xfId="41993"/>
    <cellStyle name="Neutral 16 3" xfId="14188"/>
    <cellStyle name="Neutral 16 4" xfId="15117"/>
    <cellStyle name="Neutral 16 5" xfId="16045"/>
    <cellStyle name="Neutral 16 6" xfId="16975"/>
    <cellStyle name="Neutral 16 7" xfId="17883"/>
    <cellStyle name="Neutral 16 8" xfId="18773"/>
    <cellStyle name="Neutral 16 9" xfId="19651"/>
    <cellStyle name="Neutral 17" xfId="10855"/>
    <cellStyle name="Neutral 17 10" xfId="20591"/>
    <cellStyle name="Neutral 17 11" xfId="21428"/>
    <cellStyle name="Neutral 17 12" xfId="22219"/>
    <cellStyle name="Neutral 17 13" xfId="26771"/>
    <cellStyle name="Neutral 17 14" xfId="30101"/>
    <cellStyle name="Neutral 17 15" xfId="31876"/>
    <cellStyle name="Neutral 17 16" xfId="33632"/>
    <cellStyle name="Neutral 17 17" xfId="35345"/>
    <cellStyle name="Neutral 17 18" xfId="36991"/>
    <cellStyle name="Neutral 17 19" xfId="38552"/>
    <cellStyle name="Neutral 17 2" xfId="13142"/>
    <cellStyle name="Neutral 17 20" xfId="39991"/>
    <cellStyle name="Neutral 17 21" xfId="41243"/>
    <cellStyle name="Neutral 17 22" xfId="42299"/>
    <cellStyle name="Neutral 17 3" xfId="14268"/>
    <cellStyle name="Neutral 17 4" xfId="15196"/>
    <cellStyle name="Neutral 17 5" xfId="16125"/>
    <cellStyle name="Neutral 17 6" xfId="17055"/>
    <cellStyle name="Neutral 17 7" xfId="17963"/>
    <cellStyle name="Neutral 17 8" xfId="18853"/>
    <cellStyle name="Neutral 17 9" xfId="19731"/>
    <cellStyle name="Neutral 18" xfId="10696"/>
    <cellStyle name="Neutral 18 10" xfId="20670"/>
    <cellStyle name="Neutral 18 11" xfId="21508"/>
    <cellStyle name="Neutral 18 12" xfId="22296"/>
    <cellStyle name="Neutral 18 13" xfId="26431"/>
    <cellStyle name="Neutral 18 14" xfId="29762"/>
    <cellStyle name="Neutral 18 15" xfId="31537"/>
    <cellStyle name="Neutral 18 16" xfId="33296"/>
    <cellStyle name="Neutral 18 17" xfId="35013"/>
    <cellStyle name="Neutral 18 18" xfId="36664"/>
    <cellStyle name="Neutral 18 19" xfId="38233"/>
    <cellStyle name="Neutral 18 2" xfId="13222"/>
    <cellStyle name="Neutral 18 20" xfId="39683"/>
    <cellStyle name="Neutral 18 21" xfId="40951"/>
    <cellStyle name="Neutral 18 22" xfId="42025"/>
    <cellStyle name="Neutral 18 3" xfId="14347"/>
    <cellStyle name="Neutral 18 4" xfId="15275"/>
    <cellStyle name="Neutral 18 5" xfId="16205"/>
    <cellStyle name="Neutral 18 6" xfId="17135"/>
    <cellStyle name="Neutral 18 7" xfId="18043"/>
    <cellStyle name="Neutral 18 8" xfId="18933"/>
    <cellStyle name="Neutral 18 9" xfId="19810"/>
    <cellStyle name="Neutral 19" xfId="10472"/>
    <cellStyle name="Neutral 19 10" xfId="20749"/>
    <cellStyle name="Neutral 19 11" xfId="21587"/>
    <cellStyle name="Neutral 19 12" xfId="22373"/>
    <cellStyle name="Neutral 19 13" xfId="26883"/>
    <cellStyle name="Neutral 19 14" xfId="30211"/>
    <cellStyle name="Neutral 19 15" xfId="31986"/>
    <cellStyle name="Neutral 19 16" xfId="33741"/>
    <cellStyle name="Neutral 19 17" xfId="35454"/>
    <cellStyle name="Neutral 19 18" xfId="37098"/>
    <cellStyle name="Neutral 19 19" xfId="38654"/>
    <cellStyle name="Neutral 19 2" xfId="13302"/>
    <cellStyle name="Neutral 19 20" xfId="40088"/>
    <cellStyle name="Neutral 19 21" xfId="41335"/>
    <cellStyle name="Neutral 19 22" xfId="42386"/>
    <cellStyle name="Neutral 19 3" xfId="14426"/>
    <cellStyle name="Neutral 19 4" xfId="15355"/>
    <cellStyle name="Neutral 19 5" xfId="16284"/>
    <cellStyle name="Neutral 19 6" xfId="17214"/>
    <cellStyle name="Neutral 19 7" xfId="18122"/>
    <cellStyle name="Neutral 19 8" xfId="19012"/>
    <cellStyle name="Neutral 19 9" xfId="19889"/>
    <cellStyle name="Neutral 2" xfId="4045"/>
    <cellStyle name="Neutral 2 10" xfId="11580"/>
    <cellStyle name="Neutral 2 11" xfId="12354"/>
    <cellStyle name="Neutral 2 12" xfId="12666"/>
    <cellStyle name="Neutral 2 13" xfId="12170"/>
    <cellStyle name="Neutral 2 14" xfId="11941"/>
    <cellStyle name="Neutral 2 15" xfId="11879"/>
    <cellStyle name="Neutral 2 16" xfId="13990"/>
    <cellStyle name="Neutral 2 17" xfId="10763"/>
    <cellStyle name="Neutral 2 18" xfId="13898"/>
    <cellStyle name="Neutral 2 19" xfId="14010"/>
    <cellStyle name="Neutral 2 2" xfId="9450"/>
    <cellStyle name="Neutral 2 2 2" xfId="9601"/>
    <cellStyle name="Neutral 2 20" xfId="18591"/>
    <cellStyle name="Neutral 2 21" xfId="19470"/>
    <cellStyle name="Neutral 2 22" xfId="12583"/>
    <cellStyle name="Neutral 2 23" xfId="23070"/>
    <cellStyle name="Neutral 2 24" xfId="23393"/>
    <cellStyle name="Neutral 2 25" xfId="28621"/>
    <cellStyle name="Neutral 2 26" xfId="30411"/>
    <cellStyle name="Neutral 2 27" xfId="32186"/>
    <cellStyle name="Neutral 2 28" xfId="33940"/>
    <cellStyle name="Neutral 2 29" xfId="35652"/>
    <cellStyle name="Neutral 2 3" xfId="10383"/>
    <cellStyle name="Neutral 2 30" xfId="37294"/>
    <cellStyle name="Neutral 2 31" xfId="38850"/>
    <cellStyle name="Neutral 2 32" xfId="40279"/>
    <cellStyle name="Neutral 2 33" xfId="8775"/>
    <cellStyle name="Neutral 2 4" xfId="10386"/>
    <cellStyle name="Neutral 2 5" xfId="11133"/>
    <cellStyle name="Neutral 2 6" xfId="11327"/>
    <cellStyle name="Neutral 2 7" xfId="11519"/>
    <cellStyle name="Neutral 2 8" xfId="11701"/>
    <cellStyle name="Neutral 2 9" xfId="11885"/>
    <cellStyle name="Neutral 20" xfId="10453"/>
    <cellStyle name="Neutral 20 10" xfId="20828"/>
    <cellStyle name="Neutral 20 11" xfId="21667"/>
    <cellStyle name="Neutral 20 12" xfId="22451"/>
    <cellStyle name="Neutral 20 13" xfId="26311"/>
    <cellStyle name="Neutral 20 14" xfId="29642"/>
    <cellStyle name="Neutral 20 15" xfId="31417"/>
    <cellStyle name="Neutral 20 16" xfId="33180"/>
    <cellStyle name="Neutral 20 17" xfId="34898"/>
    <cellStyle name="Neutral 20 18" xfId="36551"/>
    <cellStyle name="Neutral 20 19" xfId="38125"/>
    <cellStyle name="Neutral 20 2" xfId="13382"/>
    <cellStyle name="Neutral 20 20" xfId="39578"/>
    <cellStyle name="Neutral 20 21" xfId="40851"/>
    <cellStyle name="Neutral 20 22" xfId="41930"/>
    <cellStyle name="Neutral 20 3" xfId="14506"/>
    <cellStyle name="Neutral 20 4" xfId="15433"/>
    <cellStyle name="Neutral 20 5" xfId="16364"/>
    <cellStyle name="Neutral 20 6" xfId="17294"/>
    <cellStyle name="Neutral 20 7" xfId="18202"/>
    <cellStyle name="Neutral 20 8" xfId="19092"/>
    <cellStyle name="Neutral 20 9" xfId="19969"/>
    <cellStyle name="Neutral 21" xfId="11054"/>
    <cellStyle name="Neutral 21 10" xfId="20906"/>
    <cellStyle name="Neutral 21 11" xfId="21747"/>
    <cellStyle name="Neutral 21 12" xfId="22529"/>
    <cellStyle name="Neutral 21 13" xfId="26760"/>
    <cellStyle name="Neutral 21 14" xfId="30090"/>
    <cellStyle name="Neutral 21 15" xfId="31865"/>
    <cellStyle name="Neutral 21 16" xfId="33621"/>
    <cellStyle name="Neutral 21 17" xfId="35334"/>
    <cellStyle name="Neutral 21 18" xfId="36980"/>
    <cellStyle name="Neutral 21 19" xfId="38541"/>
    <cellStyle name="Neutral 21 2" xfId="13462"/>
    <cellStyle name="Neutral 21 20" xfId="39980"/>
    <cellStyle name="Neutral 21 21" xfId="41232"/>
    <cellStyle name="Neutral 21 22" xfId="42288"/>
    <cellStyle name="Neutral 21 3" xfId="14585"/>
    <cellStyle name="Neutral 21 4" xfId="15513"/>
    <cellStyle name="Neutral 21 5" xfId="16444"/>
    <cellStyle name="Neutral 21 6" xfId="17374"/>
    <cellStyle name="Neutral 21 7" xfId="18282"/>
    <cellStyle name="Neutral 21 8" xfId="19172"/>
    <cellStyle name="Neutral 21 9" xfId="20048"/>
    <cellStyle name="Neutral 22" xfId="12366"/>
    <cellStyle name="Neutral 22 10" xfId="20984"/>
    <cellStyle name="Neutral 22 11" xfId="21824"/>
    <cellStyle name="Neutral 22 12" xfId="22605"/>
    <cellStyle name="Neutral 22 13" xfId="26442"/>
    <cellStyle name="Neutral 22 14" xfId="29773"/>
    <cellStyle name="Neutral 22 15" xfId="31548"/>
    <cellStyle name="Neutral 22 16" xfId="33307"/>
    <cellStyle name="Neutral 22 17" xfId="35024"/>
    <cellStyle name="Neutral 22 18" xfId="36675"/>
    <cellStyle name="Neutral 22 19" xfId="38244"/>
    <cellStyle name="Neutral 22 2" xfId="13542"/>
    <cellStyle name="Neutral 22 20" xfId="39694"/>
    <cellStyle name="Neutral 22 21" xfId="40962"/>
    <cellStyle name="Neutral 22 22" xfId="42036"/>
    <cellStyle name="Neutral 22 3" xfId="14664"/>
    <cellStyle name="Neutral 22 4" xfId="15592"/>
    <cellStyle name="Neutral 22 5" xfId="16523"/>
    <cellStyle name="Neutral 22 6" xfId="17452"/>
    <cellStyle name="Neutral 22 7" xfId="18361"/>
    <cellStyle name="Neutral 22 8" xfId="19250"/>
    <cellStyle name="Neutral 22 9" xfId="20124"/>
    <cellStyle name="Neutral 23" xfId="11567"/>
    <cellStyle name="Neutral 23 10" xfId="21052"/>
    <cellStyle name="Neutral 23 11" xfId="21888"/>
    <cellStyle name="Neutral 23 12" xfId="22669"/>
    <cellStyle name="Neutral 23 2" xfId="13622"/>
    <cellStyle name="Neutral 23 3" xfId="14740"/>
    <cellStyle name="Neutral 23 4" xfId="15667"/>
    <cellStyle name="Neutral 23 5" xfId="16597"/>
    <cellStyle name="Neutral 23 6" xfId="17526"/>
    <cellStyle name="Neutral 23 7" xfId="18430"/>
    <cellStyle name="Neutral 23 8" xfId="19318"/>
    <cellStyle name="Neutral 23 9" xfId="20193"/>
    <cellStyle name="Neutral 24" xfId="12014"/>
    <cellStyle name="Neutral 24 10" xfId="21104"/>
    <cellStyle name="Neutral 24 11" xfId="21937"/>
    <cellStyle name="Neutral 24 12" xfId="22718"/>
    <cellStyle name="Neutral 24 2" xfId="13700"/>
    <cellStyle name="Neutral 24 3" xfId="14806"/>
    <cellStyle name="Neutral 24 4" xfId="15738"/>
    <cellStyle name="Neutral 24 5" xfId="16666"/>
    <cellStyle name="Neutral 24 6" xfId="17593"/>
    <cellStyle name="Neutral 24 7" xfId="18497"/>
    <cellStyle name="Neutral 24 8" xfId="19380"/>
    <cellStyle name="Neutral 24 9" xfId="20251"/>
    <cellStyle name="Neutral 25" xfId="13766"/>
    <cellStyle name="Neutral 26" xfId="13817"/>
    <cellStyle name="Neutral 27" xfId="12720"/>
    <cellStyle name="Neutral 28" xfId="12653"/>
    <cellStyle name="Neutral 29" xfId="11599"/>
    <cellStyle name="Neutral 3" xfId="8861"/>
    <cellStyle name="Neutral 30" xfId="11837"/>
    <cellStyle name="Neutral 31" xfId="13984"/>
    <cellStyle name="Neutral 32" xfId="11800"/>
    <cellStyle name="Neutral 33" xfId="16744"/>
    <cellStyle name="Neutral 34" xfId="17626"/>
    <cellStyle name="Neutral 35" xfId="16721"/>
    <cellStyle name="Neutral 36" xfId="20305"/>
    <cellStyle name="Neutral 37" xfId="22878"/>
    <cellStyle name="Neutral 38" xfId="23333"/>
    <cellStyle name="Neutral 39" xfId="29525"/>
    <cellStyle name="Neutral 4" xfId="8939"/>
    <cellStyle name="Neutral 40" xfId="31301"/>
    <cellStyle name="Neutral 41" xfId="33065"/>
    <cellStyle name="Neutral 42" xfId="34784"/>
    <cellStyle name="Neutral 43" xfId="36439"/>
    <cellStyle name="Neutral 44" xfId="38022"/>
    <cellStyle name="Neutral 45" xfId="39485"/>
    <cellStyle name="Neutral 46" xfId="40776"/>
    <cellStyle name="Neutral 47" xfId="42658"/>
    <cellStyle name="Neutral 48" xfId="42582"/>
    <cellStyle name="Neutral 49" xfId="42682"/>
    <cellStyle name="Neutral 5" xfId="9017"/>
    <cellStyle name="Neutral 50" xfId="42727"/>
    <cellStyle name="Neutral 51" xfId="42769"/>
    <cellStyle name="Neutral 52" xfId="42811"/>
    <cellStyle name="Neutral 53" xfId="42852"/>
    <cellStyle name="Neutral 54" xfId="42893"/>
    <cellStyle name="Neutral 55" xfId="42933"/>
    <cellStyle name="Neutral 56" xfId="42970"/>
    <cellStyle name="Neutral 57" xfId="43007"/>
    <cellStyle name="Neutral 58" xfId="43041"/>
    <cellStyle name="Neutral 59" xfId="43074"/>
    <cellStyle name="Neutral 6" xfId="9085"/>
    <cellStyle name="Neutral 60" xfId="43170"/>
    <cellStyle name="Neutral 61" xfId="43130"/>
    <cellStyle name="Neutral 62" xfId="8660"/>
    <cellStyle name="Neutral 63" xfId="7753"/>
    <cellStyle name="Neutral 64" xfId="3813"/>
    <cellStyle name="Neutral 7" xfId="9137"/>
    <cellStyle name="Neutral 8" xfId="9299"/>
    <cellStyle name="Neutral 9" xfId="9775"/>
    <cellStyle name="no border" xfId="3814"/>
    <cellStyle name="no border 2" xfId="3815"/>
    <cellStyle name="no border 2 2" xfId="4046"/>
    <cellStyle name="no border 3" xfId="3816"/>
    <cellStyle name="no border 3 2" xfId="4047"/>
    <cellStyle name="no dec" xfId="3817"/>
    <cellStyle name="Normal" xfId="0" builtinId="0"/>
    <cellStyle name="Normal - Style1" xfId="3818"/>
    <cellStyle name="Normal - Style1 10" xfId="9861"/>
    <cellStyle name="Normal - Style1 11" xfId="9946"/>
    <cellStyle name="Normal - Style1 12" xfId="10030"/>
    <cellStyle name="Normal - Style1 13" xfId="10100"/>
    <cellStyle name="Normal - Style1 14" xfId="10156"/>
    <cellStyle name="Normal - Style1 15" xfId="10196"/>
    <cellStyle name="Normal - Style1 15 10" xfId="20433"/>
    <cellStyle name="Normal - Style1 15 11" xfId="21269"/>
    <cellStyle name="Normal - Style1 15 12" xfId="22066"/>
    <cellStyle name="Normal - Style1 15 13" xfId="26890"/>
    <cellStyle name="Normal - Style1 15 14" xfId="30218"/>
    <cellStyle name="Normal - Style1 15 15" xfId="31993"/>
    <cellStyle name="Normal - Style1 15 16" xfId="33748"/>
    <cellStyle name="Normal - Style1 15 17" xfId="35461"/>
    <cellStyle name="Normal - Style1 15 18" xfId="37105"/>
    <cellStyle name="Normal - Style1 15 19" xfId="38661"/>
    <cellStyle name="Normal - Style1 15 2" xfId="12983"/>
    <cellStyle name="Normal - Style1 15 20" xfId="40095"/>
    <cellStyle name="Normal - Style1 15 21" xfId="41342"/>
    <cellStyle name="Normal - Style1 15 22" xfId="42393"/>
    <cellStyle name="Normal - Style1 15 3" xfId="14109"/>
    <cellStyle name="Normal - Style1 15 4" xfId="15039"/>
    <cellStyle name="Normal - Style1 15 5" xfId="15966"/>
    <cellStyle name="Normal - Style1 15 6" xfId="16896"/>
    <cellStyle name="Normal - Style1 15 7" xfId="17804"/>
    <cellStyle name="Normal - Style1 15 8" xfId="18694"/>
    <cellStyle name="Normal - Style1 15 9" xfId="19572"/>
    <cellStyle name="Normal - Style1 16" xfId="10222"/>
    <cellStyle name="Normal - Style1 16 10" xfId="20513"/>
    <cellStyle name="Normal - Style1 16 11" xfId="21349"/>
    <cellStyle name="Normal - Style1 16 12" xfId="22143"/>
    <cellStyle name="Normal - Style1 16 13" xfId="26378"/>
    <cellStyle name="Normal - Style1 16 14" xfId="29709"/>
    <cellStyle name="Normal - Style1 16 15" xfId="31484"/>
    <cellStyle name="Normal - Style1 16 16" xfId="33245"/>
    <cellStyle name="Normal - Style1 16 17" xfId="34963"/>
    <cellStyle name="Normal - Style1 16 18" xfId="36616"/>
    <cellStyle name="Normal - Style1 16 19" xfId="38190"/>
    <cellStyle name="Normal - Style1 16 2" xfId="13063"/>
    <cellStyle name="Normal - Style1 16 20" xfId="39643"/>
    <cellStyle name="Normal - Style1 16 21" xfId="40915"/>
    <cellStyle name="Normal - Style1 16 22" xfId="41994"/>
    <cellStyle name="Normal - Style1 16 3" xfId="14189"/>
    <cellStyle name="Normal - Style1 16 4" xfId="15118"/>
    <cellStyle name="Normal - Style1 16 5" xfId="16046"/>
    <cellStyle name="Normal - Style1 16 6" xfId="16976"/>
    <cellStyle name="Normal - Style1 16 7" xfId="17884"/>
    <cellStyle name="Normal - Style1 16 8" xfId="18774"/>
    <cellStyle name="Normal - Style1 16 9" xfId="19652"/>
    <cellStyle name="Normal - Style1 17" xfId="10930"/>
    <cellStyle name="Normal - Style1 17 10" xfId="20592"/>
    <cellStyle name="Normal - Style1 17 11" xfId="21429"/>
    <cellStyle name="Normal - Style1 17 12" xfId="22220"/>
    <cellStyle name="Normal - Style1 17 13" xfId="26770"/>
    <cellStyle name="Normal - Style1 17 14" xfId="30100"/>
    <cellStyle name="Normal - Style1 17 15" xfId="31875"/>
    <cellStyle name="Normal - Style1 17 16" xfId="33631"/>
    <cellStyle name="Normal - Style1 17 17" xfId="35344"/>
    <cellStyle name="Normal - Style1 17 18" xfId="36990"/>
    <cellStyle name="Normal - Style1 17 19" xfId="38551"/>
    <cellStyle name="Normal - Style1 17 2" xfId="13143"/>
    <cellStyle name="Normal - Style1 17 20" xfId="39990"/>
    <cellStyle name="Normal - Style1 17 21" xfId="41242"/>
    <cellStyle name="Normal - Style1 17 22" xfId="42298"/>
    <cellStyle name="Normal - Style1 17 3" xfId="14269"/>
    <cellStyle name="Normal - Style1 17 4" xfId="15197"/>
    <cellStyle name="Normal - Style1 17 5" xfId="16126"/>
    <cellStyle name="Normal - Style1 17 6" xfId="17056"/>
    <cellStyle name="Normal - Style1 17 7" xfId="17964"/>
    <cellStyle name="Normal - Style1 17 8" xfId="18854"/>
    <cellStyle name="Normal - Style1 17 9" xfId="19732"/>
    <cellStyle name="Normal - Style1 18" xfId="11012"/>
    <cellStyle name="Normal - Style1 18 10" xfId="20671"/>
    <cellStyle name="Normal - Style1 18 11" xfId="21509"/>
    <cellStyle name="Normal - Style1 18 12" xfId="22297"/>
    <cellStyle name="Normal - Style1 18 13" xfId="26432"/>
    <cellStyle name="Normal - Style1 18 14" xfId="29763"/>
    <cellStyle name="Normal - Style1 18 15" xfId="31538"/>
    <cellStyle name="Normal - Style1 18 16" xfId="33297"/>
    <cellStyle name="Normal - Style1 18 17" xfId="35014"/>
    <cellStyle name="Normal - Style1 18 18" xfId="36665"/>
    <cellStyle name="Normal - Style1 18 19" xfId="38234"/>
    <cellStyle name="Normal - Style1 18 2" xfId="13223"/>
    <cellStyle name="Normal - Style1 18 20" xfId="39684"/>
    <cellStyle name="Normal - Style1 18 21" xfId="40952"/>
    <cellStyle name="Normal - Style1 18 22" xfId="42026"/>
    <cellStyle name="Normal - Style1 18 3" xfId="14348"/>
    <cellStyle name="Normal - Style1 18 4" xfId="15276"/>
    <cellStyle name="Normal - Style1 18 5" xfId="16206"/>
    <cellStyle name="Normal - Style1 18 6" xfId="17136"/>
    <cellStyle name="Normal - Style1 18 7" xfId="18044"/>
    <cellStyle name="Normal - Style1 18 8" xfId="18934"/>
    <cellStyle name="Normal - Style1 18 9" xfId="19811"/>
    <cellStyle name="Normal - Style1 19" xfId="11229"/>
    <cellStyle name="Normal - Style1 19 10" xfId="20750"/>
    <cellStyle name="Normal - Style1 19 11" xfId="21588"/>
    <cellStyle name="Normal - Style1 19 12" xfId="22374"/>
    <cellStyle name="Normal - Style1 19 13" xfId="26882"/>
    <cellStyle name="Normal - Style1 19 14" xfId="30210"/>
    <cellStyle name="Normal - Style1 19 15" xfId="31985"/>
    <cellStyle name="Normal - Style1 19 16" xfId="33740"/>
    <cellStyle name="Normal - Style1 19 17" xfId="35453"/>
    <cellStyle name="Normal - Style1 19 18" xfId="37097"/>
    <cellStyle name="Normal - Style1 19 19" xfId="38653"/>
    <cellStyle name="Normal - Style1 19 2" xfId="13303"/>
    <cellStyle name="Normal - Style1 19 20" xfId="40087"/>
    <cellStyle name="Normal - Style1 19 21" xfId="41334"/>
    <cellStyle name="Normal - Style1 19 22" xfId="42385"/>
    <cellStyle name="Normal - Style1 19 3" xfId="14427"/>
    <cellStyle name="Normal - Style1 19 4" xfId="15356"/>
    <cellStyle name="Normal - Style1 19 5" xfId="16285"/>
    <cellStyle name="Normal - Style1 19 6" xfId="17215"/>
    <cellStyle name="Normal - Style1 19 7" xfId="18123"/>
    <cellStyle name="Normal - Style1 19 8" xfId="19013"/>
    <cellStyle name="Normal - Style1 19 9" xfId="19890"/>
    <cellStyle name="Normal - Style1 2" xfId="3819"/>
    <cellStyle name="Normal - Style1 2 10" xfId="10880"/>
    <cellStyle name="Normal - Style1 2 11" xfId="12538"/>
    <cellStyle name="Normal - Style1 2 12" xfId="12612"/>
    <cellStyle name="Normal - Style1 2 13" xfId="11717"/>
    <cellStyle name="Normal - Style1 2 14" xfId="12263"/>
    <cellStyle name="Normal - Style1 2 15" xfId="12411"/>
    <cellStyle name="Normal - Style1 2 16" xfId="11243"/>
    <cellStyle name="Normal - Style1 2 17" xfId="15857"/>
    <cellStyle name="Normal - Style1 2 18" xfId="16785"/>
    <cellStyle name="Normal - Style1 2 19" xfId="17694"/>
    <cellStyle name="Normal - Style1 2 2" xfId="4048"/>
    <cellStyle name="Normal - Style1 2 2 2" xfId="9602"/>
    <cellStyle name="Normal - Style1 2 2 3" xfId="9451"/>
    <cellStyle name="Normal - Style1 2 20" xfId="18652"/>
    <cellStyle name="Normal - Style1 2 21" xfId="12870"/>
    <cellStyle name="Normal - Style1 2 22" xfId="12808"/>
    <cellStyle name="Normal - Style1 2 23" xfId="23071"/>
    <cellStyle name="Normal - Style1 2 24" xfId="23311"/>
    <cellStyle name="Normal - Style1 2 25" xfId="28620"/>
    <cellStyle name="Normal - Style1 2 26" xfId="30410"/>
    <cellStyle name="Normal - Style1 2 27" xfId="32185"/>
    <cellStyle name="Normal - Style1 2 28" xfId="33939"/>
    <cellStyle name="Normal - Style1 2 29" xfId="35651"/>
    <cellStyle name="Normal - Style1 2 3" xfId="10384"/>
    <cellStyle name="Normal - Style1 2 30" xfId="37293"/>
    <cellStyle name="Normal - Style1 2 31" xfId="38849"/>
    <cellStyle name="Normal - Style1 2 32" xfId="40278"/>
    <cellStyle name="Normal - Style1 2 33" xfId="8776"/>
    <cellStyle name="Normal - Style1 2 4" xfId="11248"/>
    <cellStyle name="Normal - Style1 2 5" xfId="11439"/>
    <cellStyle name="Normal - Style1 2 6" xfId="11628"/>
    <cellStyle name="Normal - Style1 2 7" xfId="11810"/>
    <cellStyle name="Normal - Style1 2 8" xfId="11992"/>
    <cellStyle name="Normal - Style1 2 9" xfId="12169"/>
    <cellStyle name="Normal - Style1 20" xfId="11420"/>
    <cellStyle name="Normal - Style1 20 10" xfId="20829"/>
    <cellStyle name="Normal - Style1 20 11" xfId="21668"/>
    <cellStyle name="Normal - Style1 20 12" xfId="22452"/>
    <cellStyle name="Normal - Style1 20 13" xfId="26312"/>
    <cellStyle name="Normal - Style1 20 14" xfId="29643"/>
    <cellStyle name="Normal - Style1 20 15" xfId="31418"/>
    <cellStyle name="Normal - Style1 20 16" xfId="33181"/>
    <cellStyle name="Normal - Style1 20 17" xfId="34899"/>
    <cellStyle name="Normal - Style1 20 18" xfId="36552"/>
    <cellStyle name="Normal - Style1 20 19" xfId="38126"/>
    <cellStyle name="Normal - Style1 20 2" xfId="13383"/>
    <cellStyle name="Normal - Style1 20 20" xfId="39579"/>
    <cellStyle name="Normal - Style1 20 21" xfId="40852"/>
    <cellStyle name="Normal - Style1 20 22" xfId="41931"/>
    <cellStyle name="Normal - Style1 20 3" xfId="14507"/>
    <cellStyle name="Normal - Style1 20 4" xfId="15434"/>
    <cellStyle name="Normal - Style1 20 5" xfId="16365"/>
    <cellStyle name="Normal - Style1 20 6" xfId="17295"/>
    <cellStyle name="Normal - Style1 20 7" xfId="18203"/>
    <cellStyle name="Normal - Style1 20 8" xfId="19093"/>
    <cellStyle name="Normal - Style1 20 9" xfId="19970"/>
    <cellStyle name="Normal - Style1 21" xfId="11611"/>
    <cellStyle name="Normal - Style1 21 10" xfId="20907"/>
    <cellStyle name="Normal - Style1 21 11" xfId="21748"/>
    <cellStyle name="Normal - Style1 21 12" xfId="22530"/>
    <cellStyle name="Normal - Style1 21 13" xfId="26759"/>
    <cellStyle name="Normal - Style1 21 14" xfId="30089"/>
    <cellStyle name="Normal - Style1 21 15" xfId="31864"/>
    <cellStyle name="Normal - Style1 21 16" xfId="33620"/>
    <cellStyle name="Normal - Style1 21 17" xfId="35333"/>
    <cellStyle name="Normal - Style1 21 18" xfId="36979"/>
    <cellStyle name="Normal - Style1 21 19" xfId="38540"/>
    <cellStyle name="Normal - Style1 21 2" xfId="13463"/>
    <cellStyle name="Normal - Style1 21 20" xfId="39979"/>
    <cellStyle name="Normal - Style1 21 21" xfId="41231"/>
    <cellStyle name="Normal - Style1 21 22" xfId="42287"/>
    <cellStyle name="Normal - Style1 21 3" xfId="14586"/>
    <cellStyle name="Normal - Style1 21 4" xfId="15514"/>
    <cellStyle name="Normal - Style1 21 5" xfId="16445"/>
    <cellStyle name="Normal - Style1 21 6" xfId="17375"/>
    <cellStyle name="Normal - Style1 21 7" xfId="18283"/>
    <cellStyle name="Normal - Style1 21 8" xfId="19173"/>
    <cellStyle name="Normal - Style1 21 9" xfId="20049"/>
    <cellStyle name="Normal - Style1 22" xfId="12319"/>
    <cellStyle name="Normal - Style1 22 10" xfId="20985"/>
    <cellStyle name="Normal - Style1 22 11" xfId="21825"/>
    <cellStyle name="Normal - Style1 22 12" xfId="22606"/>
    <cellStyle name="Normal - Style1 22 13" xfId="26443"/>
    <cellStyle name="Normal - Style1 22 14" xfId="29774"/>
    <cellStyle name="Normal - Style1 22 15" xfId="31549"/>
    <cellStyle name="Normal - Style1 22 16" xfId="33308"/>
    <cellStyle name="Normal - Style1 22 17" xfId="35025"/>
    <cellStyle name="Normal - Style1 22 18" xfId="36676"/>
    <cellStyle name="Normal - Style1 22 19" xfId="38245"/>
    <cellStyle name="Normal - Style1 22 2" xfId="13543"/>
    <cellStyle name="Normal - Style1 22 20" xfId="39695"/>
    <cellStyle name="Normal - Style1 22 21" xfId="40963"/>
    <cellStyle name="Normal - Style1 22 22" xfId="42037"/>
    <cellStyle name="Normal - Style1 22 3" xfId="14665"/>
    <cellStyle name="Normal - Style1 22 4" xfId="15593"/>
    <cellStyle name="Normal - Style1 22 5" xfId="16524"/>
    <cellStyle name="Normal - Style1 22 6" xfId="17453"/>
    <cellStyle name="Normal - Style1 22 7" xfId="18362"/>
    <cellStyle name="Normal - Style1 22 8" xfId="19251"/>
    <cellStyle name="Normal - Style1 22 9" xfId="20125"/>
    <cellStyle name="Normal - Style1 23" xfId="12018"/>
    <cellStyle name="Normal - Style1 23 10" xfId="21053"/>
    <cellStyle name="Normal - Style1 23 11" xfId="21889"/>
    <cellStyle name="Normal - Style1 23 12" xfId="22670"/>
    <cellStyle name="Normal - Style1 23 2" xfId="13623"/>
    <cellStyle name="Normal - Style1 23 3" xfId="14741"/>
    <cellStyle name="Normal - Style1 23 4" xfId="15668"/>
    <cellStyle name="Normal - Style1 23 5" xfId="16598"/>
    <cellStyle name="Normal - Style1 23 6" xfId="17527"/>
    <cellStyle name="Normal - Style1 23 7" xfId="18431"/>
    <cellStyle name="Normal - Style1 23 8" xfId="19319"/>
    <cellStyle name="Normal - Style1 23 9" xfId="20194"/>
    <cellStyle name="Normal - Style1 24" xfId="12384"/>
    <cellStyle name="Normal - Style1 24 10" xfId="21105"/>
    <cellStyle name="Normal - Style1 24 11" xfId="21938"/>
    <cellStyle name="Normal - Style1 24 12" xfId="22719"/>
    <cellStyle name="Normal - Style1 24 2" xfId="13701"/>
    <cellStyle name="Normal - Style1 24 3" xfId="14807"/>
    <cellStyle name="Normal - Style1 24 4" xfId="15739"/>
    <cellStyle name="Normal - Style1 24 5" xfId="16667"/>
    <cellStyle name="Normal - Style1 24 6" xfId="17594"/>
    <cellStyle name="Normal - Style1 24 7" xfId="18498"/>
    <cellStyle name="Normal - Style1 24 8" xfId="19381"/>
    <cellStyle name="Normal - Style1 24 9" xfId="20252"/>
    <cellStyle name="Normal - Style1 25" xfId="13767"/>
    <cellStyle name="Normal - Style1 26" xfId="13818"/>
    <cellStyle name="Normal - Style1 27" xfId="11541"/>
    <cellStyle name="Normal - Style1 28" xfId="12621"/>
    <cellStyle name="Normal - Style1 29" xfId="14890"/>
    <cellStyle name="Normal - Style1 3" xfId="3820"/>
    <cellStyle name="Normal - Style1 3 2" xfId="4049"/>
    <cellStyle name="Normal - Style1 3 2 2" xfId="8862"/>
    <cellStyle name="Normal - Style1 30" xfId="15600"/>
    <cellStyle name="Normal - Style1 31" xfId="15830"/>
    <cellStyle name="Normal - Style1 32" xfId="12484"/>
    <cellStyle name="Normal - Style1 33" xfId="16705"/>
    <cellStyle name="Normal - Style1 34" xfId="16813"/>
    <cellStyle name="Normal - Style1 35" xfId="17689"/>
    <cellStyle name="Normal - Style1 36" xfId="21056"/>
    <cellStyle name="Normal - Style1 37" xfId="22879"/>
    <cellStyle name="Normal - Style1 38" xfId="23255"/>
    <cellStyle name="Normal - Style1 39" xfId="29524"/>
    <cellStyle name="Normal - Style1 4" xfId="8940"/>
    <cellStyle name="Normal - Style1 40" xfId="31300"/>
    <cellStyle name="Normal - Style1 41" xfId="33064"/>
    <cellStyle name="Normal - Style1 42" xfId="34783"/>
    <cellStyle name="Normal - Style1 43" xfId="36438"/>
    <cellStyle name="Normal - Style1 44" xfId="38021"/>
    <cellStyle name="Normal - Style1 45" xfId="39484"/>
    <cellStyle name="Normal - Style1 46" xfId="40775"/>
    <cellStyle name="Normal - Style1 47" xfId="7858"/>
    <cellStyle name="Normal - Style1 5" xfId="9018"/>
    <cellStyle name="Normal - Style1 6" xfId="9086"/>
    <cellStyle name="Normal - Style1 7" xfId="9138"/>
    <cellStyle name="Normal - Style1 8" xfId="9300"/>
    <cellStyle name="Normal - Style1 9" xfId="9776"/>
    <cellStyle name="Normal 10" xfId="8777"/>
    <cellStyle name="Normal 10 10" xfId="9862"/>
    <cellStyle name="Normal 10 11" xfId="9947"/>
    <cellStyle name="Normal 10 12" xfId="10031"/>
    <cellStyle name="Normal 10 13" xfId="10101"/>
    <cellStyle name="Normal 10 14" xfId="10157"/>
    <cellStyle name="Normal 10 16" xfId="43356"/>
    <cellStyle name="Normal 10 2" xfId="9603"/>
    <cellStyle name="Normal 10 3" xfId="9627"/>
    <cellStyle name="Normal 10 4" xfId="9633"/>
    <cellStyle name="Normal 10 5" xfId="9644"/>
    <cellStyle name="Normal 10 6" xfId="9653"/>
    <cellStyle name="Normal 10 7" xfId="9674"/>
    <cellStyle name="Normal 10 8" xfId="9709"/>
    <cellStyle name="Normal 10 9" xfId="9777"/>
    <cellStyle name="Normal 11" xfId="8778"/>
    <cellStyle name="Normal 11 10" xfId="9863"/>
    <cellStyle name="Normal 11 11" xfId="9948"/>
    <cellStyle name="Normal 11 12" xfId="10032"/>
    <cellStyle name="Normal 11 13" xfId="10102"/>
    <cellStyle name="Normal 11 14" xfId="10158"/>
    <cellStyle name="Normal 11 2" xfId="9604"/>
    <cellStyle name="Normal 11 3" xfId="9628"/>
    <cellStyle name="Normal 11 4" xfId="9634"/>
    <cellStyle name="Normal 11 5" xfId="9645"/>
    <cellStyle name="Normal 11 6" xfId="9654"/>
    <cellStyle name="Normal 11 7" xfId="9675"/>
    <cellStyle name="Normal 11 8" xfId="9710"/>
    <cellStyle name="Normal 11 9" xfId="9778"/>
    <cellStyle name="Normal 12" xfId="43321"/>
    <cellStyle name="Normal 13" xfId="43322"/>
    <cellStyle name="Normal 14" xfId="43323"/>
    <cellStyle name="Normal 15" xfId="43324"/>
    <cellStyle name="Normal 16" xfId="43325"/>
    <cellStyle name="Normal 166" xfId="43357"/>
    <cellStyle name="Normal 17" xfId="43326"/>
    <cellStyle name="Normal 18" xfId="43330"/>
    <cellStyle name="Normal 19" xfId="43332"/>
    <cellStyle name="Normal 2" xfId="3821"/>
    <cellStyle name="Normal 2 10" xfId="9864"/>
    <cellStyle name="Normal 2 11" xfId="9949"/>
    <cellStyle name="Normal 2 12" xfId="10033"/>
    <cellStyle name="Normal 2 13" xfId="10103"/>
    <cellStyle name="Normal 2 14" xfId="10159"/>
    <cellStyle name="Normal 2 15" xfId="8779"/>
    <cellStyle name="Normal 2 16" xfId="43319"/>
    <cellStyle name="Normal 2 17" xfId="7754"/>
    <cellStyle name="Normal 2 18" xfId="43358"/>
    <cellStyle name="Normal 2 2" xfId="3822"/>
    <cellStyle name="Normal 2 2 2" xfId="4050"/>
    <cellStyle name="Normal 2 2 2 2" xfId="9605"/>
    <cellStyle name="Normal 2 2 3" xfId="7755"/>
    <cellStyle name="Normal 2 3" xfId="3823"/>
    <cellStyle name="Normal 2 3 2" xfId="4051"/>
    <cellStyle name="Normal 2 3 2 2" xfId="9629"/>
    <cellStyle name="Normal 2 3 3" xfId="7756"/>
    <cellStyle name="Normal 2 4" xfId="9635"/>
    <cellStyle name="Normal 2 5" xfId="9646"/>
    <cellStyle name="Normal 2 6" xfId="9655"/>
    <cellStyle name="Normal 2 7" xfId="9676"/>
    <cellStyle name="Normal 2 8" xfId="9711"/>
    <cellStyle name="Normal 2 9" xfId="9779"/>
    <cellStyle name="Normal 20" xfId="43333"/>
    <cellStyle name="Normal 21" xfId="43334"/>
    <cellStyle name="Normal 22" xfId="4093"/>
    <cellStyle name="Normal 223" xfId="43335"/>
    <cellStyle name="Normal 225" xfId="43336"/>
    <cellStyle name="Normal 228" xfId="43359"/>
    <cellStyle name="Normal 23" xfId="54"/>
    <cellStyle name="Normal 26" xfId="43343"/>
    <cellStyle name="Normal 28" xfId="43344"/>
    <cellStyle name="Normal 29" xfId="43346"/>
    <cellStyle name="Normal 3" xfId="3824"/>
    <cellStyle name="Normal 3 10" xfId="9865"/>
    <cellStyle name="Normal 3 11" xfId="9950"/>
    <cellStyle name="Normal 3 12" xfId="10034"/>
    <cellStyle name="Normal 3 13" xfId="10104"/>
    <cellStyle name="Normal 3 14" xfId="10160"/>
    <cellStyle name="Normal 3 15" xfId="8780"/>
    <cellStyle name="Normal 3 16" xfId="7757"/>
    <cellStyle name="Normal 3 2" xfId="3825"/>
    <cellStyle name="Normal 3 2 2" xfId="4053"/>
    <cellStyle name="Normal 3 2 2 2" xfId="9606"/>
    <cellStyle name="Normal 3 2 3" xfId="7758"/>
    <cellStyle name="Normal 3 3" xfId="4052"/>
    <cellStyle name="Normal 3 3 2" xfId="9630"/>
    <cellStyle name="Normal 3 4" xfId="9636"/>
    <cellStyle name="Normal 3 5" xfId="9647"/>
    <cellStyle name="Normal 3 6" xfId="9656"/>
    <cellStyle name="Normal 3 7" xfId="9677"/>
    <cellStyle name="Normal 3 8" xfId="9712"/>
    <cellStyle name="Normal 3 9" xfId="9780"/>
    <cellStyle name="Normal 30" xfId="43347"/>
    <cellStyle name="Normal 31" xfId="43345"/>
    <cellStyle name="Normal 32" xfId="43348"/>
    <cellStyle name="Normal 33" xfId="43337"/>
    <cellStyle name="Normal 34" xfId="43338"/>
    <cellStyle name="Normal 35" xfId="43339"/>
    <cellStyle name="Normal 36" xfId="43340"/>
    <cellStyle name="Normal 37" xfId="43341"/>
    <cellStyle name="Normal 38" xfId="43342"/>
    <cellStyle name="Normal 4" xfId="3826"/>
    <cellStyle name="Normal 4 10" xfId="9866"/>
    <cellStyle name="Normal 4 11" xfId="9951"/>
    <cellStyle name="Normal 4 12" xfId="10035"/>
    <cellStyle name="Normal 4 13" xfId="10105"/>
    <cellStyle name="Normal 4 14" xfId="10161"/>
    <cellStyle name="Normal 4 15" xfId="8781"/>
    <cellStyle name="Normal 4 16" xfId="7759"/>
    <cellStyle name="Normal 4 2" xfId="4054"/>
    <cellStyle name="Normal 4 2 2" xfId="9607"/>
    <cellStyle name="Normal 4 3" xfId="9631"/>
    <cellStyle name="Normal 4 4" xfId="9637"/>
    <cellStyle name="Normal 4 5" xfId="9648"/>
    <cellStyle name="Normal 4 6" xfId="9657"/>
    <cellStyle name="Normal 4 7" xfId="9678"/>
    <cellStyle name="Normal 4 8" xfId="9713"/>
    <cellStyle name="Normal 4 9" xfId="9781"/>
    <cellStyle name="Normal 40" xfId="43349"/>
    <cellStyle name="Normal 41" xfId="43327"/>
    <cellStyle name="Normal 42" xfId="43350"/>
    <cellStyle name="Normal 5" xfId="3937"/>
    <cellStyle name="Normal 5 2" xfId="7906"/>
    <cellStyle name="Normal 6" xfId="3936"/>
    <cellStyle name="Normal 6 2" xfId="4089"/>
    <cellStyle name="Normal 6 3" xfId="7795"/>
    <cellStyle name="Normal 6 4" xfId="43360"/>
    <cellStyle name="Normal 60 10" xfId="43329"/>
    <cellStyle name="Normal 7" xfId="4087"/>
    <cellStyle name="Normal 7 2" xfId="4090"/>
    <cellStyle name="Normal 7 3" xfId="43318"/>
    <cellStyle name="Normal 7 4" xfId="43361"/>
    <cellStyle name="Normal 70" xfId="4088"/>
    <cellStyle name="Normal 8" xfId="4091"/>
    <cellStyle name="Normal 8 2" xfId="43320"/>
    <cellStyle name="Normal 9" xfId="4092"/>
    <cellStyle name="Normal 9 10" xfId="9867"/>
    <cellStyle name="Normal 9 11" xfId="9952"/>
    <cellStyle name="Normal 9 12" xfId="10036"/>
    <cellStyle name="Normal 9 13" xfId="10106"/>
    <cellStyle name="Normal 9 14" xfId="10162"/>
    <cellStyle name="Normal 9 15" xfId="8782"/>
    <cellStyle name="Normal 9 2" xfId="9608"/>
    <cellStyle name="Normal 9 3" xfId="9632"/>
    <cellStyle name="Normal 9 4" xfId="9638"/>
    <cellStyle name="Normal 9 5" xfId="9649"/>
    <cellStyle name="Normal 9 6" xfId="9658"/>
    <cellStyle name="Normal 9 7" xfId="9679"/>
    <cellStyle name="Normal 9 8" xfId="9714"/>
    <cellStyle name="Normal 9 9" xfId="9782"/>
    <cellStyle name="Normal_Master File Weights 12 Aug 2010 Adrian" xfId="43351"/>
    <cellStyle name="Normal_ProductList_1" xfId="43352"/>
    <cellStyle name="Normal_Sheet1" xfId="43362"/>
    <cellStyle name="Normal_Sheet2" xfId="3827"/>
    <cellStyle name="Normale_NEGS" xfId="3828"/>
    <cellStyle name="normální_laroux" xfId="3829"/>
    <cellStyle name="Normalny_laroux" xfId="3830"/>
    <cellStyle name="Note" xfId="16" builtinId="10" customBuiltin="1"/>
    <cellStyle name="Note 10" xfId="9875"/>
    <cellStyle name="Note 11" xfId="9956"/>
    <cellStyle name="Note 11 10" xfId="36258"/>
    <cellStyle name="Note 11 11" xfId="37852"/>
    <cellStyle name="Note 11 2" xfId="24849"/>
    <cellStyle name="Note 11 3" xfId="28236"/>
    <cellStyle name="Note 11 4" xfId="27540"/>
    <cellStyle name="Note 11 5" xfId="23214"/>
    <cellStyle name="Note 11 6" xfId="29308"/>
    <cellStyle name="Note 11 7" xfId="31089"/>
    <cellStyle name="Note 11 8" xfId="32858"/>
    <cellStyle name="Note 11 9" xfId="34587"/>
    <cellStyle name="Note 12" xfId="10040"/>
    <cellStyle name="Note 12 10" xfId="41079"/>
    <cellStyle name="Note 12 11" xfId="42143"/>
    <cellStyle name="Note 12 2" xfId="26588"/>
    <cellStyle name="Note 12 3" xfId="29918"/>
    <cellStyle name="Note 12 4" xfId="31693"/>
    <cellStyle name="Note 12 5" xfId="33452"/>
    <cellStyle name="Note 12 6" xfId="35166"/>
    <cellStyle name="Note 12 7" xfId="36814"/>
    <cellStyle name="Note 12 8" xfId="38378"/>
    <cellStyle name="Note 12 9" xfId="39821"/>
    <cellStyle name="Note 13" xfId="10108"/>
    <cellStyle name="Note 13 10" xfId="41173"/>
    <cellStyle name="Note 13 11" xfId="42229"/>
    <cellStyle name="Note 13 2" xfId="26700"/>
    <cellStyle name="Note 13 3" xfId="30029"/>
    <cellStyle name="Note 13 4" xfId="31804"/>
    <cellStyle name="Note 13 5" xfId="33560"/>
    <cellStyle name="Note 13 6" xfId="35273"/>
    <cellStyle name="Note 13 7" xfId="36919"/>
    <cellStyle name="Note 13 8" xfId="38480"/>
    <cellStyle name="Note 13 9" xfId="39920"/>
    <cellStyle name="Note 14" xfId="10163"/>
    <cellStyle name="Note 14 10" xfId="41018"/>
    <cellStyle name="Note 14 11" xfId="42092"/>
    <cellStyle name="Note 14 2" xfId="26500"/>
    <cellStyle name="Note 14 3" xfId="29831"/>
    <cellStyle name="Note 14 4" xfId="31606"/>
    <cellStyle name="Note 14 5" xfId="33365"/>
    <cellStyle name="Note 14 6" xfId="35081"/>
    <cellStyle name="Note 14 7" xfId="36732"/>
    <cellStyle name="Note 14 8" xfId="38301"/>
    <cellStyle name="Note 14 9" xfId="39751"/>
    <cellStyle name="Note 15" xfId="10209"/>
    <cellStyle name="Note 15 10" xfId="20443"/>
    <cellStyle name="Note 15 11" xfId="21279"/>
    <cellStyle name="Note 15 12" xfId="22076"/>
    <cellStyle name="Note 15 13" xfId="26658"/>
    <cellStyle name="Note 15 14" xfId="29987"/>
    <cellStyle name="Note 15 15" xfId="31762"/>
    <cellStyle name="Note 15 16" xfId="33520"/>
    <cellStyle name="Note 15 17" xfId="35234"/>
    <cellStyle name="Note 15 18" xfId="36881"/>
    <cellStyle name="Note 15 19" xfId="38444"/>
    <cellStyle name="Note 15 2" xfId="12993"/>
    <cellStyle name="Note 15 20" xfId="39886"/>
    <cellStyle name="Note 15 21" xfId="41140"/>
    <cellStyle name="Note 15 22" xfId="42200"/>
    <cellStyle name="Note 15 3" xfId="14119"/>
    <cellStyle name="Note 15 4" xfId="15049"/>
    <cellStyle name="Note 15 5" xfId="15976"/>
    <cellStyle name="Note 15 6" xfId="16906"/>
    <cellStyle name="Note 15 7" xfId="17814"/>
    <cellStyle name="Note 15 8" xfId="18704"/>
    <cellStyle name="Note 15 9" xfId="19582"/>
    <cellStyle name="Note 16" xfId="11077"/>
    <cellStyle name="Note 16 10" xfId="20523"/>
    <cellStyle name="Note 16 11" xfId="21359"/>
    <cellStyle name="Note 16 12" xfId="22153"/>
    <cellStyle name="Note 16 13" xfId="26614"/>
    <cellStyle name="Note 16 14" xfId="29943"/>
    <cellStyle name="Note 16 15" xfId="31718"/>
    <cellStyle name="Note 16 16" xfId="33476"/>
    <cellStyle name="Note 16 17" xfId="35190"/>
    <cellStyle name="Note 16 18" xfId="36837"/>
    <cellStyle name="Note 16 19" xfId="38400"/>
    <cellStyle name="Note 16 2" xfId="13073"/>
    <cellStyle name="Note 16 20" xfId="39842"/>
    <cellStyle name="Note 16 21" xfId="41096"/>
    <cellStyle name="Note 16 22" xfId="42156"/>
    <cellStyle name="Note 16 3" xfId="14199"/>
    <cellStyle name="Note 16 4" xfId="15128"/>
    <cellStyle name="Note 16 5" xfId="16056"/>
    <cellStyle name="Note 16 6" xfId="16986"/>
    <cellStyle name="Note 16 7" xfId="17894"/>
    <cellStyle name="Note 16 8" xfId="18784"/>
    <cellStyle name="Note 16 9" xfId="19662"/>
    <cellStyle name="Note 17" xfId="11270"/>
    <cellStyle name="Note 17 10" xfId="20603"/>
    <cellStyle name="Note 17 11" xfId="21440"/>
    <cellStyle name="Note 17 12" xfId="22231"/>
    <cellStyle name="Note 17 13" xfId="26723"/>
    <cellStyle name="Note 17 14" xfId="30052"/>
    <cellStyle name="Note 17 15" xfId="31827"/>
    <cellStyle name="Note 17 16" xfId="33583"/>
    <cellStyle name="Note 17 17" xfId="35296"/>
    <cellStyle name="Note 17 18" xfId="36942"/>
    <cellStyle name="Note 17 19" xfId="38503"/>
    <cellStyle name="Note 17 2" xfId="13154"/>
    <cellStyle name="Note 17 20" xfId="39943"/>
    <cellStyle name="Note 17 21" xfId="41196"/>
    <cellStyle name="Note 17 22" xfId="42252"/>
    <cellStyle name="Note 17 3" xfId="14280"/>
    <cellStyle name="Note 17 4" xfId="15208"/>
    <cellStyle name="Note 17 5" xfId="16137"/>
    <cellStyle name="Note 17 6" xfId="17067"/>
    <cellStyle name="Note 17 7" xfId="17975"/>
    <cellStyle name="Note 17 8" xfId="18865"/>
    <cellStyle name="Note 17 9" xfId="19743"/>
    <cellStyle name="Note 18" xfId="11461"/>
    <cellStyle name="Note 18 10" xfId="20681"/>
    <cellStyle name="Note 18 11" xfId="21519"/>
    <cellStyle name="Note 18 12" xfId="22307"/>
    <cellStyle name="Note 18 13" xfId="26567"/>
    <cellStyle name="Note 18 14" xfId="29897"/>
    <cellStyle name="Note 18 15" xfId="31672"/>
    <cellStyle name="Note 18 16" xfId="33431"/>
    <cellStyle name="Note 18 17" xfId="35145"/>
    <cellStyle name="Note 18 18" xfId="36794"/>
    <cellStyle name="Note 18 19" xfId="38359"/>
    <cellStyle name="Note 18 2" xfId="13233"/>
    <cellStyle name="Note 18 20" xfId="39802"/>
    <cellStyle name="Note 18 21" xfId="41063"/>
    <cellStyle name="Note 18 22" xfId="42130"/>
    <cellStyle name="Note 18 3" xfId="14358"/>
    <cellStyle name="Note 18 4" xfId="15286"/>
    <cellStyle name="Note 18 5" xfId="16216"/>
    <cellStyle name="Note 18 6" xfId="17146"/>
    <cellStyle name="Note 18 7" xfId="18054"/>
    <cellStyle name="Note 18 8" xfId="18944"/>
    <cellStyle name="Note 18 9" xfId="19821"/>
    <cellStyle name="Note 19" xfId="11647"/>
    <cellStyle name="Note 19 10" xfId="20760"/>
    <cellStyle name="Note 19 11" xfId="21598"/>
    <cellStyle name="Note 19 12" xfId="22384"/>
    <cellStyle name="Note 19 13" xfId="26642"/>
    <cellStyle name="Note 19 14" xfId="29971"/>
    <cellStyle name="Note 19 15" xfId="31746"/>
    <cellStyle name="Note 19 16" xfId="33504"/>
    <cellStyle name="Note 19 17" xfId="35218"/>
    <cellStyle name="Note 19 18" xfId="36865"/>
    <cellStyle name="Note 19 19" xfId="38428"/>
    <cellStyle name="Note 19 2" xfId="13313"/>
    <cellStyle name="Note 19 20" xfId="39870"/>
    <cellStyle name="Note 19 21" xfId="41124"/>
    <cellStyle name="Note 19 22" xfId="42184"/>
    <cellStyle name="Note 19 3" xfId="14437"/>
    <cellStyle name="Note 19 4" xfId="15366"/>
    <cellStyle name="Note 19 5" xfId="16295"/>
    <cellStyle name="Note 19 6" xfId="17225"/>
    <cellStyle name="Note 19 7" xfId="18133"/>
    <cellStyle name="Note 19 8" xfId="19023"/>
    <cellStyle name="Note 19 9" xfId="19900"/>
    <cellStyle name="Note 2" xfId="4055"/>
    <cellStyle name="Note 2 10" xfId="10592"/>
    <cellStyle name="Note 2 11" xfId="10743"/>
    <cellStyle name="Note 2 12" xfId="12495"/>
    <cellStyle name="Note 2 13" xfId="11543"/>
    <cellStyle name="Note 2 14" xfId="11807"/>
    <cellStyle name="Note 2 15" xfId="12659"/>
    <cellStyle name="Note 2 16" xfId="10512"/>
    <cellStyle name="Note 2 17" xfId="16739"/>
    <cellStyle name="Note 2 18" xfId="17652"/>
    <cellStyle name="Note 2 19" xfId="18553"/>
    <cellStyle name="Note 2 2" xfId="9463"/>
    <cellStyle name="Note 2 2 2" xfId="9609"/>
    <cellStyle name="Note 2 20" xfId="13863"/>
    <cellStyle name="Note 2 21" xfId="12616"/>
    <cellStyle name="Note 2 22" xfId="20330"/>
    <cellStyle name="Note 2 23" xfId="23082"/>
    <cellStyle name="Note 2 24" xfId="23392"/>
    <cellStyle name="Note 2 25" xfId="28609"/>
    <cellStyle name="Note 2 26" xfId="30401"/>
    <cellStyle name="Note 2 27" xfId="32176"/>
    <cellStyle name="Note 2 28" xfId="33931"/>
    <cellStyle name="Note 2 29" xfId="35644"/>
    <cellStyle name="Note 2 3" xfId="10393"/>
    <cellStyle name="Note 2 30" xfId="37287"/>
    <cellStyle name="Note 2 31" xfId="38843"/>
    <cellStyle name="Note 2 32" xfId="40276"/>
    <cellStyle name="Note 2 33" xfId="8786"/>
    <cellStyle name="Note 2 4" xfId="10538"/>
    <cellStyle name="Note 2 5" xfId="10748"/>
    <cellStyle name="Note 2 6" xfId="10859"/>
    <cellStyle name="Note 2 7" xfId="10371"/>
    <cellStyle name="Note 2 8" xfId="11199"/>
    <cellStyle name="Note 2 9" xfId="11392"/>
    <cellStyle name="Note 20" xfId="11830"/>
    <cellStyle name="Note 20 10" xfId="20839"/>
    <cellStyle name="Note 20 11" xfId="21678"/>
    <cellStyle name="Note 20 12" xfId="22462"/>
    <cellStyle name="Note 20 13" xfId="26399"/>
    <cellStyle name="Note 20 14" xfId="29730"/>
    <cellStyle name="Note 20 15" xfId="31505"/>
    <cellStyle name="Note 20 16" xfId="33266"/>
    <cellStyle name="Note 20 17" xfId="34984"/>
    <cellStyle name="Note 20 18" xfId="36637"/>
    <cellStyle name="Note 20 19" xfId="38207"/>
    <cellStyle name="Note 20 2" xfId="13393"/>
    <cellStyle name="Note 20 20" xfId="39657"/>
    <cellStyle name="Note 20 21" xfId="40927"/>
    <cellStyle name="Note 20 22" xfId="42002"/>
    <cellStyle name="Note 20 3" xfId="14517"/>
    <cellStyle name="Note 20 4" xfId="15444"/>
    <cellStyle name="Note 20 5" xfId="16375"/>
    <cellStyle name="Note 20 6" xfId="17305"/>
    <cellStyle name="Note 20 7" xfId="18213"/>
    <cellStyle name="Note 20 8" xfId="19103"/>
    <cellStyle name="Note 20 9" xfId="19980"/>
    <cellStyle name="Note 21" xfId="12013"/>
    <cellStyle name="Note 21 10" xfId="20917"/>
    <cellStyle name="Note 21 11" xfId="21758"/>
    <cellStyle name="Note 21 12" xfId="22540"/>
    <cellStyle name="Note 21 13" xfId="26662"/>
    <cellStyle name="Note 21 14" xfId="29991"/>
    <cellStyle name="Note 21 15" xfId="31766"/>
    <cellStyle name="Note 21 16" xfId="33524"/>
    <cellStyle name="Note 21 17" xfId="35238"/>
    <cellStyle name="Note 21 18" xfId="36885"/>
    <cellStyle name="Note 21 19" xfId="38448"/>
    <cellStyle name="Note 21 2" xfId="13473"/>
    <cellStyle name="Note 21 20" xfId="39890"/>
    <cellStyle name="Note 21 21" xfId="41144"/>
    <cellStyle name="Note 21 22" xfId="42204"/>
    <cellStyle name="Note 21 3" xfId="14596"/>
    <cellStyle name="Note 21 4" xfId="15524"/>
    <cellStyle name="Note 21 5" xfId="16455"/>
    <cellStyle name="Note 21 6" xfId="17385"/>
    <cellStyle name="Note 21 7" xfId="18293"/>
    <cellStyle name="Note 21 8" xfId="19183"/>
    <cellStyle name="Note 21 9" xfId="20059"/>
    <cellStyle name="Note 22" xfId="11239"/>
    <cellStyle name="Note 22 10" xfId="20992"/>
    <cellStyle name="Note 22 11" xfId="21831"/>
    <cellStyle name="Note 22 12" xfId="22612"/>
    <cellStyle name="Note 22 13" xfId="27005"/>
    <cellStyle name="Note 22 14" xfId="30334"/>
    <cellStyle name="Note 22 15" xfId="32109"/>
    <cellStyle name="Note 22 16" xfId="33864"/>
    <cellStyle name="Note 22 17" xfId="35577"/>
    <cellStyle name="Note 22 18" xfId="37221"/>
    <cellStyle name="Note 22 19" xfId="38777"/>
    <cellStyle name="Note 22 2" xfId="13553"/>
    <cellStyle name="Note 22 20" xfId="40210"/>
    <cellStyle name="Note 22 21" xfId="41453"/>
    <cellStyle name="Note 22 22" xfId="42502"/>
    <cellStyle name="Note 22 3" xfId="14672"/>
    <cellStyle name="Note 22 4" xfId="15603"/>
    <cellStyle name="Note 22 5" xfId="16532"/>
    <cellStyle name="Note 22 6" xfId="17461"/>
    <cellStyle name="Note 22 7" xfId="18368"/>
    <cellStyle name="Note 22 8" xfId="19257"/>
    <cellStyle name="Note 22 9" xfId="20131"/>
    <cellStyle name="Note 23" xfId="12385"/>
    <cellStyle name="Note 23 10" xfId="21059"/>
    <cellStyle name="Note 23 11" xfId="21894"/>
    <cellStyle name="Note 23 12" xfId="22675"/>
    <cellStyle name="Note 23 2" xfId="13633"/>
    <cellStyle name="Note 23 3" xfId="14750"/>
    <cellStyle name="Note 23 4" xfId="15676"/>
    <cellStyle name="Note 23 5" xfId="16605"/>
    <cellStyle name="Note 23 6" xfId="17536"/>
    <cellStyle name="Note 23 7" xfId="18439"/>
    <cellStyle name="Note 23 8" xfId="19324"/>
    <cellStyle name="Note 23 9" xfId="20202"/>
    <cellStyle name="Note 24" xfId="11483"/>
    <cellStyle name="Note 24 10" xfId="21107"/>
    <cellStyle name="Note 24 11" xfId="21940"/>
    <cellStyle name="Note 24 12" xfId="22720"/>
    <cellStyle name="Note 24 2" xfId="13707"/>
    <cellStyle name="Note 24 3" xfId="14812"/>
    <cellStyle name="Note 24 4" xfId="15741"/>
    <cellStyle name="Note 24 5" xfId="16672"/>
    <cellStyle name="Note 24 6" xfId="17598"/>
    <cellStyle name="Note 24 7" xfId="18501"/>
    <cellStyle name="Note 24 8" xfId="19384"/>
    <cellStyle name="Note 24 9" xfId="20254"/>
    <cellStyle name="Note 25" xfId="13772"/>
    <cellStyle name="Note 26" xfId="13819"/>
    <cellStyle name="Note 27" xfId="12430"/>
    <cellStyle name="Note 28" xfId="11677"/>
    <cellStyle name="Note 29" xfId="13920"/>
    <cellStyle name="Note 3" xfId="8873"/>
    <cellStyle name="Note 30" xfId="11657"/>
    <cellStyle name="Note 31" xfId="14809"/>
    <cellStyle name="Note 32" xfId="12461"/>
    <cellStyle name="Note 33" xfId="13955"/>
    <cellStyle name="Note 34" xfId="14823"/>
    <cellStyle name="Note 35" xfId="12491"/>
    <cellStyle name="Note 36" xfId="19433"/>
    <cellStyle name="Note 37" xfId="22892"/>
    <cellStyle name="Note 38" xfId="26509"/>
    <cellStyle name="Note 39" xfId="29510"/>
    <cellStyle name="Note 4" xfId="8951"/>
    <cellStyle name="Note 40" xfId="31287"/>
    <cellStyle name="Note 41" xfId="33051"/>
    <cellStyle name="Note 42" xfId="34771"/>
    <cellStyle name="Note 43" xfId="36428"/>
    <cellStyle name="Note 44" xfId="38011"/>
    <cellStyle name="Note 45" xfId="39480"/>
    <cellStyle name="Note 46" xfId="40773"/>
    <cellStyle name="Note 47" xfId="42663"/>
    <cellStyle name="Note 48" xfId="42571"/>
    <cellStyle name="Note 49" xfId="42696"/>
    <cellStyle name="Note 5" xfId="9029"/>
    <cellStyle name="Note 50" xfId="42740"/>
    <cellStyle name="Note 51" xfId="42782"/>
    <cellStyle name="Note 52" xfId="42823"/>
    <cellStyle name="Note 53" xfId="42864"/>
    <cellStyle name="Note 54" xfId="42904"/>
    <cellStyle name="Note 55" xfId="42944"/>
    <cellStyle name="Note 56" xfId="42981"/>
    <cellStyle name="Note 57" xfId="43018"/>
    <cellStyle name="Note 58" xfId="43052"/>
    <cellStyle name="Note 59" xfId="43084"/>
    <cellStyle name="Note 6" xfId="9095"/>
    <cellStyle name="Note 60" xfId="43173"/>
    <cellStyle name="Note 61" xfId="43123"/>
    <cellStyle name="Note 62" xfId="8661"/>
    <cellStyle name="Note 63" xfId="3831"/>
    <cellStyle name="Note 7" xfId="9139"/>
    <cellStyle name="Note 8" xfId="9301"/>
    <cellStyle name="Note 9" xfId="9790"/>
    <cellStyle name="Ôèíàíñîâûé [0]_laroux" xfId="3832"/>
    <cellStyle name="Ôèíàíñîâûé_laroux" xfId="3833"/>
    <cellStyle name="Óïàêîâêà" xfId="3834"/>
    <cellStyle name="Óïàêîâêà 2" xfId="7760"/>
    <cellStyle name="Option" xfId="3835"/>
    <cellStyle name="OptionHeading" xfId="3836"/>
    <cellStyle name="Òûñÿ÷è [0]_laroux" xfId="3837"/>
    <cellStyle name="Òûñÿ÷è(0)" xfId="3838"/>
    <cellStyle name="Òûñÿ÷è_laroux" xfId="3839"/>
    <cellStyle name="Output" xfId="11" builtinId="21" customBuiltin="1"/>
    <cellStyle name="Output 10" xfId="9876"/>
    <cellStyle name="Output 11" xfId="9957"/>
    <cellStyle name="Output 11 10" xfId="36150"/>
    <cellStyle name="Output 11 11" xfId="37758"/>
    <cellStyle name="Output 11 2" xfId="24850"/>
    <cellStyle name="Output 11 3" xfId="28237"/>
    <cellStyle name="Output 11 4" xfId="27539"/>
    <cellStyle name="Output 11 5" xfId="23583"/>
    <cellStyle name="Output 11 6" xfId="29177"/>
    <cellStyle name="Output 11 7" xfId="30961"/>
    <cellStyle name="Output 11 8" xfId="32732"/>
    <cellStyle name="Output 11 9" xfId="34468"/>
    <cellStyle name="Output 12" xfId="10041"/>
    <cellStyle name="Output 12 10" xfId="41080"/>
    <cellStyle name="Output 12 11" xfId="42144"/>
    <cellStyle name="Output 12 2" xfId="26589"/>
    <cellStyle name="Output 12 3" xfId="29919"/>
    <cellStyle name="Output 12 4" xfId="31694"/>
    <cellStyle name="Output 12 5" xfId="33453"/>
    <cellStyle name="Output 12 6" xfId="35167"/>
    <cellStyle name="Output 12 7" xfId="36815"/>
    <cellStyle name="Output 12 8" xfId="38379"/>
    <cellStyle name="Output 12 9" xfId="39822"/>
    <cellStyle name="Output 13" xfId="10109"/>
    <cellStyle name="Output 13 10" xfId="41172"/>
    <cellStyle name="Output 13 11" xfId="42228"/>
    <cellStyle name="Output 13 2" xfId="26699"/>
    <cellStyle name="Output 13 3" xfId="30028"/>
    <cellStyle name="Output 13 4" xfId="31803"/>
    <cellStyle name="Output 13 5" xfId="33559"/>
    <cellStyle name="Output 13 6" xfId="35272"/>
    <cellStyle name="Output 13 7" xfId="36918"/>
    <cellStyle name="Output 13 8" xfId="38479"/>
    <cellStyle name="Output 13 9" xfId="39919"/>
    <cellStyle name="Output 14" xfId="10164"/>
    <cellStyle name="Output 14 10" xfId="41019"/>
    <cellStyle name="Output 14 11" xfId="42093"/>
    <cellStyle name="Output 14 2" xfId="26501"/>
    <cellStyle name="Output 14 3" xfId="29832"/>
    <cellStyle name="Output 14 4" xfId="31607"/>
    <cellStyle name="Output 14 5" xfId="33366"/>
    <cellStyle name="Output 14 6" xfId="35082"/>
    <cellStyle name="Output 14 7" xfId="36733"/>
    <cellStyle name="Output 14 8" xfId="38302"/>
    <cellStyle name="Output 14 9" xfId="39752"/>
    <cellStyle name="Output 15" xfId="10210"/>
    <cellStyle name="Output 15 10" xfId="20444"/>
    <cellStyle name="Output 15 11" xfId="21280"/>
    <cellStyle name="Output 15 12" xfId="22077"/>
    <cellStyle name="Output 15 13" xfId="26657"/>
    <cellStyle name="Output 15 14" xfId="29986"/>
    <cellStyle name="Output 15 15" xfId="31761"/>
    <cellStyle name="Output 15 16" xfId="33519"/>
    <cellStyle name="Output 15 17" xfId="35233"/>
    <cellStyle name="Output 15 18" xfId="36880"/>
    <cellStyle name="Output 15 19" xfId="38443"/>
    <cellStyle name="Output 15 2" xfId="12994"/>
    <cellStyle name="Output 15 20" xfId="39885"/>
    <cellStyle name="Output 15 21" xfId="41139"/>
    <cellStyle name="Output 15 22" xfId="42199"/>
    <cellStyle name="Output 15 3" xfId="14120"/>
    <cellStyle name="Output 15 4" xfId="15050"/>
    <cellStyle name="Output 15 5" xfId="15977"/>
    <cellStyle name="Output 15 6" xfId="16907"/>
    <cellStyle name="Output 15 7" xfId="17815"/>
    <cellStyle name="Output 15 8" xfId="18705"/>
    <cellStyle name="Output 15 9" xfId="19583"/>
    <cellStyle name="Output 16" xfId="11006"/>
    <cellStyle name="Output 16 10" xfId="20524"/>
    <cellStyle name="Output 16 11" xfId="21360"/>
    <cellStyle name="Output 16 12" xfId="22154"/>
    <cellStyle name="Output 16 13" xfId="26615"/>
    <cellStyle name="Output 16 14" xfId="29944"/>
    <cellStyle name="Output 16 15" xfId="31719"/>
    <cellStyle name="Output 16 16" xfId="33477"/>
    <cellStyle name="Output 16 17" xfId="35191"/>
    <cellStyle name="Output 16 18" xfId="36838"/>
    <cellStyle name="Output 16 19" xfId="38401"/>
    <cellStyle name="Output 16 2" xfId="13074"/>
    <cellStyle name="Output 16 20" xfId="39843"/>
    <cellStyle name="Output 16 21" xfId="41097"/>
    <cellStyle name="Output 16 22" xfId="42157"/>
    <cellStyle name="Output 16 3" xfId="14200"/>
    <cellStyle name="Output 16 4" xfId="15129"/>
    <cellStyle name="Output 16 5" xfId="16057"/>
    <cellStyle name="Output 16 6" xfId="16987"/>
    <cellStyle name="Output 16 7" xfId="17895"/>
    <cellStyle name="Output 16 8" xfId="18785"/>
    <cellStyle name="Output 16 9" xfId="19663"/>
    <cellStyle name="Output 17" xfId="10816"/>
    <cellStyle name="Output 17 10" xfId="20604"/>
    <cellStyle name="Output 17 11" xfId="21441"/>
    <cellStyle name="Output 17 12" xfId="22232"/>
    <cellStyle name="Output 17 13" xfId="26722"/>
    <cellStyle name="Output 17 14" xfId="30051"/>
    <cellStyle name="Output 17 15" xfId="31826"/>
    <cellStyle name="Output 17 16" xfId="33582"/>
    <cellStyle name="Output 17 17" xfId="35295"/>
    <cellStyle name="Output 17 18" xfId="36941"/>
    <cellStyle name="Output 17 19" xfId="38502"/>
    <cellStyle name="Output 17 2" xfId="13155"/>
    <cellStyle name="Output 17 20" xfId="39942"/>
    <cellStyle name="Output 17 21" xfId="41195"/>
    <cellStyle name="Output 17 22" xfId="42251"/>
    <cellStyle name="Output 17 3" xfId="14281"/>
    <cellStyle name="Output 17 4" xfId="15209"/>
    <cellStyle name="Output 17 5" xfId="16138"/>
    <cellStyle name="Output 17 6" xfId="17068"/>
    <cellStyle name="Output 17 7" xfId="17976"/>
    <cellStyle name="Output 17 8" xfId="18866"/>
    <cellStyle name="Output 17 9" xfId="19744"/>
    <cellStyle name="Output 18" xfId="10693"/>
    <cellStyle name="Output 18 10" xfId="20682"/>
    <cellStyle name="Output 18 11" xfId="21520"/>
    <cellStyle name="Output 18 12" xfId="22308"/>
    <cellStyle name="Output 18 13" xfId="26568"/>
    <cellStyle name="Output 18 14" xfId="29898"/>
    <cellStyle name="Output 18 15" xfId="31673"/>
    <cellStyle name="Output 18 16" xfId="33432"/>
    <cellStyle name="Output 18 17" xfId="35146"/>
    <cellStyle name="Output 18 18" xfId="36795"/>
    <cellStyle name="Output 18 19" xfId="38360"/>
    <cellStyle name="Output 18 2" xfId="13234"/>
    <cellStyle name="Output 18 20" xfId="39803"/>
    <cellStyle name="Output 18 21" xfId="41064"/>
    <cellStyle name="Output 18 22" xfId="42131"/>
    <cellStyle name="Output 18 3" xfId="14359"/>
    <cellStyle name="Output 18 4" xfId="15287"/>
    <cellStyle name="Output 18 5" xfId="16217"/>
    <cellStyle name="Output 18 6" xfId="17147"/>
    <cellStyle name="Output 18 7" xfId="18055"/>
    <cellStyle name="Output 18 8" xfId="18945"/>
    <cellStyle name="Output 18 9" xfId="19822"/>
    <cellStyle name="Output 19" xfId="10787"/>
    <cellStyle name="Output 19 10" xfId="20761"/>
    <cellStyle name="Output 19 11" xfId="21599"/>
    <cellStyle name="Output 19 12" xfId="22385"/>
    <cellStyle name="Output 19 13" xfId="26641"/>
    <cellStyle name="Output 19 14" xfId="29970"/>
    <cellStyle name="Output 19 15" xfId="31745"/>
    <cellStyle name="Output 19 16" xfId="33503"/>
    <cellStyle name="Output 19 17" xfId="35217"/>
    <cellStyle name="Output 19 18" xfId="36864"/>
    <cellStyle name="Output 19 19" xfId="38427"/>
    <cellStyle name="Output 19 2" xfId="13314"/>
    <cellStyle name="Output 19 20" xfId="39869"/>
    <cellStyle name="Output 19 21" xfId="41123"/>
    <cellStyle name="Output 19 22" xfId="42183"/>
    <cellStyle name="Output 19 3" xfId="14438"/>
    <cellStyle name="Output 19 4" xfId="15367"/>
    <cellStyle name="Output 19 5" xfId="16296"/>
    <cellStyle name="Output 19 6" xfId="17226"/>
    <cellStyle name="Output 19 7" xfId="18134"/>
    <cellStyle name="Output 19 8" xfId="19024"/>
    <cellStyle name="Output 19 9" xfId="19901"/>
    <cellStyle name="Output 2" xfId="4056"/>
    <cellStyle name="Output 2 10" xfId="10976"/>
    <cellStyle name="Output 2 11" xfId="11856"/>
    <cellStyle name="Output 2 12" xfId="12709"/>
    <cellStyle name="Output 2 13" xfId="12588"/>
    <cellStyle name="Output 2 14" xfId="10620"/>
    <cellStyle name="Output 2 15" xfId="12787"/>
    <cellStyle name="Output 2 16" xfId="12227"/>
    <cellStyle name="Output 2 17" xfId="11334"/>
    <cellStyle name="Output 2 18" xfId="15752"/>
    <cellStyle name="Output 2 19" xfId="11584"/>
    <cellStyle name="Output 2 2" xfId="9464"/>
    <cellStyle name="Output 2 2 2" xfId="9610"/>
    <cellStyle name="Output 2 20" xfId="12473"/>
    <cellStyle name="Output 2 21" xfId="16671"/>
    <cellStyle name="Output 2 22" xfId="20197"/>
    <cellStyle name="Output 2 23" xfId="23083"/>
    <cellStyle name="Output 2 24" xfId="23310"/>
    <cellStyle name="Output 2 25" xfId="28608"/>
    <cellStyle name="Output 2 26" xfId="30400"/>
    <cellStyle name="Output 2 27" xfId="32175"/>
    <cellStyle name="Output 2 28" xfId="33930"/>
    <cellStyle name="Output 2 29" xfId="35643"/>
    <cellStyle name="Output 2 3" xfId="10394"/>
    <cellStyle name="Output 2 30" xfId="37286"/>
    <cellStyle name="Output 2 31" xfId="38842"/>
    <cellStyle name="Output 2 32" xfId="40275"/>
    <cellStyle name="Output 2 33" xfId="8787"/>
    <cellStyle name="Output 2 4" xfId="10461"/>
    <cellStyle name="Output 2 5" xfId="10454"/>
    <cellStyle name="Output 2 6" xfId="10979"/>
    <cellStyle name="Output 2 7" xfId="10732"/>
    <cellStyle name="Output 2 8" xfId="10347"/>
    <cellStyle name="Output 2 9" xfId="10988"/>
    <cellStyle name="Output 20" xfId="10360"/>
    <cellStyle name="Output 20 10" xfId="20840"/>
    <cellStyle name="Output 20 11" xfId="21679"/>
    <cellStyle name="Output 20 12" xfId="22463"/>
    <cellStyle name="Output 20 13" xfId="26400"/>
    <cellStyle name="Output 20 14" xfId="29731"/>
    <cellStyle name="Output 20 15" xfId="31506"/>
    <cellStyle name="Output 20 16" xfId="33267"/>
    <cellStyle name="Output 20 17" xfId="34985"/>
    <cellStyle name="Output 20 18" xfId="36638"/>
    <cellStyle name="Output 20 19" xfId="38208"/>
    <cellStyle name="Output 20 2" xfId="13394"/>
    <cellStyle name="Output 20 20" xfId="39658"/>
    <cellStyle name="Output 20 21" xfId="40928"/>
    <cellStyle name="Output 20 22" xfId="42003"/>
    <cellStyle name="Output 20 3" xfId="14518"/>
    <cellStyle name="Output 20 4" xfId="15445"/>
    <cellStyle name="Output 20 5" xfId="16376"/>
    <cellStyle name="Output 20 6" xfId="17306"/>
    <cellStyle name="Output 20 7" xfId="18214"/>
    <cellStyle name="Output 20 8" xfId="19104"/>
    <cellStyle name="Output 20 9" xfId="19981"/>
    <cellStyle name="Output 21" xfId="10987"/>
    <cellStyle name="Output 21 10" xfId="20918"/>
    <cellStyle name="Output 21 11" xfId="21759"/>
    <cellStyle name="Output 21 12" xfId="22541"/>
    <cellStyle name="Output 21 13" xfId="26985"/>
    <cellStyle name="Output 21 14" xfId="30314"/>
    <cellStyle name="Output 21 15" xfId="32089"/>
    <cellStyle name="Output 21 16" xfId="33844"/>
    <cellStyle name="Output 21 17" xfId="35557"/>
    <cellStyle name="Output 21 18" xfId="37201"/>
    <cellStyle name="Output 21 19" xfId="38757"/>
    <cellStyle name="Output 21 2" xfId="13474"/>
    <cellStyle name="Output 21 20" xfId="40190"/>
    <cellStyle name="Output 21 21" xfId="41433"/>
    <cellStyle name="Output 21 22" xfId="42482"/>
    <cellStyle name="Output 21 3" xfId="14597"/>
    <cellStyle name="Output 21 4" xfId="15525"/>
    <cellStyle name="Output 21 5" xfId="16456"/>
    <cellStyle name="Output 21 6" xfId="17386"/>
    <cellStyle name="Output 21 7" xfId="18294"/>
    <cellStyle name="Output 21 8" xfId="19184"/>
    <cellStyle name="Output 21 9" xfId="20060"/>
    <cellStyle name="Output 22" xfId="11902"/>
    <cellStyle name="Output 22 10" xfId="20993"/>
    <cellStyle name="Output 22 11" xfId="21832"/>
    <cellStyle name="Output 22 12" xfId="22613"/>
    <cellStyle name="Output 22 13" xfId="26274"/>
    <cellStyle name="Output 22 14" xfId="29605"/>
    <cellStyle name="Output 22 15" xfId="31380"/>
    <cellStyle name="Output 22 16" xfId="33143"/>
    <cellStyle name="Output 22 17" xfId="34861"/>
    <cellStyle name="Output 22 18" xfId="36514"/>
    <cellStyle name="Output 22 19" xfId="38088"/>
    <cellStyle name="Output 22 2" xfId="13554"/>
    <cellStyle name="Output 22 20" xfId="39541"/>
    <cellStyle name="Output 22 21" xfId="40815"/>
    <cellStyle name="Output 22 22" xfId="41894"/>
    <cellStyle name="Output 22 3" xfId="14673"/>
    <cellStyle name="Output 22 4" xfId="15604"/>
    <cellStyle name="Output 22 5" xfId="16533"/>
    <cellStyle name="Output 22 6" xfId="17462"/>
    <cellStyle name="Output 22 7" xfId="18369"/>
    <cellStyle name="Output 22 8" xfId="19258"/>
    <cellStyle name="Output 22 9" xfId="20132"/>
    <cellStyle name="Output 23" xfId="10624"/>
    <cellStyle name="Output 23 10" xfId="21060"/>
    <cellStyle name="Output 23 11" xfId="21895"/>
    <cellStyle name="Output 23 12" xfId="22676"/>
    <cellStyle name="Output 23 2" xfId="13634"/>
    <cellStyle name="Output 23 3" xfId="14751"/>
    <cellStyle name="Output 23 4" xfId="15677"/>
    <cellStyle name="Output 23 5" xfId="16606"/>
    <cellStyle name="Output 23 6" xfId="17537"/>
    <cellStyle name="Output 23 7" xfId="18440"/>
    <cellStyle name="Output 23 8" xfId="19325"/>
    <cellStyle name="Output 23 9" xfId="20203"/>
    <cellStyle name="Output 24" xfId="11365"/>
    <cellStyle name="Output 24 10" xfId="21108"/>
    <cellStyle name="Output 24 11" xfId="21941"/>
    <cellStyle name="Output 24 12" xfId="22721"/>
    <cellStyle name="Output 24 2" xfId="13708"/>
    <cellStyle name="Output 24 3" xfId="14813"/>
    <cellStyle name="Output 24 4" xfId="15742"/>
    <cellStyle name="Output 24 5" xfId="16673"/>
    <cellStyle name="Output 24 6" xfId="17599"/>
    <cellStyle name="Output 24 7" xfId="18502"/>
    <cellStyle name="Output 24 8" xfId="19385"/>
    <cellStyle name="Output 24 9" xfId="20255"/>
    <cellStyle name="Output 25" xfId="13773"/>
    <cellStyle name="Output 26" xfId="13820"/>
    <cellStyle name="Output 27" xfId="12926"/>
    <cellStyle name="Output 28" xfId="11435"/>
    <cellStyle name="Output 29" xfId="13932"/>
    <cellStyle name="Output 3" xfId="8874"/>
    <cellStyle name="Output 30" xfId="13868"/>
    <cellStyle name="Output 31" xfId="11724"/>
    <cellStyle name="Output 32" xfId="11386"/>
    <cellStyle name="Output 33" xfId="13891"/>
    <cellStyle name="Output 34" xfId="16723"/>
    <cellStyle name="Output 35" xfId="16837"/>
    <cellStyle name="Output 36" xfId="18515"/>
    <cellStyle name="Output 37" xfId="22893"/>
    <cellStyle name="Output 38" xfId="26692"/>
    <cellStyle name="Output 39" xfId="29491"/>
    <cellStyle name="Output 4" xfId="8952"/>
    <cellStyle name="Output 40" xfId="31268"/>
    <cellStyle name="Output 41" xfId="33032"/>
    <cellStyle name="Output 42" xfId="34752"/>
    <cellStyle name="Output 43" xfId="36409"/>
    <cellStyle name="Output 44" xfId="37992"/>
    <cellStyle name="Output 45" xfId="39461"/>
    <cellStyle name="Output 46" xfId="40754"/>
    <cellStyle name="Output 47" xfId="42664"/>
    <cellStyle name="Output 48" xfId="42570"/>
    <cellStyle name="Output 49" xfId="42697"/>
    <cellStyle name="Output 5" xfId="9030"/>
    <cellStyle name="Output 50" xfId="42741"/>
    <cellStyle name="Output 51" xfId="42783"/>
    <cellStyle name="Output 52" xfId="42824"/>
    <cellStyle name="Output 53" xfId="42865"/>
    <cellStyle name="Output 54" xfId="42905"/>
    <cellStyle name="Output 55" xfId="42945"/>
    <cellStyle name="Output 56" xfId="42982"/>
    <cellStyle name="Output 57" xfId="43019"/>
    <cellStyle name="Output 58" xfId="43053"/>
    <cellStyle name="Output 59" xfId="43085"/>
    <cellStyle name="Output 6" xfId="9096"/>
    <cellStyle name="Output 60" xfId="43174"/>
    <cellStyle name="Output 61" xfId="43122"/>
    <cellStyle name="Output 62" xfId="8662"/>
    <cellStyle name="Output 63" xfId="7761"/>
    <cellStyle name="Output 64" xfId="3840"/>
    <cellStyle name="Output 7" xfId="9140"/>
    <cellStyle name="Output 8" xfId="9302"/>
    <cellStyle name="Output 9" xfId="9791"/>
    <cellStyle name="per.style" xfId="3841"/>
    <cellStyle name="per.style 10" xfId="9877"/>
    <cellStyle name="per.style 11" xfId="9958"/>
    <cellStyle name="per.style 12" xfId="10042"/>
    <cellStyle name="per.style 13" xfId="10110"/>
    <cellStyle name="per.style 14" xfId="10165"/>
    <cellStyle name="per.style 15" xfId="10211"/>
    <cellStyle name="per.style 15 10" xfId="20445"/>
    <cellStyle name="per.style 15 11" xfId="21281"/>
    <cellStyle name="per.style 15 12" xfId="22078"/>
    <cellStyle name="per.style 15 13" xfId="26656"/>
    <cellStyle name="per.style 15 14" xfId="29985"/>
    <cellStyle name="per.style 15 15" xfId="31760"/>
    <cellStyle name="per.style 15 16" xfId="33518"/>
    <cellStyle name="per.style 15 17" xfId="35232"/>
    <cellStyle name="per.style 15 18" xfId="36879"/>
    <cellStyle name="per.style 15 19" xfId="38442"/>
    <cellStyle name="per.style 15 2" xfId="12995"/>
    <cellStyle name="per.style 15 20" xfId="39884"/>
    <cellStyle name="per.style 15 21" xfId="41138"/>
    <cellStyle name="per.style 15 22" xfId="42198"/>
    <cellStyle name="per.style 15 3" xfId="14121"/>
    <cellStyle name="per.style 15 4" xfId="15051"/>
    <cellStyle name="per.style 15 5" xfId="15978"/>
    <cellStyle name="per.style 15 6" xfId="16908"/>
    <cellStyle name="per.style 15 7" xfId="17816"/>
    <cellStyle name="per.style 15 8" xfId="18706"/>
    <cellStyle name="per.style 15 9" xfId="19584"/>
    <cellStyle name="per.style 16" xfId="10931"/>
    <cellStyle name="per.style 16 10" xfId="20525"/>
    <cellStyle name="per.style 16 11" xfId="21361"/>
    <cellStyle name="per.style 16 12" xfId="22155"/>
    <cellStyle name="per.style 16 13" xfId="26616"/>
    <cellStyle name="per.style 16 14" xfId="29945"/>
    <cellStyle name="per.style 16 15" xfId="31720"/>
    <cellStyle name="per.style 16 16" xfId="33478"/>
    <cellStyle name="per.style 16 17" xfId="35192"/>
    <cellStyle name="per.style 16 18" xfId="36839"/>
    <cellStyle name="per.style 16 19" xfId="38402"/>
    <cellStyle name="per.style 16 2" xfId="13075"/>
    <cellStyle name="per.style 16 20" xfId="39844"/>
    <cellStyle name="per.style 16 21" xfId="41098"/>
    <cellStyle name="per.style 16 22" xfId="42158"/>
    <cellStyle name="per.style 16 3" xfId="14201"/>
    <cellStyle name="per.style 16 4" xfId="15130"/>
    <cellStyle name="per.style 16 5" xfId="16058"/>
    <cellStyle name="per.style 16 6" xfId="16988"/>
    <cellStyle name="per.style 16 7" xfId="17896"/>
    <cellStyle name="per.style 16 8" xfId="18786"/>
    <cellStyle name="per.style 16 9" xfId="19664"/>
    <cellStyle name="per.style 17" xfId="10940"/>
    <cellStyle name="per.style 17 10" xfId="20605"/>
    <cellStyle name="per.style 17 11" xfId="21442"/>
    <cellStyle name="per.style 17 12" xfId="22233"/>
    <cellStyle name="per.style 17 13" xfId="26721"/>
    <cellStyle name="per.style 17 14" xfId="30050"/>
    <cellStyle name="per.style 17 15" xfId="31825"/>
    <cellStyle name="per.style 17 16" xfId="33581"/>
    <cellStyle name="per.style 17 17" xfId="35294"/>
    <cellStyle name="per.style 17 18" xfId="36940"/>
    <cellStyle name="per.style 17 19" xfId="38501"/>
    <cellStyle name="per.style 17 2" xfId="13156"/>
    <cellStyle name="per.style 17 20" xfId="39941"/>
    <cellStyle name="per.style 17 21" xfId="41194"/>
    <cellStyle name="per.style 17 22" xfId="42250"/>
    <cellStyle name="per.style 17 3" xfId="14282"/>
    <cellStyle name="per.style 17 4" xfId="15210"/>
    <cellStyle name="per.style 17 5" xfId="16139"/>
    <cellStyle name="per.style 17 6" xfId="17069"/>
    <cellStyle name="per.style 17 7" xfId="17977"/>
    <cellStyle name="per.style 17 8" xfId="18867"/>
    <cellStyle name="per.style 17 9" xfId="19745"/>
    <cellStyle name="per.style 18" xfId="10501"/>
    <cellStyle name="per.style 18 10" xfId="20683"/>
    <cellStyle name="per.style 18 11" xfId="21521"/>
    <cellStyle name="per.style 18 12" xfId="22309"/>
    <cellStyle name="per.style 18 13" xfId="26569"/>
    <cellStyle name="per.style 18 14" xfId="29899"/>
    <cellStyle name="per.style 18 15" xfId="31674"/>
    <cellStyle name="per.style 18 16" xfId="33433"/>
    <cellStyle name="per.style 18 17" xfId="35147"/>
    <cellStyle name="per.style 18 18" xfId="36796"/>
    <cellStyle name="per.style 18 19" xfId="38361"/>
    <cellStyle name="per.style 18 2" xfId="13235"/>
    <cellStyle name="per.style 18 20" xfId="39804"/>
    <cellStyle name="per.style 18 21" xfId="41065"/>
    <cellStyle name="per.style 18 22" xfId="42132"/>
    <cellStyle name="per.style 18 3" xfId="14360"/>
    <cellStyle name="per.style 18 4" xfId="15288"/>
    <cellStyle name="per.style 18 5" xfId="16218"/>
    <cellStyle name="per.style 18 6" xfId="17148"/>
    <cellStyle name="per.style 18 7" xfId="18056"/>
    <cellStyle name="per.style 18 8" xfId="18946"/>
    <cellStyle name="per.style 18 9" xfId="19823"/>
    <cellStyle name="per.style 19" xfId="10679"/>
    <cellStyle name="per.style 19 10" xfId="20762"/>
    <cellStyle name="per.style 19 11" xfId="21600"/>
    <cellStyle name="per.style 19 12" xfId="22386"/>
    <cellStyle name="per.style 19 13" xfId="26640"/>
    <cellStyle name="per.style 19 14" xfId="29969"/>
    <cellStyle name="per.style 19 15" xfId="31744"/>
    <cellStyle name="per.style 19 16" xfId="33502"/>
    <cellStyle name="per.style 19 17" xfId="35216"/>
    <cellStyle name="per.style 19 18" xfId="36863"/>
    <cellStyle name="per.style 19 19" xfId="38426"/>
    <cellStyle name="per.style 19 2" xfId="13315"/>
    <cellStyle name="per.style 19 20" xfId="39868"/>
    <cellStyle name="per.style 19 21" xfId="41122"/>
    <cellStyle name="per.style 19 22" xfId="42182"/>
    <cellStyle name="per.style 19 3" xfId="14439"/>
    <cellStyle name="per.style 19 4" xfId="15368"/>
    <cellStyle name="per.style 19 5" xfId="16297"/>
    <cellStyle name="per.style 19 6" xfId="17227"/>
    <cellStyle name="per.style 19 7" xfId="18135"/>
    <cellStyle name="per.style 19 8" xfId="19025"/>
    <cellStyle name="per.style 19 9" xfId="19902"/>
    <cellStyle name="per.style 2" xfId="8788"/>
    <cellStyle name="per.style 2 10" xfId="11777"/>
    <cellStyle name="per.style 2 11" xfId="12122"/>
    <cellStyle name="per.style 2 12" xfId="12665"/>
    <cellStyle name="per.style 2 13" xfId="12323"/>
    <cellStyle name="per.style 2 14" xfId="11859"/>
    <cellStyle name="per.style 2 15" xfId="13942"/>
    <cellStyle name="per.style 2 16" xfId="14781"/>
    <cellStyle name="per.style 2 17" xfId="12527"/>
    <cellStyle name="per.style 2 18" xfId="12825"/>
    <cellStyle name="per.style 2 19" xfId="12752"/>
    <cellStyle name="per.style 2 2" xfId="9465"/>
    <cellStyle name="per.style 2 2 2" xfId="9611"/>
    <cellStyle name="per.style 2 20" xfId="14872"/>
    <cellStyle name="per.style 2 21" xfId="10535"/>
    <cellStyle name="per.style 2 22" xfId="11959"/>
    <cellStyle name="per.style 2 23" xfId="23084"/>
    <cellStyle name="per.style 2 24" xfId="23229"/>
    <cellStyle name="per.style 2 25" xfId="28607"/>
    <cellStyle name="per.style 2 26" xfId="30399"/>
    <cellStyle name="per.style 2 27" xfId="32174"/>
    <cellStyle name="per.style 2 28" xfId="33929"/>
    <cellStyle name="per.style 2 29" xfId="35642"/>
    <cellStyle name="per.style 2 3" xfId="10395"/>
    <cellStyle name="per.style 2 30" xfId="37285"/>
    <cellStyle name="per.style 2 31" xfId="38841"/>
    <cellStyle name="per.style 2 32" xfId="40274"/>
    <cellStyle name="per.style 2 4" xfId="10385"/>
    <cellStyle name="per.style 2 5" xfId="11198"/>
    <cellStyle name="per.style 2 6" xfId="11391"/>
    <cellStyle name="per.style 2 7" xfId="11579"/>
    <cellStyle name="per.style 2 8" xfId="11761"/>
    <cellStyle name="per.style 2 9" xfId="11944"/>
    <cellStyle name="per.style 20" xfId="10323"/>
    <cellStyle name="per.style 20 10" xfId="20841"/>
    <cellStyle name="per.style 20 11" xfId="21680"/>
    <cellStyle name="per.style 20 12" xfId="22464"/>
    <cellStyle name="per.style 20 13" xfId="26401"/>
    <cellStyle name="per.style 20 14" xfId="29732"/>
    <cellStyle name="per.style 20 15" xfId="31507"/>
    <cellStyle name="per.style 20 16" xfId="33268"/>
    <cellStyle name="per.style 20 17" xfId="34986"/>
    <cellStyle name="per.style 20 18" xfId="36639"/>
    <cellStyle name="per.style 20 19" xfId="38209"/>
    <cellStyle name="per.style 20 2" xfId="13395"/>
    <cellStyle name="per.style 20 20" xfId="39659"/>
    <cellStyle name="per.style 20 21" xfId="40929"/>
    <cellStyle name="per.style 20 22" xfId="42004"/>
    <cellStyle name="per.style 20 3" xfId="14519"/>
    <cellStyle name="per.style 20 4" xfId="15446"/>
    <cellStyle name="per.style 20 5" xfId="16377"/>
    <cellStyle name="per.style 20 6" xfId="17307"/>
    <cellStyle name="per.style 20 7" xfId="18215"/>
    <cellStyle name="per.style 20 8" xfId="19105"/>
    <cellStyle name="per.style 20 9" xfId="19982"/>
    <cellStyle name="per.style 21" xfId="10767"/>
    <cellStyle name="per.style 21 10" xfId="20919"/>
    <cellStyle name="per.style 21 11" xfId="21760"/>
    <cellStyle name="per.style 21 12" xfId="22542"/>
    <cellStyle name="per.style 21 13" xfId="26984"/>
    <cellStyle name="per.style 21 14" xfId="30313"/>
    <cellStyle name="per.style 21 15" xfId="32088"/>
    <cellStyle name="per.style 21 16" xfId="33843"/>
    <cellStyle name="per.style 21 17" xfId="35556"/>
    <cellStyle name="per.style 21 18" xfId="37200"/>
    <cellStyle name="per.style 21 19" xfId="38756"/>
    <cellStyle name="per.style 21 2" xfId="13475"/>
    <cellStyle name="per.style 21 20" xfId="40189"/>
    <cellStyle name="per.style 21 21" xfId="41432"/>
    <cellStyle name="per.style 21 22" xfId="42481"/>
    <cellStyle name="per.style 21 3" xfId="14598"/>
    <cellStyle name="per.style 21 4" xfId="15526"/>
    <cellStyle name="per.style 21 5" xfId="16457"/>
    <cellStyle name="per.style 21 6" xfId="17387"/>
    <cellStyle name="per.style 21 7" xfId="18295"/>
    <cellStyle name="per.style 21 8" xfId="19185"/>
    <cellStyle name="per.style 21 9" xfId="20061"/>
    <cellStyle name="per.style 22" xfId="11975"/>
    <cellStyle name="per.style 22 10" xfId="20994"/>
    <cellStyle name="per.style 22 11" xfId="21833"/>
    <cellStyle name="per.style 22 12" xfId="22614"/>
    <cellStyle name="per.style 22 13" xfId="26276"/>
    <cellStyle name="per.style 22 14" xfId="29607"/>
    <cellStyle name="per.style 22 15" xfId="31382"/>
    <cellStyle name="per.style 22 16" xfId="33145"/>
    <cellStyle name="per.style 22 17" xfId="34863"/>
    <cellStyle name="per.style 22 18" xfId="36516"/>
    <cellStyle name="per.style 22 19" xfId="38090"/>
    <cellStyle name="per.style 22 2" xfId="13555"/>
    <cellStyle name="per.style 22 20" xfId="39543"/>
    <cellStyle name="per.style 22 21" xfId="40817"/>
    <cellStyle name="per.style 22 22" xfId="41896"/>
    <cellStyle name="per.style 22 3" xfId="14674"/>
    <cellStyle name="per.style 22 4" xfId="15605"/>
    <cellStyle name="per.style 22 5" xfId="16534"/>
    <cellStyle name="per.style 22 6" xfId="17463"/>
    <cellStyle name="per.style 22 7" xfId="18370"/>
    <cellStyle name="per.style 22 8" xfId="19259"/>
    <cellStyle name="per.style 22 9" xfId="20133"/>
    <cellStyle name="per.style 23" xfId="10708"/>
    <cellStyle name="per.style 23 10" xfId="21061"/>
    <cellStyle name="per.style 23 11" xfId="21896"/>
    <cellStyle name="per.style 23 12" xfId="22677"/>
    <cellStyle name="per.style 23 2" xfId="13635"/>
    <cellStyle name="per.style 23 3" xfId="14752"/>
    <cellStyle name="per.style 23 4" xfId="15678"/>
    <cellStyle name="per.style 23 5" xfId="16607"/>
    <cellStyle name="per.style 23 6" xfId="17538"/>
    <cellStyle name="per.style 23 7" xfId="18441"/>
    <cellStyle name="per.style 23 8" xfId="19326"/>
    <cellStyle name="per.style 23 9" xfId="20204"/>
    <cellStyle name="per.style 24" xfId="12228"/>
    <cellStyle name="per.style 24 10" xfId="21109"/>
    <cellStyle name="per.style 24 11" xfId="21942"/>
    <cellStyle name="per.style 24 12" xfId="22722"/>
    <cellStyle name="per.style 24 2" xfId="13709"/>
    <cellStyle name="per.style 24 3" xfId="14814"/>
    <cellStyle name="per.style 24 4" xfId="15743"/>
    <cellStyle name="per.style 24 5" xfId="16674"/>
    <cellStyle name="per.style 24 6" xfId="17600"/>
    <cellStyle name="per.style 24 7" xfId="18503"/>
    <cellStyle name="per.style 24 8" xfId="19386"/>
    <cellStyle name="per.style 24 9" xfId="20256"/>
    <cellStyle name="per.style 25" xfId="13774"/>
    <cellStyle name="per.style 26" xfId="13821"/>
    <cellStyle name="per.style 27" xfId="12859"/>
    <cellStyle name="per.style 28" xfId="11434"/>
    <cellStyle name="per.style 29" xfId="12428"/>
    <cellStyle name="per.style 3" xfId="8875"/>
    <cellStyle name="per.style 30" xfId="12400"/>
    <cellStyle name="per.style 31" xfId="14852"/>
    <cellStyle name="per.style 32" xfId="12292"/>
    <cellStyle name="per.style 33" xfId="12758"/>
    <cellStyle name="per.style 34" xfId="19339"/>
    <cellStyle name="per.style 35" xfId="16713"/>
    <cellStyle name="per.style 36" xfId="18539"/>
    <cellStyle name="per.style 37" xfId="22894"/>
    <cellStyle name="per.style 38" xfId="26597"/>
    <cellStyle name="per.style 39" xfId="29490"/>
    <cellStyle name="per.style 4" xfId="8953"/>
    <cellStyle name="per.style 40" xfId="31267"/>
    <cellStyle name="per.style 41" xfId="33031"/>
    <cellStyle name="per.style 42" xfId="34751"/>
    <cellStyle name="per.style 43" xfId="36408"/>
    <cellStyle name="per.style 44" xfId="37991"/>
    <cellStyle name="per.style 45" xfId="39460"/>
    <cellStyle name="per.style 46" xfId="40753"/>
    <cellStyle name="per.style 47" xfId="7859"/>
    <cellStyle name="per.style 5" xfId="9031"/>
    <cellStyle name="per.style 6" xfId="9097"/>
    <cellStyle name="per.style 7" xfId="9141"/>
    <cellStyle name="per.style 8" xfId="9303"/>
    <cellStyle name="per.style 9" xfId="9792"/>
    <cellStyle name="Percent [0]" xfId="3843"/>
    <cellStyle name="Percent [0] 10" xfId="9878"/>
    <cellStyle name="Percent [0] 11" xfId="9959"/>
    <cellStyle name="Percent [0] 12" xfId="10043"/>
    <cellStyle name="Percent [0] 13" xfId="10111"/>
    <cellStyle name="Percent [0] 14" xfId="10166"/>
    <cellStyle name="Percent [0] 15" xfId="10212"/>
    <cellStyle name="Percent [0] 15 10" xfId="20446"/>
    <cellStyle name="Percent [0] 15 11" xfId="21282"/>
    <cellStyle name="Percent [0] 15 12" xfId="22079"/>
    <cellStyle name="Percent [0] 15 13" xfId="26655"/>
    <cellStyle name="Percent [0] 15 14" xfId="29984"/>
    <cellStyle name="Percent [0] 15 15" xfId="31759"/>
    <cellStyle name="Percent [0] 15 16" xfId="33517"/>
    <cellStyle name="Percent [0] 15 17" xfId="35231"/>
    <cellStyle name="Percent [0] 15 18" xfId="36878"/>
    <cellStyle name="Percent [0] 15 19" xfId="38441"/>
    <cellStyle name="Percent [0] 15 2" xfId="12996"/>
    <cellStyle name="Percent [0] 15 20" xfId="39883"/>
    <cellStyle name="Percent [0] 15 21" xfId="41137"/>
    <cellStyle name="Percent [0] 15 22" xfId="42197"/>
    <cellStyle name="Percent [0] 15 3" xfId="14122"/>
    <cellStyle name="Percent [0] 15 4" xfId="15052"/>
    <cellStyle name="Percent [0] 15 5" xfId="15979"/>
    <cellStyle name="Percent [0] 15 6" xfId="16909"/>
    <cellStyle name="Percent [0] 15 7" xfId="17817"/>
    <cellStyle name="Percent [0] 15 8" xfId="18707"/>
    <cellStyle name="Percent [0] 15 9" xfId="19585"/>
    <cellStyle name="Percent [0] 16" xfId="10856"/>
    <cellStyle name="Percent [0] 16 10" xfId="20526"/>
    <cellStyle name="Percent [0] 16 11" xfId="21362"/>
    <cellStyle name="Percent [0] 16 12" xfId="22156"/>
    <cellStyle name="Percent [0] 16 13" xfId="26617"/>
    <cellStyle name="Percent [0] 16 14" xfId="29946"/>
    <cellStyle name="Percent [0] 16 15" xfId="31721"/>
    <cellStyle name="Percent [0] 16 16" xfId="33479"/>
    <cellStyle name="Percent [0] 16 17" xfId="35193"/>
    <cellStyle name="Percent [0] 16 18" xfId="36840"/>
    <cellStyle name="Percent [0] 16 19" xfId="38403"/>
    <cellStyle name="Percent [0] 16 2" xfId="13076"/>
    <cellStyle name="Percent [0] 16 20" xfId="39845"/>
    <cellStyle name="Percent [0] 16 21" xfId="41099"/>
    <cellStyle name="Percent [0] 16 22" xfId="42159"/>
    <cellStyle name="Percent [0] 16 3" xfId="14202"/>
    <cellStyle name="Percent [0] 16 4" xfId="15131"/>
    <cellStyle name="Percent [0] 16 5" xfId="16059"/>
    <cellStyle name="Percent [0] 16 6" xfId="16989"/>
    <cellStyle name="Percent [0] 16 7" xfId="17897"/>
    <cellStyle name="Percent [0] 16 8" xfId="18787"/>
    <cellStyle name="Percent [0] 16 9" xfId="19665"/>
    <cellStyle name="Percent [0] 17" xfId="10622"/>
    <cellStyle name="Percent [0] 17 10" xfId="20606"/>
    <cellStyle name="Percent [0] 17 11" xfId="21443"/>
    <cellStyle name="Percent [0] 17 12" xfId="22234"/>
    <cellStyle name="Percent [0] 17 13" xfId="26720"/>
    <cellStyle name="Percent [0] 17 14" xfId="30049"/>
    <cellStyle name="Percent [0] 17 15" xfId="31824"/>
    <cellStyle name="Percent [0] 17 16" xfId="33580"/>
    <cellStyle name="Percent [0] 17 17" xfId="35293"/>
    <cellStyle name="Percent [0] 17 18" xfId="36939"/>
    <cellStyle name="Percent [0] 17 19" xfId="38500"/>
    <cellStyle name="Percent [0] 17 2" xfId="13157"/>
    <cellStyle name="Percent [0] 17 20" xfId="39940"/>
    <cellStyle name="Percent [0] 17 21" xfId="41193"/>
    <cellStyle name="Percent [0] 17 22" xfId="42249"/>
    <cellStyle name="Percent [0] 17 3" xfId="14283"/>
    <cellStyle name="Percent [0] 17 4" xfId="15211"/>
    <cellStyle name="Percent [0] 17 5" xfId="16140"/>
    <cellStyle name="Percent [0] 17 6" xfId="17070"/>
    <cellStyle name="Percent [0] 17 7" xfId="17978"/>
    <cellStyle name="Percent [0] 17 8" xfId="18868"/>
    <cellStyle name="Percent [0] 17 9" xfId="19746"/>
    <cellStyle name="Percent [0] 18" xfId="10304"/>
    <cellStyle name="Percent [0] 18 10" xfId="20684"/>
    <cellStyle name="Percent [0] 18 11" xfId="21522"/>
    <cellStyle name="Percent [0] 18 12" xfId="22310"/>
    <cellStyle name="Percent [0] 18 13" xfId="26570"/>
    <cellStyle name="Percent [0] 18 14" xfId="29900"/>
    <cellStyle name="Percent [0] 18 15" xfId="31675"/>
    <cellStyle name="Percent [0] 18 16" xfId="33434"/>
    <cellStyle name="Percent [0] 18 17" xfId="35148"/>
    <cellStyle name="Percent [0] 18 18" xfId="36797"/>
    <cellStyle name="Percent [0] 18 19" xfId="38362"/>
    <cellStyle name="Percent [0] 18 2" xfId="13236"/>
    <cellStyle name="Percent [0] 18 20" xfId="39805"/>
    <cellStyle name="Percent [0] 18 21" xfId="41066"/>
    <cellStyle name="Percent [0] 18 22" xfId="42133"/>
    <cellStyle name="Percent [0] 18 3" xfId="14361"/>
    <cellStyle name="Percent [0] 18 4" xfId="15289"/>
    <cellStyle name="Percent [0] 18 5" xfId="16219"/>
    <cellStyle name="Percent [0] 18 6" xfId="17149"/>
    <cellStyle name="Percent [0] 18 7" xfId="18057"/>
    <cellStyle name="Percent [0] 18 8" xfId="18947"/>
    <cellStyle name="Percent [0] 18 9" xfId="19824"/>
    <cellStyle name="Percent [0] 19" xfId="11141"/>
    <cellStyle name="Percent [0] 19 10" xfId="20763"/>
    <cellStyle name="Percent [0] 19 11" xfId="21601"/>
    <cellStyle name="Percent [0] 19 12" xfId="22387"/>
    <cellStyle name="Percent [0] 19 13" xfId="26639"/>
    <cellStyle name="Percent [0] 19 14" xfId="29968"/>
    <cellStyle name="Percent [0] 19 15" xfId="31743"/>
    <cellStyle name="Percent [0] 19 16" xfId="33501"/>
    <cellStyle name="Percent [0] 19 17" xfId="35215"/>
    <cellStyle name="Percent [0] 19 18" xfId="36862"/>
    <cellStyle name="Percent [0] 19 19" xfId="38425"/>
    <cellStyle name="Percent [0] 19 2" xfId="13316"/>
    <cellStyle name="Percent [0] 19 20" xfId="39867"/>
    <cellStyle name="Percent [0] 19 21" xfId="41121"/>
    <cellStyle name="Percent [0] 19 22" xfId="42181"/>
    <cellStyle name="Percent [0] 19 3" xfId="14440"/>
    <cellStyle name="Percent [0] 19 4" xfId="15369"/>
    <cellStyle name="Percent [0] 19 5" xfId="16298"/>
    <cellStyle name="Percent [0] 19 6" xfId="17228"/>
    <cellStyle name="Percent [0] 19 7" xfId="18136"/>
    <cellStyle name="Percent [0] 19 8" xfId="19026"/>
    <cellStyle name="Percent [0] 19 9" xfId="19903"/>
    <cellStyle name="Percent [0] 2" xfId="3844"/>
    <cellStyle name="Percent [0] 2 10" xfId="10321"/>
    <cellStyle name="Percent [0] 2 11" xfId="12537"/>
    <cellStyle name="Percent [0] 2 12" xfId="12611"/>
    <cellStyle name="Percent [0] 2 13" xfId="12058"/>
    <cellStyle name="Percent [0] 2 14" xfId="10292"/>
    <cellStyle name="Percent [0] 2 15" xfId="12493"/>
    <cellStyle name="Percent [0] 2 16" xfId="12226"/>
    <cellStyle name="Percent [0] 2 17" xfId="15598"/>
    <cellStyle name="Percent [0] 2 18" xfId="12321"/>
    <cellStyle name="Percent [0] 2 19" xfId="11668"/>
    <cellStyle name="Percent [0] 2 2" xfId="4058"/>
    <cellStyle name="Percent [0] 2 2 2" xfId="9612"/>
    <cellStyle name="Percent [0] 2 2 3" xfId="9466"/>
    <cellStyle name="Percent [0] 2 20" xfId="12775"/>
    <cellStyle name="Percent [0] 2 21" xfId="19436"/>
    <cellStyle name="Percent [0] 2 22" xfId="12447"/>
    <cellStyle name="Percent [0] 2 23" xfId="23085"/>
    <cellStyle name="Percent [0] 2 24" xfId="23150"/>
    <cellStyle name="Percent [0] 2 25" xfId="28606"/>
    <cellStyle name="Percent [0] 2 26" xfId="30398"/>
    <cellStyle name="Percent [0] 2 27" xfId="32173"/>
    <cellStyle name="Percent [0] 2 28" xfId="33928"/>
    <cellStyle name="Percent [0] 2 29" xfId="35641"/>
    <cellStyle name="Percent [0] 2 3" xfId="10396"/>
    <cellStyle name="Percent [0] 2 30" xfId="37284"/>
    <cellStyle name="Percent [0] 2 31" xfId="38840"/>
    <cellStyle name="Percent [0] 2 32" xfId="40273"/>
    <cellStyle name="Percent [0] 2 33" xfId="8789"/>
    <cellStyle name="Percent [0] 2 4" xfId="11247"/>
    <cellStyle name="Percent [0] 2 5" xfId="11438"/>
    <cellStyle name="Percent [0] 2 6" xfId="11627"/>
    <cellStyle name="Percent [0] 2 7" xfId="11809"/>
    <cellStyle name="Percent [0] 2 8" xfId="11991"/>
    <cellStyle name="Percent [0] 2 9" xfId="12168"/>
    <cellStyle name="Percent [0] 20" xfId="11335"/>
    <cellStyle name="Percent [0] 20 10" xfId="20842"/>
    <cellStyle name="Percent [0] 20 11" xfId="21681"/>
    <cellStyle name="Percent [0] 20 12" xfId="22465"/>
    <cellStyle name="Percent [0] 20 13" xfId="26402"/>
    <cellStyle name="Percent [0] 20 14" xfId="29733"/>
    <cellStyle name="Percent [0] 20 15" xfId="31508"/>
    <cellStyle name="Percent [0] 20 16" xfId="33269"/>
    <cellStyle name="Percent [0] 20 17" xfId="34987"/>
    <cellStyle name="Percent [0] 20 18" xfId="36640"/>
    <cellStyle name="Percent [0] 20 19" xfId="38210"/>
    <cellStyle name="Percent [0] 20 2" xfId="13396"/>
    <cellStyle name="Percent [0] 20 20" xfId="39660"/>
    <cellStyle name="Percent [0] 20 21" xfId="40930"/>
    <cellStyle name="Percent [0] 20 22" xfId="42005"/>
    <cellStyle name="Percent [0] 20 3" xfId="14520"/>
    <cellStyle name="Percent [0] 20 4" xfId="15447"/>
    <cellStyle name="Percent [0] 20 5" xfId="16378"/>
    <cellStyle name="Percent [0] 20 6" xfId="17308"/>
    <cellStyle name="Percent [0] 20 7" xfId="18216"/>
    <cellStyle name="Percent [0] 20 8" xfId="19106"/>
    <cellStyle name="Percent [0] 20 9" xfId="19983"/>
    <cellStyle name="Percent [0] 21" xfId="11528"/>
    <cellStyle name="Percent [0] 21 10" xfId="20920"/>
    <cellStyle name="Percent [0] 21 11" xfId="21761"/>
    <cellStyle name="Percent [0] 21 12" xfId="22543"/>
    <cellStyle name="Percent [0] 21 13" xfId="26983"/>
    <cellStyle name="Percent [0] 21 14" xfId="30312"/>
    <cellStyle name="Percent [0] 21 15" xfId="32087"/>
    <cellStyle name="Percent [0] 21 16" xfId="33842"/>
    <cellStyle name="Percent [0] 21 17" xfId="35555"/>
    <cellStyle name="Percent [0] 21 18" xfId="37199"/>
    <cellStyle name="Percent [0] 21 19" xfId="38755"/>
    <cellStyle name="Percent [0] 21 2" xfId="13476"/>
    <cellStyle name="Percent [0] 21 20" xfId="40188"/>
    <cellStyle name="Percent [0] 21 21" xfId="41431"/>
    <cellStyle name="Percent [0] 21 22" xfId="42480"/>
    <cellStyle name="Percent [0] 21 3" xfId="14599"/>
    <cellStyle name="Percent [0] 21 4" xfId="15527"/>
    <cellStyle name="Percent [0] 21 5" xfId="16458"/>
    <cellStyle name="Percent [0] 21 6" xfId="17388"/>
    <cellStyle name="Percent [0] 21 7" xfId="18296"/>
    <cellStyle name="Percent [0] 21 8" xfId="19186"/>
    <cellStyle name="Percent [0] 21 9" xfId="20062"/>
    <cellStyle name="Percent [0] 22" xfId="11298"/>
    <cellStyle name="Percent [0] 22 10" xfId="20995"/>
    <cellStyle name="Percent [0] 22 11" xfId="21834"/>
    <cellStyle name="Percent [0] 22 12" xfId="22615"/>
    <cellStyle name="Percent [0] 22 13" xfId="26277"/>
    <cellStyle name="Percent [0] 22 14" xfId="29608"/>
    <cellStyle name="Percent [0] 22 15" xfId="31383"/>
    <cellStyle name="Percent [0] 22 16" xfId="33146"/>
    <cellStyle name="Percent [0] 22 17" xfId="34864"/>
    <cellStyle name="Percent [0] 22 18" xfId="36517"/>
    <cellStyle name="Percent [0] 22 19" xfId="38091"/>
    <cellStyle name="Percent [0] 22 2" xfId="13556"/>
    <cellStyle name="Percent [0] 22 20" xfId="39544"/>
    <cellStyle name="Percent [0] 22 21" xfId="40818"/>
    <cellStyle name="Percent [0] 22 22" xfId="41897"/>
    <cellStyle name="Percent [0] 22 3" xfId="14675"/>
    <cellStyle name="Percent [0] 22 4" xfId="15606"/>
    <cellStyle name="Percent [0] 22 5" xfId="16535"/>
    <cellStyle name="Percent [0] 22 6" xfId="17464"/>
    <cellStyle name="Percent [0] 22 7" xfId="18371"/>
    <cellStyle name="Percent [0] 22 8" xfId="19260"/>
    <cellStyle name="Percent [0] 22 9" xfId="20134"/>
    <cellStyle name="Percent [0] 23" xfId="10892"/>
    <cellStyle name="Percent [0] 23 10" xfId="21062"/>
    <cellStyle name="Percent [0] 23 11" xfId="21897"/>
    <cellStyle name="Percent [0] 23 12" xfId="22678"/>
    <cellStyle name="Percent [0] 23 2" xfId="13636"/>
    <cellStyle name="Percent [0] 23 3" xfId="14753"/>
    <cellStyle name="Percent [0] 23 4" xfId="15679"/>
    <cellStyle name="Percent [0] 23 5" xfId="16608"/>
    <cellStyle name="Percent [0] 23 6" xfId="17539"/>
    <cellStyle name="Percent [0] 23 7" xfId="18442"/>
    <cellStyle name="Percent [0] 23 8" xfId="19327"/>
    <cellStyle name="Percent [0] 23 9" xfId="20205"/>
    <cellStyle name="Percent [0] 24" xfId="12117"/>
    <cellStyle name="Percent [0] 24 10" xfId="21110"/>
    <cellStyle name="Percent [0] 24 11" xfId="21943"/>
    <cellStyle name="Percent [0] 24 12" xfId="22723"/>
    <cellStyle name="Percent [0] 24 2" xfId="13710"/>
    <cellStyle name="Percent [0] 24 3" xfId="14815"/>
    <cellStyle name="Percent [0] 24 4" xfId="15744"/>
    <cellStyle name="Percent [0] 24 5" xfId="16675"/>
    <cellStyle name="Percent [0] 24 6" xfId="17601"/>
    <cellStyle name="Percent [0] 24 7" xfId="18504"/>
    <cellStyle name="Percent [0] 24 8" xfId="19387"/>
    <cellStyle name="Percent [0] 24 9" xfId="20257"/>
    <cellStyle name="Percent [0] 25" xfId="13775"/>
    <cellStyle name="Percent [0] 26" xfId="13822"/>
    <cellStyle name="Percent [0] 27" xfId="12795"/>
    <cellStyle name="Percent [0] 28" xfId="12142"/>
    <cellStyle name="Percent [0] 29" xfId="11883"/>
    <cellStyle name="Percent [0] 3" xfId="3845"/>
    <cellStyle name="Percent [0] 3 2" xfId="4059"/>
    <cellStyle name="Percent [0] 3 2 2" xfId="8876"/>
    <cellStyle name="Percent [0] 30" xfId="12835"/>
    <cellStyle name="Percent [0] 31" xfId="16620"/>
    <cellStyle name="Percent [0] 32" xfId="17551"/>
    <cellStyle name="Percent [0] 33" xfId="18454"/>
    <cellStyle name="Percent [0] 34" xfId="19355"/>
    <cellStyle name="Percent [0] 35" xfId="16635"/>
    <cellStyle name="Percent [0] 36" xfId="19297"/>
    <cellStyle name="Percent [0] 37" xfId="22895"/>
    <cellStyle name="Percent [0] 38" xfId="24857"/>
    <cellStyle name="Percent [0] 39" xfId="29488"/>
    <cellStyle name="Percent [0] 4" xfId="8954"/>
    <cellStyle name="Percent [0] 40" xfId="31265"/>
    <cellStyle name="Percent [0] 41" xfId="33029"/>
    <cellStyle name="Percent [0] 42" xfId="34749"/>
    <cellStyle name="Percent [0] 43" xfId="36406"/>
    <cellStyle name="Percent [0] 44" xfId="37989"/>
    <cellStyle name="Percent [0] 45" xfId="39458"/>
    <cellStyle name="Percent [0] 46" xfId="40751"/>
    <cellStyle name="Percent [0] 47" xfId="7860"/>
    <cellStyle name="Percent [0] 5" xfId="9032"/>
    <cellStyle name="Percent [0] 6" xfId="9098"/>
    <cellStyle name="Percent [0] 7" xfId="9142"/>
    <cellStyle name="Percent [0] 8" xfId="9304"/>
    <cellStyle name="Percent [0] 9" xfId="9793"/>
    <cellStyle name="Percent [00]" xfId="3846"/>
    <cellStyle name="Percent [00] 10" xfId="9879"/>
    <cellStyle name="Percent [00] 11" xfId="9960"/>
    <cellStyle name="Percent [00] 12" xfId="10044"/>
    <cellStyle name="Percent [00] 13" xfId="10112"/>
    <cellStyle name="Percent [00] 14" xfId="10167"/>
    <cellStyle name="Percent [00] 15" xfId="10213"/>
    <cellStyle name="Percent [00] 15 10" xfId="20447"/>
    <cellStyle name="Percent [00] 15 11" xfId="21283"/>
    <cellStyle name="Percent [00] 15 12" xfId="22080"/>
    <cellStyle name="Percent [00] 15 13" xfId="26654"/>
    <cellStyle name="Percent [00] 15 14" xfId="29983"/>
    <cellStyle name="Percent [00] 15 15" xfId="31758"/>
    <cellStyle name="Percent [00] 15 16" xfId="33516"/>
    <cellStyle name="Percent [00] 15 17" xfId="35230"/>
    <cellStyle name="Percent [00] 15 18" xfId="36877"/>
    <cellStyle name="Percent [00] 15 19" xfId="38440"/>
    <cellStyle name="Percent [00] 15 2" xfId="12997"/>
    <cellStyle name="Percent [00] 15 20" xfId="39882"/>
    <cellStyle name="Percent [00] 15 21" xfId="41136"/>
    <cellStyle name="Percent [00] 15 22" xfId="42196"/>
    <cellStyle name="Percent [00] 15 3" xfId="14123"/>
    <cellStyle name="Percent [00] 15 4" xfId="15053"/>
    <cellStyle name="Percent [00] 15 5" xfId="15980"/>
    <cellStyle name="Percent [00] 15 6" xfId="16910"/>
    <cellStyle name="Percent [00] 15 7" xfId="17818"/>
    <cellStyle name="Percent [00] 15 8" xfId="18708"/>
    <cellStyle name="Percent [00] 15 9" xfId="19586"/>
    <cellStyle name="Percent [00] 16" xfId="10784"/>
    <cellStyle name="Percent [00] 16 10" xfId="20527"/>
    <cellStyle name="Percent [00] 16 11" xfId="21363"/>
    <cellStyle name="Percent [00] 16 12" xfId="22157"/>
    <cellStyle name="Percent [00] 16 13" xfId="26618"/>
    <cellStyle name="Percent [00] 16 14" xfId="29947"/>
    <cellStyle name="Percent [00] 16 15" xfId="31722"/>
    <cellStyle name="Percent [00] 16 16" xfId="33480"/>
    <cellStyle name="Percent [00] 16 17" xfId="35194"/>
    <cellStyle name="Percent [00] 16 18" xfId="36841"/>
    <cellStyle name="Percent [00] 16 19" xfId="38404"/>
    <cellStyle name="Percent [00] 16 2" xfId="13077"/>
    <cellStyle name="Percent [00] 16 20" xfId="39846"/>
    <cellStyle name="Percent [00] 16 21" xfId="41100"/>
    <cellStyle name="Percent [00] 16 22" xfId="42160"/>
    <cellStyle name="Percent [00] 16 3" xfId="14203"/>
    <cellStyle name="Percent [00] 16 4" xfId="15132"/>
    <cellStyle name="Percent [00] 16 5" xfId="16060"/>
    <cellStyle name="Percent [00] 16 6" xfId="16990"/>
    <cellStyle name="Percent [00] 16 7" xfId="17898"/>
    <cellStyle name="Percent [00] 16 8" xfId="18788"/>
    <cellStyle name="Percent [00] 16 9" xfId="19666"/>
    <cellStyle name="Percent [00] 17" xfId="10523"/>
    <cellStyle name="Percent [00] 17 10" xfId="20607"/>
    <cellStyle name="Percent [00] 17 11" xfId="21444"/>
    <cellStyle name="Percent [00] 17 12" xfId="22235"/>
    <cellStyle name="Percent [00] 17 13" xfId="26719"/>
    <cellStyle name="Percent [00] 17 14" xfId="30048"/>
    <cellStyle name="Percent [00] 17 15" xfId="31823"/>
    <cellStyle name="Percent [00] 17 16" xfId="33579"/>
    <cellStyle name="Percent [00] 17 17" xfId="35292"/>
    <cellStyle name="Percent [00] 17 18" xfId="36938"/>
    <cellStyle name="Percent [00] 17 19" xfId="38499"/>
    <cellStyle name="Percent [00] 17 2" xfId="13158"/>
    <cellStyle name="Percent [00] 17 20" xfId="39939"/>
    <cellStyle name="Percent [00] 17 21" xfId="41192"/>
    <cellStyle name="Percent [00] 17 22" xfId="42248"/>
    <cellStyle name="Percent [00] 17 3" xfId="14284"/>
    <cellStyle name="Percent [00] 17 4" xfId="15212"/>
    <cellStyle name="Percent [00] 17 5" xfId="16141"/>
    <cellStyle name="Percent [00] 17 6" xfId="17071"/>
    <cellStyle name="Percent [00] 17 7" xfId="17979"/>
    <cellStyle name="Percent [00] 17 8" xfId="18869"/>
    <cellStyle name="Percent [00] 17 9" xfId="19747"/>
    <cellStyle name="Percent [00] 18" xfId="10181"/>
    <cellStyle name="Percent [00] 18 10" xfId="20685"/>
    <cellStyle name="Percent [00] 18 11" xfId="21523"/>
    <cellStyle name="Percent [00] 18 12" xfId="22311"/>
    <cellStyle name="Percent [00] 18 13" xfId="26571"/>
    <cellStyle name="Percent [00] 18 14" xfId="29901"/>
    <cellStyle name="Percent [00] 18 15" xfId="31676"/>
    <cellStyle name="Percent [00] 18 16" xfId="33435"/>
    <cellStyle name="Percent [00] 18 17" xfId="35149"/>
    <cellStyle name="Percent [00] 18 18" xfId="36798"/>
    <cellStyle name="Percent [00] 18 19" xfId="38363"/>
    <cellStyle name="Percent [00] 18 2" xfId="13237"/>
    <cellStyle name="Percent [00] 18 20" xfId="39806"/>
    <cellStyle name="Percent [00] 18 21" xfId="41067"/>
    <cellStyle name="Percent [00] 18 22" xfId="42134"/>
    <cellStyle name="Percent [00] 18 3" xfId="14362"/>
    <cellStyle name="Percent [00] 18 4" xfId="15290"/>
    <cellStyle name="Percent [00] 18 5" xfId="16220"/>
    <cellStyle name="Percent [00] 18 6" xfId="17150"/>
    <cellStyle name="Percent [00] 18 7" xfId="18058"/>
    <cellStyle name="Percent [00] 18 8" xfId="18948"/>
    <cellStyle name="Percent [00] 18 9" xfId="19825"/>
    <cellStyle name="Percent [00] 19" xfId="11087"/>
    <cellStyle name="Percent [00] 19 10" xfId="20764"/>
    <cellStyle name="Percent [00] 19 11" xfId="21602"/>
    <cellStyle name="Percent [00] 19 12" xfId="22388"/>
    <cellStyle name="Percent [00] 19 13" xfId="26638"/>
    <cellStyle name="Percent [00] 19 14" xfId="29967"/>
    <cellStyle name="Percent [00] 19 15" xfId="31742"/>
    <cellStyle name="Percent [00] 19 16" xfId="33500"/>
    <cellStyle name="Percent [00] 19 17" xfId="35214"/>
    <cellStyle name="Percent [00] 19 18" xfId="36861"/>
    <cellStyle name="Percent [00] 19 19" xfId="38424"/>
    <cellStyle name="Percent [00] 19 2" xfId="13317"/>
    <cellStyle name="Percent [00] 19 20" xfId="39866"/>
    <cellStyle name="Percent [00] 19 21" xfId="41120"/>
    <cellStyle name="Percent [00] 19 22" xfId="42180"/>
    <cellStyle name="Percent [00] 19 3" xfId="14441"/>
    <cellStyle name="Percent [00] 19 4" xfId="15370"/>
    <cellStyle name="Percent [00] 19 5" xfId="16299"/>
    <cellStyle name="Percent [00] 19 6" xfId="17229"/>
    <cellStyle name="Percent [00] 19 7" xfId="18137"/>
    <cellStyle name="Percent [00] 19 8" xfId="19027"/>
    <cellStyle name="Percent [00] 19 9" xfId="19904"/>
    <cellStyle name="Percent [00] 2" xfId="3847"/>
    <cellStyle name="Percent [00] 2 10" xfId="12353"/>
    <cellStyle name="Percent [00] 2 11" xfId="12494"/>
    <cellStyle name="Percent [00] 2 12" xfId="11986"/>
    <cellStyle name="Percent [00] 2 13" xfId="12905"/>
    <cellStyle name="Percent [00] 2 14" xfId="10642"/>
    <cellStyle name="Percent [00] 2 15" xfId="10295"/>
    <cellStyle name="Percent [00] 2 16" xfId="15692"/>
    <cellStyle name="Percent [00] 2 17" xfId="14909"/>
    <cellStyle name="Percent [00] 2 18" xfId="12918"/>
    <cellStyle name="Percent [00] 2 19" xfId="14817"/>
    <cellStyle name="Percent [00] 2 2" xfId="4060"/>
    <cellStyle name="Percent [00] 2 2 2" xfId="9613"/>
    <cellStyle name="Percent [00] 2 2 3" xfId="9467"/>
    <cellStyle name="Percent [00] 2 20" xfId="19364"/>
    <cellStyle name="Percent [00] 2 21" xfId="12887"/>
    <cellStyle name="Percent [00] 2 22" xfId="21118"/>
    <cellStyle name="Percent [00] 2 23" xfId="23086"/>
    <cellStyle name="Percent [00] 2 24" xfId="23678"/>
    <cellStyle name="Percent [00] 2 25" xfId="28605"/>
    <cellStyle name="Percent [00] 2 26" xfId="30397"/>
    <cellStyle name="Percent [00] 2 27" xfId="32172"/>
    <cellStyle name="Percent [00] 2 28" xfId="33927"/>
    <cellStyle name="Percent [00] 2 29" xfId="35640"/>
    <cellStyle name="Percent [00] 2 3" xfId="10397"/>
    <cellStyle name="Percent [00] 2 30" xfId="37283"/>
    <cellStyle name="Percent [00] 2 31" xfId="38839"/>
    <cellStyle name="Percent [00] 2 32" xfId="40272"/>
    <cellStyle name="Percent [00] 2 33" xfId="8790"/>
    <cellStyle name="Percent [00] 2 4" xfId="11197"/>
    <cellStyle name="Percent [00] 2 5" xfId="11390"/>
    <cellStyle name="Percent [00] 2 6" xfId="11578"/>
    <cellStyle name="Percent [00] 2 7" xfId="11760"/>
    <cellStyle name="Percent [00] 2 8" xfId="11943"/>
    <cellStyle name="Percent [00] 2 9" xfId="12121"/>
    <cellStyle name="Percent [00] 20" xfId="11281"/>
    <cellStyle name="Percent [00] 20 10" xfId="20843"/>
    <cellStyle name="Percent [00] 20 11" xfId="21682"/>
    <cellStyle name="Percent [00] 20 12" xfId="22466"/>
    <cellStyle name="Percent [00] 20 13" xfId="26403"/>
    <cellStyle name="Percent [00] 20 14" xfId="29734"/>
    <cellStyle name="Percent [00] 20 15" xfId="31509"/>
    <cellStyle name="Percent [00] 20 16" xfId="33270"/>
    <cellStyle name="Percent [00] 20 17" xfId="34988"/>
    <cellStyle name="Percent [00] 20 18" xfId="36641"/>
    <cellStyle name="Percent [00] 20 19" xfId="38211"/>
    <cellStyle name="Percent [00] 20 2" xfId="13397"/>
    <cellStyle name="Percent [00] 20 20" xfId="39661"/>
    <cellStyle name="Percent [00] 20 21" xfId="40931"/>
    <cellStyle name="Percent [00] 20 22" xfId="42006"/>
    <cellStyle name="Percent [00] 20 3" xfId="14521"/>
    <cellStyle name="Percent [00] 20 4" xfId="15448"/>
    <cellStyle name="Percent [00] 20 5" xfId="16379"/>
    <cellStyle name="Percent [00] 20 6" xfId="17309"/>
    <cellStyle name="Percent [00] 20 7" xfId="18217"/>
    <cellStyle name="Percent [00] 20 8" xfId="19107"/>
    <cellStyle name="Percent [00] 20 9" xfId="19984"/>
    <cellStyle name="Percent [00] 21" xfId="11473"/>
    <cellStyle name="Percent [00] 21 10" xfId="20921"/>
    <cellStyle name="Percent [00] 21 11" xfId="21762"/>
    <cellStyle name="Percent [00] 21 12" xfId="22544"/>
    <cellStyle name="Percent [00] 21 13" xfId="26982"/>
    <cellStyle name="Percent [00] 21 14" xfId="30311"/>
    <cellStyle name="Percent [00] 21 15" xfId="32086"/>
    <cellStyle name="Percent [00] 21 16" xfId="33841"/>
    <cellStyle name="Percent [00] 21 17" xfId="35554"/>
    <cellStyle name="Percent [00] 21 18" xfId="37198"/>
    <cellStyle name="Percent [00] 21 19" xfId="38754"/>
    <cellStyle name="Percent [00] 21 2" xfId="13477"/>
    <cellStyle name="Percent [00] 21 20" xfId="40187"/>
    <cellStyle name="Percent [00] 21 21" xfId="41430"/>
    <cellStyle name="Percent [00] 21 22" xfId="42479"/>
    <cellStyle name="Percent [00] 21 3" xfId="14600"/>
    <cellStyle name="Percent [00] 21 4" xfId="15528"/>
    <cellStyle name="Percent [00] 21 5" xfId="16459"/>
    <cellStyle name="Percent [00] 21 6" xfId="17389"/>
    <cellStyle name="Percent [00] 21 7" xfId="18297"/>
    <cellStyle name="Percent [00] 21 8" xfId="19187"/>
    <cellStyle name="Percent [00] 21 9" xfId="20063"/>
    <cellStyle name="Percent [00] 22" xfId="10593"/>
    <cellStyle name="Percent [00] 22 10" xfId="20996"/>
    <cellStyle name="Percent [00] 22 11" xfId="21835"/>
    <cellStyle name="Percent [00] 22 12" xfId="22616"/>
    <cellStyle name="Percent [00] 22 13" xfId="26278"/>
    <cellStyle name="Percent [00] 22 14" xfId="29609"/>
    <cellStyle name="Percent [00] 22 15" xfId="31384"/>
    <cellStyle name="Percent [00] 22 16" xfId="33147"/>
    <cellStyle name="Percent [00] 22 17" xfId="34865"/>
    <cellStyle name="Percent [00] 22 18" xfId="36518"/>
    <cellStyle name="Percent [00] 22 19" xfId="38092"/>
    <cellStyle name="Percent [00] 22 2" xfId="13557"/>
    <cellStyle name="Percent [00] 22 20" xfId="39545"/>
    <cellStyle name="Percent [00] 22 21" xfId="40819"/>
    <cellStyle name="Percent [00] 22 22" xfId="41898"/>
    <cellStyle name="Percent [00] 22 3" xfId="14676"/>
    <cellStyle name="Percent [00] 22 4" xfId="15607"/>
    <cellStyle name="Percent [00] 22 5" xfId="16536"/>
    <cellStyle name="Percent [00] 22 6" xfId="17465"/>
    <cellStyle name="Percent [00] 22 7" xfId="18372"/>
    <cellStyle name="Percent [00] 22 8" xfId="19261"/>
    <cellStyle name="Percent [00] 22 9" xfId="20135"/>
    <cellStyle name="Percent [00] 23" xfId="11909"/>
    <cellStyle name="Percent [00] 23 10" xfId="21063"/>
    <cellStyle name="Percent [00] 23 11" xfId="21898"/>
    <cellStyle name="Percent [00] 23 12" xfId="22679"/>
    <cellStyle name="Percent [00] 23 2" xfId="13637"/>
    <cellStyle name="Percent [00] 23 3" xfId="14754"/>
    <cellStyle name="Percent [00] 23 4" xfId="15680"/>
    <cellStyle name="Percent [00] 23 5" xfId="16609"/>
    <cellStyle name="Percent [00] 23 6" xfId="17540"/>
    <cellStyle name="Percent [00] 23 7" xfId="18443"/>
    <cellStyle name="Percent [00] 23 8" xfId="19328"/>
    <cellStyle name="Percent [00] 23 9" xfId="20206"/>
    <cellStyle name="Percent [00] 24" xfId="10667"/>
    <cellStyle name="Percent [00] 24 10" xfId="21111"/>
    <cellStyle name="Percent [00] 24 11" xfId="21944"/>
    <cellStyle name="Percent [00] 24 12" xfId="22724"/>
    <cellStyle name="Percent [00] 24 2" xfId="13711"/>
    <cellStyle name="Percent [00] 24 3" xfId="14816"/>
    <cellStyle name="Percent [00] 24 4" xfId="15745"/>
    <cellStyle name="Percent [00] 24 5" xfId="16676"/>
    <cellStyle name="Percent [00] 24 6" xfId="17602"/>
    <cellStyle name="Percent [00] 24 7" xfId="18505"/>
    <cellStyle name="Percent [00] 24 8" xfId="19388"/>
    <cellStyle name="Percent [00] 24 9" xfId="20258"/>
    <cellStyle name="Percent [00] 25" xfId="13776"/>
    <cellStyle name="Percent [00] 26" xfId="13823"/>
    <cellStyle name="Percent [00] 27" xfId="12731"/>
    <cellStyle name="Percent [00] 28" xfId="12749"/>
    <cellStyle name="Percent [00] 29" xfId="15835"/>
    <cellStyle name="Percent [00] 3" xfId="3848"/>
    <cellStyle name="Percent [00] 3 2" xfId="4061"/>
    <cellStyle name="Percent [00] 3 2 2" xfId="8877"/>
    <cellStyle name="Percent [00] 30" xfId="12216"/>
    <cellStyle name="Percent [00] 31" xfId="16640"/>
    <cellStyle name="Percent [00] 32" xfId="17569"/>
    <cellStyle name="Percent [00] 33" xfId="18471"/>
    <cellStyle name="Percent [00] 34" xfId="17623"/>
    <cellStyle name="Percent [00] 35" xfId="15494"/>
    <cellStyle name="Percent [00] 36" xfId="16505"/>
    <cellStyle name="Percent [00] 37" xfId="22896"/>
    <cellStyle name="Percent [00] 38" xfId="23697"/>
    <cellStyle name="Percent [00] 39" xfId="29487"/>
    <cellStyle name="Percent [00] 4" xfId="8955"/>
    <cellStyle name="Percent [00] 40" xfId="31264"/>
    <cellStyle name="Percent [00] 41" xfId="33028"/>
    <cellStyle name="Percent [00] 42" xfId="34748"/>
    <cellStyle name="Percent [00] 43" xfId="36405"/>
    <cellStyle name="Percent [00] 44" xfId="37988"/>
    <cellStyle name="Percent [00] 45" xfId="39457"/>
    <cellStyle name="Percent [00] 46" xfId="40750"/>
    <cellStyle name="Percent [00] 47" xfId="7861"/>
    <cellStyle name="Percent [00] 5" xfId="9033"/>
    <cellStyle name="Percent [00] 6" xfId="9099"/>
    <cellStyle name="Percent [00] 7" xfId="9143"/>
    <cellStyle name="Percent [00] 8" xfId="9305"/>
    <cellStyle name="Percent [00] 9" xfId="9794"/>
    <cellStyle name="Percent [2]" xfId="3849"/>
    <cellStyle name="Percent [2] 10" xfId="9880"/>
    <cellStyle name="Percent [2] 11" xfId="9961"/>
    <cellStyle name="Percent [2] 12" xfId="10045"/>
    <cellStyle name="Percent [2] 13" xfId="10113"/>
    <cellStyle name="Percent [2] 14" xfId="10168"/>
    <cellStyle name="Percent [2] 2" xfId="3850"/>
    <cellStyle name="Percent [2] 2 2" xfId="4062"/>
    <cellStyle name="Percent [2] 3" xfId="3851"/>
    <cellStyle name="Percent [2] 3 2" xfId="4063"/>
    <cellStyle name="Percent [2] 4" xfId="9640"/>
    <cellStyle name="Percent [2] 5" xfId="9650"/>
    <cellStyle name="Percent [2] 6" xfId="9660"/>
    <cellStyle name="Percent [2] 7" xfId="9682"/>
    <cellStyle name="Percent [2] 8" xfId="9721"/>
    <cellStyle name="Percent [2] 9" xfId="9795"/>
    <cellStyle name="Percent 2" xfId="4057"/>
    <cellStyle name="Percent 2 10" xfId="43364"/>
    <cellStyle name="Percent 2 11" xfId="43365"/>
    <cellStyle name="Percent 2 12" xfId="43366"/>
    <cellStyle name="Percent 2 13" xfId="43363"/>
    <cellStyle name="Percent 2 2" xfId="7931"/>
    <cellStyle name="Percent 2 2 10" xfId="43368"/>
    <cellStyle name="Percent 2 2 11" xfId="43367"/>
    <cellStyle name="Percent 2 2 2" xfId="43369"/>
    <cellStyle name="Percent 2 2 3" xfId="43370"/>
    <cellStyle name="Percent 2 2 4" xfId="43371"/>
    <cellStyle name="Percent 2 2 5" xfId="43372"/>
    <cellStyle name="Percent 2 2 6" xfId="43373"/>
    <cellStyle name="Percent 2 2 7" xfId="43374"/>
    <cellStyle name="Percent 2 2 8" xfId="43375"/>
    <cellStyle name="Percent 2 2 9" xfId="43376"/>
    <cellStyle name="Percent 2 3" xfId="43377"/>
    <cellStyle name="Percent 2 3 10" xfId="43378"/>
    <cellStyle name="Percent 2 3 2" xfId="43379"/>
    <cellStyle name="Percent 2 3 3" xfId="43380"/>
    <cellStyle name="Percent 2 3 4" xfId="43381"/>
    <cellStyle name="Percent 2 3 5" xfId="43382"/>
    <cellStyle name="Percent 2 3 6" xfId="43383"/>
    <cellStyle name="Percent 2 3 7" xfId="43384"/>
    <cellStyle name="Percent 2 3 8" xfId="43385"/>
    <cellStyle name="Percent 2 3 9" xfId="43386"/>
    <cellStyle name="Percent 2 4" xfId="43387"/>
    <cellStyle name="Percent 2 5" xfId="43388"/>
    <cellStyle name="Percent 2 6" xfId="43389"/>
    <cellStyle name="Percent 2 7" xfId="43390"/>
    <cellStyle name="Percent 2 8" xfId="43391"/>
    <cellStyle name="Percent 2 9" xfId="43392"/>
    <cellStyle name="Percent 3" xfId="3842"/>
    <cellStyle name="prcgd" xfId="3852"/>
    <cellStyle name="prcgd 2" xfId="4064"/>
    <cellStyle name="prcgd 3" xfId="7762"/>
    <cellStyle name="PrePop Currency (0)" xfId="3853"/>
    <cellStyle name="PrePop Currency (0) 10" xfId="9881"/>
    <cellStyle name="PrePop Currency (0) 11" xfId="9962"/>
    <cellStyle name="PrePop Currency (0) 12" xfId="10046"/>
    <cellStyle name="PrePop Currency (0) 13" xfId="10114"/>
    <cellStyle name="PrePop Currency (0) 14" xfId="10169"/>
    <cellStyle name="PrePop Currency (0) 15" xfId="10214"/>
    <cellStyle name="PrePop Currency (0) 15 10" xfId="20449"/>
    <cellStyle name="PrePop Currency (0) 15 11" xfId="21285"/>
    <cellStyle name="PrePop Currency (0) 15 12" xfId="22082"/>
    <cellStyle name="PrePop Currency (0) 15 13" xfId="26653"/>
    <cellStyle name="PrePop Currency (0) 15 14" xfId="29982"/>
    <cellStyle name="PrePop Currency (0) 15 15" xfId="31757"/>
    <cellStyle name="PrePop Currency (0) 15 16" xfId="33515"/>
    <cellStyle name="PrePop Currency (0) 15 17" xfId="35229"/>
    <cellStyle name="PrePop Currency (0) 15 18" xfId="36876"/>
    <cellStyle name="PrePop Currency (0) 15 19" xfId="38439"/>
    <cellStyle name="PrePop Currency (0) 15 2" xfId="12999"/>
    <cellStyle name="PrePop Currency (0) 15 20" xfId="39881"/>
    <cellStyle name="PrePop Currency (0) 15 21" xfId="41135"/>
    <cellStyle name="PrePop Currency (0) 15 22" xfId="42195"/>
    <cellStyle name="PrePop Currency (0) 15 3" xfId="14125"/>
    <cellStyle name="PrePop Currency (0) 15 4" xfId="15055"/>
    <cellStyle name="PrePop Currency (0) 15 5" xfId="15982"/>
    <cellStyle name="PrePop Currency (0) 15 6" xfId="16912"/>
    <cellStyle name="PrePop Currency (0) 15 7" xfId="17820"/>
    <cellStyle name="PrePop Currency (0) 15 8" xfId="18710"/>
    <cellStyle name="PrePop Currency (0) 15 9" xfId="19588"/>
    <cellStyle name="PrePop Currency (0) 16" xfId="10633"/>
    <cellStyle name="PrePop Currency (0) 16 10" xfId="20529"/>
    <cellStyle name="PrePop Currency (0) 16 11" xfId="21365"/>
    <cellStyle name="PrePop Currency (0) 16 12" xfId="22159"/>
    <cellStyle name="PrePop Currency (0) 16 13" xfId="26619"/>
    <cellStyle name="PrePop Currency (0) 16 14" xfId="29948"/>
    <cellStyle name="PrePop Currency (0) 16 15" xfId="31723"/>
    <cellStyle name="PrePop Currency (0) 16 16" xfId="33481"/>
    <cellStyle name="PrePop Currency (0) 16 17" xfId="35195"/>
    <cellStyle name="PrePop Currency (0) 16 18" xfId="36842"/>
    <cellStyle name="PrePop Currency (0) 16 19" xfId="38405"/>
    <cellStyle name="PrePop Currency (0) 16 2" xfId="13079"/>
    <cellStyle name="PrePop Currency (0) 16 20" xfId="39847"/>
    <cellStyle name="PrePop Currency (0) 16 21" xfId="41101"/>
    <cellStyle name="PrePop Currency (0) 16 22" xfId="42161"/>
    <cellStyle name="PrePop Currency (0) 16 3" xfId="14205"/>
    <cellStyle name="PrePop Currency (0) 16 4" xfId="15134"/>
    <cellStyle name="PrePop Currency (0) 16 5" xfId="16062"/>
    <cellStyle name="PrePop Currency (0) 16 6" xfId="16992"/>
    <cellStyle name="PrePop Currency (0) 16 7" xfId="17900"/>
    <cellStyle name="PrePop Currency (0) 16 8" xfId="18790"/>
    <cellStyle name="PrePop Currency (0) 16 9" xfId="19668"/>
    <cellStyle name="PrePop Currency (0) 17" xfId="10305"/>
    <cellStyle name="PrePop Currency (0) 17 10" xfId="20609"/>
    <cellStyle name="PrePop Currency (0) 17 11" xfId="21446"/>
    <cellStyle name="PrePop Currency (0) 17 12" xfId="22237"/>
    <cellStyle name="PrePop Currency (0) 17 13" xfId="26718"/>
    <cellStyle name="PrePop Currency (0) 17 14" xfId="30047"/>
    <cellStyle name="PrePop Currency (0) 17 15" xfId="31822"/>
    <cellStyle name="PrePop Currency (0) 17 16" xfId="33578"/>
    <cellStyle name="PrePop Currency (0) 17 17" xfId="35291"/>
    <cellStyle name="PrePop Currency (0) 17 18" xfId="36937"/>
    <cellStyle name="PrePop Currency (0) 17 19" xfId="38498"/>
    <cellStyle name="PrePop Currency (0) 17 2" xfId="13160"/>
    <cellStyle name="PrePop Currency (0) 17 20" xfId="39938"/>
    <cellStyle name="PrePop Currency (0) 17 21" xfId="41191"/>
    <cellStyle name="PrePop Currency (0) 17 22" xfId="42247"/>
    <cellStyle name="PrePop Currency (0) 17 3" xfId="14286"/>
    <cellStyle name="PrePop Currency (0) 17 4" xfId="15214"/>
    <cellStyle name="PrePop Currency (0) 17 5" xfId="16143"/>
    <cellStyle name="PrePop Currency (0) 17 6" xfId="17073"/>
    <cellStyle name="PrePop Currency (0) 17 7" xfId="17981"/>
    <cellStyle name="PrePop Currency (0) 17 8" xfId="18871"/>
    <cellStyle name="PrePop Currency (0) 17 9" xfId="19749"/>
    <cellStyle name="PrePop Currency (0) 18" xfId="11068"/>
    <cellStyle name="PrePop Currency (0) 18 10" xfId="20687"/>
    <cellStyle name="PrePop Currency (0) 18 11" xfId="21525"/>
    <cellStyle name="PrePop Currency (0) 18 12" xfId="22313"/>
    <cellStyle name="PrePop Currency (0) 18 13" xfId="26572"/>
    <cellStyle name="PrePop Currency (0) 18 14" xfId="29902"/>
    <cellStyle name="PrePop Currency (0) 18 15" xfId="31677"/>
    <cellStyle name="PrePop Currency (0) 18 16" xfId="33436"/>
    <cellStyle name="PrePop Currency (0) 18 17" xfId="35150"/>
    <cellStyle name="PrePop Currency (0) 18 18" xfId="36799"/>
    <cellStyle name="PrePop Currency (0) 18 19" xfId="38364"/>
    <cellStyle name="PrePop Currency (0) 18 2" xfId="13239"/>
    <cellStyle name="PrePop Currency (0) 18 20" xfId="39807"/>
    <cellStyle name="PrePop Currency (0) 18 21" xfId="41068"/>
    <cellStyle name="PrePop Currency (0) 18 22" xfId="42135"/>
    <cellStyle name="PrePop Currency (0) 18 3" xfId="14364"/>
    <cellStyle name="PrePop Currency (0) 18 4" xfId="15292"/>
    <cellStyle name="PrePop Currency (0) 18 5" xfId="16222"/>
    <cellStyle name="PrePop Currency (0) 18 6" xfId="17152"/>
    <cellStyle name="PrePop Currency (0) 18 7" xfId="18060"/>
    <cellStyle name="PrePop Currency (0) 18 8" xfId="18950"/>
    <cellStyle name="PrePop Currency (0) 18 9" xfId="19827"/>
    <cellStyle name="PrePop Currency (0) 19" xfId="9641"/>
    <cellStyle name="PrePop Currency (0) 19 10" xfId="20766"/>
    <cellStyle name="PrePop Currency (0) 19 11" xfId="21604"/>
    <cellStyle name="PrePop Currency (0) 19 12" xfId="22390"/>
    <cellStyle name="PrePop Currency (0) 19 13" xfId="26637"/>
    <cellStyle name="PrePop Currency (0) 19 14" xfId="29966"/>
    <cellStyle name="PrePop Currency (0) 19 15" xfId="31741"/>
    <cellStyle name="PrePop Currency (0) 19 16" xfId="33499"/>
    <cellStyle name="PrePop Currency (0) 19 17" xfId="35213"/>
    <cellStyle name="PrePop Currency (0) 19 18" xfId="36860"/>
    <cellStyle name="PrePop Currency (0) 19 19" xfId="38423"/>
    <cellStyle name="PrePop Currency (0) 19 2" xfId="13319"/>
    <cellStyle name="PrePop Currency (0) 19 20" xfId="39865"/>
    <cellStyle name="PrePop Currency (0) 19 21" xfId="41119"/>
    <cellStyle name="PrePop Currency (0) 19 22" xfId="42179"/>
    <cellStyle name="PrePop Currency (0) 19 3" xfId="14443"/>
    <cellStyle name="PrePop Currency (0) 19 4" xfId="15372"/>
    <cellStyle name="PrePop Currency (0) 19 5" xfId="16301"/>
    <cellStyle name="PrePop Currency (0) 19 6" xfId="17231"/>
    <cellStyle name="PrePop Currency (0) 19 7" xfId="18139"/>
    <cellStyle name="PrePop Currency (0) 19 8" xfId="19029"/>
    <cellStyle name="PrePop Currency (0) 19 9" xfId="19906"/>
    <cellStyle name="PrePop Currency (0) 2" xfId="3854"/>
    <cellStyle name="PrePop Currency (0) 2 10" xfId="12245"/>
    <cellStyle name="PrePop Currency (0) 2 11" xfId="10967"/>
    <cellStyle name="PrePop Currency (0) 2 12" xfId="11487"/>
    <cellStyle name="PrePop Currency (0) 2 13" xfId="12776"/>
    <cellStyle name="PrePop Currency (0) 2 14" xfId="12770"/>
    <cellStyle name="PrePop Currency (0) 2 15" xfId="10834"/>
    <cellStyle name="PrePop Currency (0) 2 16" xfId="12853"/>
    <cellStyle name="PrePop Currency (0) 2 17" xfId="10487"/>
    <cellStyle name="PrePop Currency (0) 2 18" xfId="12027"/>
    <cellStyle name="PrePop Currency (0) 2 19" xfId="11125"/>
    <cellStyle name="PrePop Currency (0) 2 2" xfId="4065"/>
    <cellStyle name="PrePop Currency (0) 2 2 2" xfId="9614"/>
    <cellStyle name="PrePop Currency (0) 2 2 3" xfId="9469"/>
    <cellStyle name="PrePop Currency (0) 2 20" xfId="16684"/>
    <cellStyle name="PrePop Currency (0) 2 21" xfId="18558"/>
    <cellStyle name="PrePop Currency (0) 2 22" xfId="11205"/>
    <cellStyle name="PrePop Currency (0) 2 23" xfId="23088"/>
    <cellStyle name="PrePop Currency (0) 2 24" xfId="23551"/>
    <cellStyle name="PrePop Currency (0) 2 25" xfId="28603"/>
    <cellStyle name="PrePop Currency (0) 2 26" xfId="30395"/>
    <cellStyle name="PrePop Currency (0) 2 27" xfId="32170"/>
    <cellStyle name="PrePop Currency (0) 2 28" xfId="33925"/>
    <cellStyle name="PrePop Currency (0) 2 29" xfId="35638"/>
    <cellStyle name="PrePop Currency (0) 2 3" xfId="10399"/>
    <cellStyle name="PrePop Currency (0) 2 30" xfId="37282"/>
    <cellStyle name="PrePop Currency (0) 2 31" xfId="38838"/>
    <cellStyle name="PrePop Currency (0) 2 32" xfId="40271"/>
    <cellStyle name="PrePop Currency (0) 2 33" xfId="8792"/>
    <cellStyle name="PrePop Currency (0) 2 34" xfId="7764"/>
    <cellStyle name="PrePop Currency (0) 2 4" xfId="11059"/>
    <cellStyle name="PrePop Currency (0) 2 5" xfId="10666"/>
    <cellStyle name="PrePop Currency (0) 2 6" xfId="10357"/>
    <cellStyle name="PrePop Currency (0) 2 7" xfId="11200"/>
    <cellStyle name="PrePop Currency (0) 2 8" xfId="11393"/>
    <cellStyle name="PrePop Currency (0) 2 9" xfId="11581"/>
    <cellStyle name="PrePop Currency (0) 20" xfId="10746"/>
    <cellStyle name="PrePop Currency (0) 20 10" xfId="20845"/>
    <cellStyle name="PrePop Currency (0) 20 11" xfId="21684"/>
    <cellStyle name="PrePop Currency (0) 20 12" xfId="22468"/>
    <cellStyle name="PrePop Currency (0) 20 13" xfId="26405"/>
    <cellStyle name="PrePop Currency (0) 20 14" xfId="29736"/>
    <cellStyle name="PrePop Currency (0) 20 15" xfId="31511"/>
    <cellStyle name="PrePop Currency (0) 20 16" xfId="33272"/>
    <cellStyle name="PrePop Currency (0) 20 17" xfId="34990"/>
    <cellStyle name="PrePop Currency (0) 20 18" xfId="36643"/>
    <cellStyle name="PrePop Currency (0) 20 19" xfId="38213"/>
    <cellStyle name="PrePop Currency (0) 20 2" xfId="13399"/>
    <cellStyle name="PrePop Currency (0) 20 20" xfId="39663"/>
    <cellStyle name="PrePop Currency (0) 20 21" xfId="40932"/>
    <cellStyle name="PrePop Currency (0) 20 22" xfId="42007"/>
    <cellStyle name="PrePop Currency (0) 20 3" xfId="14523"/>
    <cellStyle name="PrePop Currency (0) 20 4" xfId="15450"/>
    <cellStyle name="PrePop Currency (0) 20 5" xfId="16381"/>
    <cellStyle name="PrePop Currency (0) 20 6" xfId="17311"/>
    <cellStyle name="PrePop Currency (0) 20 7" xfId="18219"/>
    <cellStyle name="PrePop Currency (0) 20 8" xfId="19109"/>
    <cellStyle name="PrePop Currency (0) 20 9" xfId="19986"/>
    <cellStyle name="PrePop Currency (0) 21" xfId="11013"/>
    <cellStyle name="PrePop Currency (0) 21 10" xfId="20923"/>
    <cellStyle name="PrePop Currency (0) 21 11" xfId="21764"/>
    <cellStyle name="PrePop Currency (0) 21 12" xfId="22546"/>
    <cellStyle name="PrePop Currency (0) 21 13" xfId="26972"/>
    <cellStyle name="PrePop Currency (0) 21 14" xfId="30301"/>
    <cellStyle name="PrePop Currency (0) 21 15" xfId="32076"/>
    <cellStyle name="PrePop Currency (0) 21 16" xfId="33831"/>
    <cellStyle name="PrePop Currency (0) 21 17" xfId="35544"/>
    <cellStyle name="PrePop Currency (0) 21 18" xfId="37188"/>
    <cellStyle name="PrePop Currency (0) 21 19" xfId="38744"/>
    <cellStyle name="PrePop Currency (0) 21 2" xfId="13479"/>
    <cellStyle name="PrePop Currency (0) 21 20" xfId="40178"/>
    <cellStyle name="PrePop Currency (0) 21 21" xfId="41421"/>
    <cellStyle name="PrePop Currency (0) 21 22" xfId="42470"/>
    <cellStyle name="PrePop Currency (0) 21 3" xfId="14602"/>
    <cellStyle name="PrePop Currency (0) 21 4" xfId="15530"/>
    <cellStyle name="PrePop Currency (0) 21 5" xfId="16461"/>
    <cellStyle name="PrePop Currency (0) 21 6" xfId="17391"/>
    <cellStyle name="PrePop Currency (0) 21 7" xfId="18299"/>
    <cellStyle name="PrePop Currency (0) 21 8" xfId="19189"/>
    <cellStyle name="PrePop Currency (0) 21 9" xfId="20065"/>
    <cellStyle name="PrePop Currency (0) 22" xfId="11990"/>
    <cellStyle name="PrePop Currency (0) 22 10" xfId="20998"/>
    <cellStyle name="PrePop Currency (0) 22 11" xfId="21837"/>
    <cellStyle name="PrePop Currency (0) 22 12" xfId="22618"/>
    <cellStyle name="PrePop Currency (0) 22 13" xfId="26287"/>
    <cellStyle name="PrePop Currency (0) 22 14" xfId="29618"/>
    <cellStyle name="PrePop Currency (0) 22 15" xfId="31393"/>
    <cellStyle name="PrePop Currency (0) 22 16" xfId="33156"/>
    <cellStyle name="PrePop Currency (0) 22 17" xfId="34874"/>
    <cellStyle name="PrePop Currency (0) 22 18" xfId="36527"/>
    <cellStyle name="PrePop Currency (0) 22 19" xfId="38101"/>
    <cellStyle name="PrePop Currency (0) 22 2" xfId="13559"/>
    <cellStyle name="PrePop Currency (0) 22 20" xfId="39554"/>
    <cellStyle name="PrePop Currency (0) 22 21" xfId="40827"/>
    <cellStyle name="PrePop Currency (0) 22 22" xfId="41906"/>
    <cellStyle name="PrePop Currency (0) 22 3" xfId="14678"/>
    <cellStyle name="PrePop Currency (0) 22 4" xfId="15609"/>
    <cellStyle name="PrePop Currency (0) 22 5" xfId="16538"/>
    <cellStyle name="PrePop Currency (0) 22 6" xfId="17467"/>
    <cellStyle name="PrePop Currency (0) 22 7" xfId="18374"/>
    <cellStyle name="PrePop Currency (0) 22 8" xfId="19263"/>
    <cellStyle name="PrePop Currency (0) 22 9" xfId="20137"/>
    <cellStyle name="PrePop Currency (0) 23" xfId="11427"/>
    <cellStyle name="PrePop Currency (0) 23 10" xfId="21065"/>
    <cellStyle name="PrePop Currency (0) 23 11" xfId="21900"/>
    <cellStyle name="PrePop Currency (0) 23 12" xfId="22681"/>
    <cellStyle name="PrePop Currency (0) 23 2" xfId="13639"/>
    <cellStyle name="PrePop Currency (0) 23 3" xfId="14756"/>
    <cellStyle name="PrePop Currency (0) 23 4" xfId="15682"/>
    <cellStyle name="PrePop Currency (0) 23 5" xfId="16611"/>
    <cellStyle name="PrePop Currency (0) 23 6" xfId="17542"/>
    <cellStyle name="PrePop Currency (0) 23 7" xfId="18445"/>
    <cellStyle name="PrePop Currency (0) 23 8" xfId="19330"/>
    <cellStyle name="PrePop Currency (0) 23 9" xfId="20208"/>
    <cellStyle name="PrePop Currency (0) 24" xfId="11893"/>
    <cellStyle name="PrePop Currency (0) 24 10" xfId="21112"/>
    <cellStyle name="PrePop Currency (0) 24 11" xfId="21945"/>
    <cellStyle name="PrePop Currency (0) 24 12" xfId="22725"/>
    <cellStyle name="PrePop Currency (0) 24 2" xfId="13713"/>
    <cellStyle name="PrePop Currency (0) 24 3" xfId="14818"/>
    <cellStyle name="PrePop Currency (0) 24 4" xfId="15746"/>
    <cellStyle name="PrePop Currency (0) 24 5" xfId="16678"/>
    <cellStyle name="PrePop Currency (0) 24 6" xfId="17604"/>
    <cellStyle name="PrePop Currency (0) 24 7" xfId="18506"/>
    <cellStyle name="PrePop Currency (0) 24 8" xfId="19390"/>
    <cellStyle name="PrePop Currency (0) 24 9" xfId="20259"/>
    <cellStyle name="PrePop Currency (0) 25" xfId="13778"/>
    <cellStyle name="PrePop Currency (0) 26" xfId="13824"/>
    <cellStyle name="PrePop Currency (0) 27" xfId="11524"/>
    <cellStyle name="PrePop Currency (0) 28" xfId="14908"/>
    <cellStyle name="PrePop Currency (0) 29" xfId="14993"/>
    <cellStyle name="PrePop Currency (0) 3" xfId="3855"/>
    <cellStyle name="PrePop Currency (0) 3 2" xfId="4066"/>
    <cellStyle name="PrePop Currency (0) 3 2 2" xfId="8879"/>
    <cellStyle name="PrePop Currency (0) 3 3" xfId="7765"/>
    <cellStyle name="PrePop Currency (0) 30" xfId="11237"/>
    <cellStyle name="PrePop Currency (0) 31" xfId="12738"/>
    <cellStyle name="PrePop Currency (0) 32" xfId="12481"/>
    <cellStyle name="PrePop Currency (0) 33" xfId="15906"/>
    <cellStyle name="PrePop Currency (0) 34" xfId="20316"/>
    <cellStyle name="PrePop Currency (0) 35" xfId="21142"/>
    <cellStyle name="PrePop Currency (0) 36" xfId="19368"/>
    <cellStyle name="PrePop Currency (0) 37" xfId="22898"/>
    <cellStyle name="PrePop Currency (0) 38" xfId="23575"/>
    <cellStyle name="PrePop Currency (0) 39" xfId="29485"/>
    <cellStyle name="PrePop Currency (0) 4" xfId="8957"/>
    <cellStyle name="PrePop Currency (0) 40" xfId="31262"/>
    <cellStyle name="PrePop Currency (0) 41" xfId="33026"/>
    <cellStyle name="PrePop Currency (0) 42" xfId="34746"/>
    <cellStyle name="PrePop Currency (0) 43" xfId="36403"/>
    <cellStyle name="PrePop Currency (0) 44" xfId="37987"/>
    <cellStyle name="PrePop Currency (0) 45" xfId="39456"/>
    <cellStyle name="PrePop Currency (0) 46" xfId="40749"/>
    <cellStyle name="PrePop Currency (0) 47" xfId="7862"/>
    <cellStyle name="PrePop Currency (0) 48" xfId="7763"/>
    <cellStyle name="PrePop Currency (0) 5" xfId="9035"/>
    <cellStyle name="PrePop Currency (0) 6" xfId="9100"/>
    <cellStyle name="PrePop Currency (0) 7" xfId="9144"/>
    <cellStyle name="PrePop Currency (0) 8" xfId="9306"/>
    <cellStyle name="PrePop Currency (0) 9" xfId="9796"/>
    <cellStyle name="PrePop Currency (2)" xfId="3856"/>
    <cellStyle name="PrePop Currency (2) 10" xfId="9882"/>
    <cellStyle name="PrePop Currency (2) 11" xfId="9963"/>
    <cellStyle name="PrePop Currency (2) 12" xfId="10047"/>
    <cellStyle name="PrePop Currency (2) 13" xfId="10115"/>
    <cellStyle name="PrePop Currency (2) 14" xfId="10170"/>
    <cellStyle name="PrePop Currency (2) 15" xfId="10215"/>
    <cellStyle name="PrePop Currency (2) 15 10" xfId="20450"/>
    <cellStyle name="PrePop Currency (2) 15 11" xfId="21286"/>
    <cellStyle name="PrePop Currency (2) 15 12" xfId="22083"/>
    <cellStyle name="PrePop Currency (2) 15 13" xfId="26652"/>
    <cellStyle name="PrePop Currency (2) 15 14" xfId="29981"/>
    <cellStyle name="PrePop Currency (2) 15 15" xfId="31756"/>
    <cellStyle name="PrePop Currency (2) 15 16" xfId="33514"/>
    <cellStyle name="PrePop Currency (2) 15 17" xfId="35228"/>
    <cellStyle name="PrePop Currency (2) 15 18" xfId="36875"/>
    <cellStyle name="PrePop Currency (2) 15 19" xfId="38438"/>
    <cellStyle name="PrePop Currency (2) 15 2" xfId="13000"/>
    <cellStyle name="PrePop Currency (2) 15 20" xfId="39880"/>
    <cellStyle name="PrePop Currency (2) 15 21" xfId="41134"/>
    <cellStyle name="PrePop Currency (2) 15 22" xfId="42194"/>
    <cellStyle name="PrePop Currency (2) 15 3" xfId="14126"/>
    <cellStyle name="PrePop Currency (2) 15 4" xfId="15056"/>
    <cellStyle name="PrePop Currency (2) 15 5" xfId="15983"/>
    <cellStyle name="PrePop Currency (2) 15 6" xfId="16913"/>
    <cellStyle name="PrePop Currency (2) 15 7" xfId="17821"/>
    <cellStyle name="PrePop Currency (2) 15 8" xfId="18711"/>
    <cellStyle name="PrePop Currency (2) 15 9" xfId="19589"/>
    <cellStyle name="PrePop Currency (2) 16" xfId="10556"/>
    <cellStyle name="PrePop Currency (2) 16 10" xfId="20530"/>
    <cellStyle name="PrePop Currency (2) 16 11" xfId="21366"/>
    <cellStyle name="PrePop Currency (2) 16 12" xfId="22160"/>
    <cellStyle name="PrePop Currency (2) 16 13" xfId="26620"/>
    <cellStyle name="PrePop Currency (2) 16 14" xfId="29949"/>
    <cellStyle name="PrePop Currency (2) 16 15" xfId="31724"/>
    <cellStyle name="PrePop Currency (2) 16 16" xfId="33482"/>
    <cellStyle name="PrePop Currency (2) 16 17" xfId="35196"/>
    <cellStyle name="PrePop Currency (2) 16 18" xfId="36843"/>
    <cellStyle name="PrePop Currency (2) 16 19" xfId="38406"/>
    <cellStyle name="PrePop Currency (2) 16 2" xfId="13080"/>
    <cellStyle name="PrePop Currency (2) 16 20" xfId="39848"/>
    <cellStyle name="PrePop Currency (2) 16 21" xfId="41102"/>
    <cellStyle name="PrePop Currency (2) 16 22" xfId="42162"/>
    <cellStyle name="PrePop Currency (2) 16 3" xfId="14206"/>
    <cellStyle name="PrePop Currency (2) 16 4" xfId="15135"/>
    <cellStyle name="PrePop Currency (2) 16 5" xfId="16063"/>
    <cellStyle name="PrePop Currency (2) 16 6" xfId="16993"/>
    <cellStyle name="PrePop Currency (2) 16 7" xfId="17901"/>
    <cellStyle name="PrePop Currency (2) 16 8" xfId="18791"/>
    <cellStyle name="PrePop Currency (2) 16 9" xfId="19669"/>
    <cellStyle name="PrePop Currency (2) 17" xfId="10901"/>
    <cellStyle name="PrePop Currency (2) 17 10" xfId="20610"/>
    <cellStyle name="PrePop Currency (2) 17 11" xfId="21447"/>
    <cellStyle name="PrePop Currency (2) 17 12" xfId="22238"/>
    <cellStyle name="PrePop Currency (2) 17 13" xfId="26717"/>
    <cellStyle name="PrePop Currency (2) 17 14" xfId="30046"/>
    <cellStyle name="PrePop Currency (2) 17 15" xfId="31821"/>
    <cellStyle name="PrePop Currency (2) 17 16" xfId="33577"/>
    <cellStyle name="PrePop Currency (2) 17 17" xfId="35290"/>
    <cellStyle name="PrePop Currency (2) 17 18" xfId="36936"/>
    <cellStyle name="PrePop Currency (2) 17 19" xfId="38497"/>
    <cellStyle name="PrePop Currency (2) 17 2" xfId="13161"/>
    <cellStyle name="PrePop Currency (2) 17 20" xfId="39937"/>
    <cellStyle name="PrePop Currency (2) 17 21" xfId="41190"/>
    <cellStyle name="PrePop Currency (2) 17 22" xfId="42246"/>
    <cellStyle name="PrePop Currency (2) 17 3" xfId="14287"/>
    <cellStyle name="PrePop Currency (2) 17 4" xfId="15215"/>
    <cellStyle name="PrePop Currency (2) 17 5" xfId="16144"/>
    <cellStyle name="PrePop Currency (2) 17 6" xfId="17074"/>
    <cellStyle name="PrePop Currency (2) 17 7" xfId="17982"/>
    <cellStyle name="PrePop Currency (2) 17 8" xfId="18872"/>
    <cellStyle name="PrePop Currency (2) 17 9" xfId="19750"/>
    <cellStyle name="PrePop Currency (2) 18" xfId="10862"/>
    <cellStyle name="PrePop Currency (2) 18 10" xfId="20688"/>
    <cellStyle name="PrePop Currency (2) 18 11" xfId="21526"/>
    <cellStyle name="PrePop Currency (2) 18 12" xfId="22314"/>
    <cellStyle name="PrePop Currency (2) 18 13" xfId="26573"/>
    <cellStyle name="PrePop Currency (2) 18 14" xfId="29903"/>
    <cellStyle name="PrePop Currency (2) 18 15" xfId="31678"/>
    <cellStyle name="PrePop Currency (2) 18 16" xfId="33437"/>
    <cellStyle name="PrePop Currency (2) 18 17" xfId="35151"/>
    <cellStyle name="PrePop Currency (2) 18 18" xfId="36800"/>
    <cellStyle name="PrePop Currency (2) 18 19" xfId="38365"/>
    <cellStyle name="PrePop Currency (2) 18 2" xfId="13240"/>
    <cellStyle name="PrePop Currency (2) 18 20" xfId="39808"/>
    <cellStyle name="PrePop Currency (2) 18 21" xfId="41069"/>
    <cellStyle name="PrePop Currency (2) 18 22" xfId="42136"/>
    <cellStyle name="PrePop Currency (2) 18 3" xfId="14365"/>
    <cellStyle name="PrePop Currency (2) 18 4" xfId="15293"/>
    <cellStyle name="PrePop Currency (2) 18 5" xfId="16223"/>
    <cellStyle name="PrePop Currency (2) 18 6" xfId="17153"/>
    <cellStyle name="PrePop Currency (2) 18 7" xfId="18061"/>
    <cellStyle name="PrePop Currency (2) 18 8" xfId="18951"/>
    <cellStyle name="PrePop Currency (2) 18 9" xfId="19828"/>
    <cellStyle name="PrePop Currency (2) 19" xfId="10990"/>
    <cellStyle name="PrePop Currency (2) 19 10" xfId="20767"/>
    <cellStyle name="PrePop Currency (2) 19 11" xfId="21605"/>
    <cellStyle name="PrePop Currency (2) 19 12" xfId="22391"/>
    <cellStyle name="PrePop Currency (2) 19 13" xfId="26636"/>
    <cellStyle name="PrePop Currency (2) 19 14" xfId="29965"/>
    <cellStyle name="PrePop Currency (2) 19 15" xfId="31740"/>
    <cellStyle name="PrePop Currency (2) 19 16" xfId="33498"/>
    <cellStyle name="PrePop Currency (2) 19 17" xfId="35212"/>
    <cellStyle name="PrePop Currency (2) 19 18" xfId="36859"/>
    <cellStyle name="PrePop Currency (2) 19 19" xfId="38422"/>
    <cellStyle name="PrePop Currency (2) 19 2" xfId="13320"/>
    <cellStyle name="PrePop Currency (2) 19 20" xfId="39864"/>
    <cellStyle name="PrePop Currency (2) 19 21" xfId="41118"/>
    <cellStyle name="PrePop Currency (2) 19 22" xfId="42178"/>
    <cellStyle name="PrePop Currency (2) 19 3" xfId="14444"/>
    <cellStyle name="PrePop Currency (2) 19 4" xfId="15373"/>
    <cellStyle name="PrePop Currency (2) 19 5" xfId="16302"/>
    <cellStyle name="PrePop Currency (2) 19 6" xfId="17232"/>
    <cellStyle name="PrePop Currency (2) 19 7" xfId="18140"/>
    <cellStyle name="PrePop Currency (2) 19 8" xfId="19030"/>
    <cellStyle name="PrePop Currency (2) 19 9" xfId="19907"/>
    <cellStyle name="PrePop Currency (2) 2" xfId="3857"/>
    <cellStyle name="PrePop Currency (2) 2 10" xfId="11834"/>
    <cellStyle name="PrePop Currency (2) 2 11" xfId="12278"/>
    <cellStyle name="PrePop Currency (2) 2 12" xfId="12115"/>
    <cellStyle name="PrePop Currency (2) 2 13" xfId="11081"/>
    <cellStyle name="PrePop Currency (2) 2 14" xfId="12777"/>
    <cellStyle name="PrePop Currency (2) 2 15" xfId="14878"/>
    <cellStyle name="PrePop Currency (2) 2 16" xfId="10502"/>
    <cellStyle name="PrePop Currency (2) 2 17" xfId="12455"/>
    <cellStyle name="PrePop Currency (2) 2 18" xfId="12619"/>
    <cellStyle name="PrePop Currency (2) 2 19" xfId="13859"/>
    <cellStyle name="PrePop Currency (2) 2 2" xfId="4067"/>
    <cellStyle name="PrePop Currency (2) 2 2 2" xfId="9615"/>
    <cellStyle name="PrePop Currency (2) 2 2 3" xfId="9470"/>
    <cellStyle name="PrePop Currency (2) 2 20" xfId="12241"/>
    <cellStyle name="PrePop Currency (2) 2 21" xfId="10584"/>
    <cellStyle name="PrePop Currency (2) 2 22" xfId="16711"/>
    <cellStyle name="PrePop Currency (2) 2 23" xfId="23089"/>
    <cellStyle name="PrePop Currency (2) 2 24" xfId="23472"/>
    <cellStyle name="PrePop Currency (2) 2 25" xfId="28602"/>
    <cellStyle name="PrePop Currency (2) 2 26" xfId="22757"/>
    <cellStyle name="PrePop Currency (2) 2 27" xfId="29088"/>
    <cellStyle name="PrePop Currency (2) 2 28" xfId="30873"/>
    <cellStyle name="PrePop Currency (2) 2 29" xfId="32644"/>
    <cellStyle name="PrePop Currency (2) 2 3" xfId="10400"/>
    <cellStyle name="PrePop Currency (2) 2 30" xfId="34384"/>
    <cellStyle name="PrePop Currency (2) 2 31" xfId="36072"/>
    <cellStyle name="PrePop Currency (2) 2 32" xfId="37686"/>
    <cellStyle name="PrePop Currency (2) 2 33" xfId="8793"/>
    <cellStyle name="PrePop Currency (2) 2 4" xfId="10984"/>
    <cellStyle name="PrePop Currency (2) 2 5" xfId="11166"/>
    <cellStyle name="PrePop Currency (2) 2 6" xfId="11359"/>
    <cellStyle name="PrePop Currency (2) 2 7" xfId="11550"/>
    <cellStyle name="PrePop Currency (2) 2 8" xfId="11729"/>
    <cellStyle name="PrePop Currency (2) 2 9" xfId="11916"/>
    <cellStyle name="PrePop Currency (2) 20" xfId="10733"/>
    <cellStyle name="PrePop Currency (2) 20 10" xfId="20846"/>
    <cellStyle name="PrePop Currency (2) 20 11" xfId="21685"/>
    <cellStyle name="PrePop Currency (2) 20 12" xfId="22469"/>
    <cellStyle name="PrePop Currency (2) 20 13" xfId="26406"/>
    <cellStyle name="PrePop Currency (2) 20 14" xfId="29737"/>
    <cellStyle name="PrePop Currency (2) 20 15" xfId="31512"/>
    <cellStyle name="PrePop Currency (2) 20 16" xfId="33273"/>
    <cellStyle name="PrePop Currency (2) 20 17" xfId="34991"/>
    <cellStyle name="PrePop Currency (2) 20 18" xfId="36644"/>
    <cellStyle name="PrePop Currency (2) 20 19" xfId="38214"/>
    <cellStyle name="PrePop Currency (2) 20 2" xfId="13400"/>
    <cellStyle name="PrePop Currency (2) 20 20" xfId="39664"/>
    <cellStyle name="PrePop Currency (2) 20 21" xfId="40933"/>
    <cellStyle name="PrePop Currency (2) 20 22" xfId="42008"/>
    <cellStyle name="PrePop Currency (2) 20 3" xfId="14524"/>
    <cellStyle name="PrePop Currency (2) 20 4" xfId="15451"/>
    <cellStyle name="PrePop Currency (2) 20 5" xfId="16382"/>
    <cellStyle name="PrePop Currency (2) 20 6" xfId="17312"/>
    <cellStyle name="PrePop Currency (2) 20 7" xfId="18220"/>
    <cellStyle name="PrePop Currency (2) 20 8" xfId="19110"/>
    <cellStyle name="PrePop Currency (2) 20 9" xfId="19987"/>
    <cellStyle name="PrePop Currency (2) 21" xfId="11029"/>
    <cellStyle name="PrePop Currency (2) 21 10" xfId="20924"/>
    <cellStyle name="PrePop Currency (2) 21 11" xfId="21765"/>
    <cellStyle name="PrePop Currency (2) 21 12" xfId="22547"/>
    <cellStyle name="PrePop Currency (2) 21 13" xfId="26706"/>
    <cellStyle name="PrePop Currency (2) 21 14" xfId="30035"/>
    <cellStyle name="PrePop Currency (2) 21 15" xfId="31810"/>
    <cellStyle name="PrePop Currency (2) 21 16" xfId="33566"/>
    <cellStyle name="PrePop Currency (2) 21 17" xfId="35279"/>
    <cellStyle name="PrePop Currency (2) 21 18" xfId="36925"/>
    <cellStyle name="PrePop Currency (2) 21 19" xfId="38486"/>
    <cellStyle name="PrePop Currency (2) 21 2" xfId="13480"/>
    <cellStyle name="PrePop Currency (2) 21 20" xfId="39926"/>
    <cellStyle name="PrePop Currency (2) 21 21" xfId="41179"/>
    <cellStyle name="PrePop Currency (2) 21 22" xfId="42235"/>
    <cellStyle name="PrePop Currency (2) 21 3" xfId="14603"/>
    <cellStyle name="PrePop Currency (2) 21 4" xfId="15531"/>
    <cellStyle name="PrePop Currency (2) 21 5" xfId="16462"/>
    <cellStyle name="PrePop Currency (2) 21 6" xfId="17392"/>
    <cellStyle name="PrePop Currency (2) 21 7" xfId="18300"/>
    <cellStyle name="PrePop Currency (2) 21 8" xfId="19190"/>
    <cellStyle name="PrePop Currency (2) 21 9" xfId="20066"/>
    <cellStyle name="PrePop Currency (2) 22" xfId="10970"/>
    <cellStyle name="PrePop Currency (2) 22 10" xfId="20999"/>
    <cellStyle name="PrePop Currency (2) 22 11" xfId="21838"/>
    <cellStyle name="PrePop Currency (2) 22 12" xfId="22619"/>
    <cellStyle name="PrePop Currency (2) 22 13" xfId="26288"/>
    <cellStyle name="PrePop Currency (2) 22 14" xfId="29619"/>
    <cellStyle name="PrePop Currency (2) 22 15" xfId="31394"/>
    <cellStyle name="PrePop Currency (2) 22 16" xfId="33157"/>
    <cellStyle name="PrePop Currency (2) 22 17" xfId="34875"/>
    <cellStyle name="PrePop Currency (2) 22 18" xfId="36528"/>
    <cellStyle name="PrePop Currency (2) 22 19" xfId="38102"/>
    <cellStyle name="PrePop Currency (2) 22 2" xfId="13560"/>
    <cellStyle name="PrePop Currency (2) 22 20" xfId="39555"/>
    <cellStyle name="PrePop Currency (2) 22 21" xfId="40828"/>
    <cellStyle name="PrePop Currency (2) 22 22" xfId="41907"/>
    <cellStyle name="PrePop Currency (2) 22 3" xfId="14679"/>
    <cellStyle name="PrePop Currency (2) 22 4" xfId="15610"/>
    <cellStyle name="PrePop Currency (2) 22 5" xfId="16539"/>
    <cellStyle name="PrePop Currency (2) 22 6" xfId="17468"/>
    <cellStyle name="PrePop Currency (2) 22 7" xfId="18375"/>
    <cellStyle name="PrePop Currency (2) 22 8" xfId="19264"/>
    <cellStyle name="PrePop Currency (2) 22 9" xfId="20138"/>
    <cellStyle name="PrePop Currency (2) 23" xfId="12136"/>
    <cellStyle name="PrePop Currency (2) 23 10" xfId="21066"/>
    <cellStyle name="PrePop Currency (2) 23 11" xfId="21901"/>
    <cellStyle name="PrePop Currency (2) 23 12" xfId="22682"/>
    <cellStyle name="PrePop Currency (2) 23 2" xfId="13640"/>
    <cellStyle name="PrePop Currency (2) 23 3" xfId="14757"/>
    <cellStyle name="PrePop Currency (2) 23 4" xfId="15683"/>
    <cellStyle name="PrePop Currency (2) 23 5" xfId="16612"/>
    <cellStyle name="PrePop Currency (2) 23 6" xfId="17543"/>
    <cellStyle name="PrePop Currency (2) 23 7" xfId="18446"/>
    <cellStyle name="PrePop Currency (2) 23 8" xfId="19331"/>
    <cellStyle name="PrePop Currency (2) 23 9" xfId="20209"/>
    <cellStyle name="PrePop Currency (2) 24" xfId="12721"/>
    <cellStyle name="PrePop Currency (2) 24 10" xfId="21113"/>
    <cellStyle name="PrePop Currency (2) 24 11" xfId="21946"/>
    <cellStyle name="PrePop Currency (2) 24 12" xfId="22726"/>
    <cellStyle name="PrePop Currency (2) 24 2" xfId="13714"/>
    <cellStyle name="PrePop Currency (2) 24 3" xfId="14819"/>
    <cellStyle name="PrePop Currency (2) 24 4" xfId="15747"/>
    <cellStyle name="PrePop Currency (2) 24 5" xfId="16679"/>
    <cellStyle name="PrePop Currency (2) 24 6" xfId="17605"/>
    <cellStyle name="PrePop Currency (2) 24 7" xfId="18507"/>
    <cellStyle name="PrePop Currency (2) 24 8" xfId="19391"/>
    <cellStyle name="PrePop Currency (2) 24 9" xfId="20260"/>
    <cellStyle name="PrePop Currency (2) 25" xfId="13779"/>
    <cellStyle name="PrePop Currency (2) 26" xfId="13825"/>
    <cellStyle name="PrePop Currency (2) 27" xfId="12166"/>
    <cellStyle name="PrePop Currency (2) 28" xfId="14875"/>
    <cellStyle name="PrePop Currency (2) 29" xfId="14926"/>
    <cellStyle name="PrePop Currency (2) 3" xfId="3858"/>
    <cellStyle name="PrePop Currency (2) 3 2" xfId="4068"/>
    <cellStyle name="PrePop Currency (2) 3 2 2" xfId="8880"/>
    <cellStyle name="PrePop Currency (2) 30" xfId="16766"/>
    <cellStyle name="PrePop Currency (2) 31" xfId="17676"/>
    <cellStyle name="PrePop Currency (2) 32" xfId="18576"/>
    <cellStyle name="PrePop Currency (2) 33" xfId="19454"/>
    <cellStyle name="PrePop Currency (2) 34" xfId="20294"/>
    <cellStyle name="PrePop Currency (2) 35" xfId="20387"/>
    <cellStyle name="PrePop Currency (2) 36" xfId="21978"/>
    <cellStyle name="PrePop Currency (2) 37" xfId="22899"/>
    <cellStyle name="PrePop Currency (2) 38" xfId="23497"/>
    <cellStyle name="PrePop Currency (2) 39" xfId="29484"/>
    <cellStyle name="PrePop Currency (2) 4" xfId="8958"/>
    <cellStyle name="PrePop Currency (2) 40" xfId="31261"/>
    <cellStyle name="PrePop Currency (2) 41" xfId="33025"/>
    <cellStyle name="PrePop Currency (2) 42" xfId="34745"/>
    <cellStyle name="PrePop Currency (2) 43" xfId="36402"/>
    <cellStyle name="PrePop Currency (2) 44" xfId="37986"/>
    <cellStyle name="PrePop Currency (2) 45" xfId="39455"/>
    <cellStyle name="PrePop Currency (2) 46" xfId="40748"/>
    <cellStyle name="PrePop Currency (2) 47" xfId="7863"/>
    <cellStyle name="PrePop Currency (2) 5" xfId="9036"/>
    <cellStyle name="PrePop Currency (2) 6" xfId="9101"/>
    <cellStyle name="PrePop Currency (2) 7" xfId="9145"/>
    <cellStyle name="PrePop Currency (2) 8" xfId="9307"/>
    <cellStyle name="PrePop Currency (2) 9" xfId="9797"/>
    <cellStyle name="PrePop Units (0)" xfId="3859"/>
    <cellStyle name="PrePop Units (0) 10" xfId="9883"/>
    <cellStyle name="PrePop Units (0) 11" xfId="9964"/>
    <cellStyle name="PrePop Units (0) 12" xfId="10048"/>
    <cellStyle name="PrePop Units (0) 13" xfId="10116"/>
    <cellStyle name="PrePop Units (0) 14" xfId="10171"/>
    <cellStyle name="PrePop Units (0) 15" xfId="10216"/>
    <cellStyle name="PrePop Units (0) 15 10" xfId="20451"/>
    <cellStyle name="PrePop Units (0) 15 11" xfId="21287"/>
    <cellStyle name="PrePop Units (0) 15 12" xfId="22084"/>
    <cellStyle name="PrePop Units (0) 15 13" xfId="26651"/>
    <cellStyle name="PrePop Units (0) 15 14" xfId="29980"/>
    <cellStyle name="PrePop Units (0) 15 15" xfId="31755"/>
    <cellStyle name="PrePop Units (0) 15 16" xfId="33513"/>
    <cellStyle name="PrePop Units (0) 15 17" xfId="35227"/>
    <cellStyle name="PrePop Units (0) 15 18" xfId="36874"/>
    <cellStyle name="PrePop Units (0) 15 19" xfId="38437"/>
    <cellStyle name="PrePop Units (0) 15 2" xfId="13001"/>
    <cellStyle name="PrePop Units (0) 15 20" xfId="39879"/>
    <cellStyle name="PrePop Units (0) 15 21" xfId="41133"/>
    <cellStyle name="PrePop Units (0) 15 22" xfId="42193"/>
    <cellStyle name="PrePop Units (0) 15 3" xfId="14127"/>
    <cellStyle name="PrePop Units (0) 15 4" xfId="15057"/>
    <cellStyle name="PrePop Units (0) 15 5" xfId="15984"/>
    <cellStyle name="PrePop Units (0) 15 6" xfId="16914"/>
    <cellStyle name="PrePop Units (0) 15 7" xfId="17822"/>
    <cellStyle name="PrePop Units (0) 15 8" xfId="18712"/>
    <cellStyle name="PrePop Units (0) 15 9" xfId="19590"/>
    <cellStyle name="PrePop Units (0) 16" xfId="10481"/>
    <cellStyle name="PrePop Units (0) 16 10" xfId="20531"/>
    <cellStyle name="PrePop Units (0) 16 11" xfId="21367"/>
    <cellStyle name="PrePop Units (0) 16 12" xfId="22161"/>
    <cellStyle name="PrePop Units (0) 16 13" xfId="26621"/>
    <cellStyle name="PrePop Units (0) 16 14" xfId="29950"/>
    <cellStyle name="PrePop Units (0) 16 15" xfId="31725"/>
    <cellStyle name="PrePop Units (0) 16 16" xfId="33483"/>
    <cellStyle name="PrePop Units (0) 16 17" xfId="35197"/>
    <cellStyle name="PrePop Units (0) 16 18" xfId="36844"/>
    <cellStyle name="PrePop Units (0) 16 19" xfId="38407"/>
    <cellStyle name="PrePop Units (0) 16 2" xfId="13081"/>
    <cellStyle name="PrePop Units (0) 16 20" xfId="39849"/>
    <cellStyle name="PrePop Units (0) 16 21" xfId="41103"/>
    <cellStyle name="PrePop Units (0) 16 22" xfId="42163"/>
    <cellStyle name="PrePop Units (0) 16 3" xfId="14207"/>
    <cellStyle name="PrePop Units (0) 16 4" xfId="15136"/>
    <cellStyle name="PrePop Units (0) 16 5" xfId="16064"/>
    <cellStyle name="PrePop Units (0) 16 6" xfId="16994"/>
    <cellStyle name="PrePop Units (0) 16 7" xfId="17902"/>
    <cellStyle name="PrePop Units (0) 16 8" xfId="18792"/>
    <cellStyle name="PrePop Units (0) 16 9" xfId="19670"/>
    <cellStyle name="PrePop Units (0) 17" xfId="10605"/>
    <cellStyle name="PrePop Units (0) 17 10" xfId="20611"/>
    <cellStyle name="PrePop Units (0) 17 11" xfId="21448"/>
    <cellStyle name="PrePop Units (0) 17 12" xfId="22239"/>
    <cellStyle name="PrePop Units (0) 17 13" xfId="26716"/>
    <cellStyle name="PrePop Units (0) 17 14" xfId="30045"/>
    <cellStyle name="PrePop Units (0) 17 15" xfId="31820"/>
    <cellStyle name="PrePop Units (0) 17 16" xfId="33576"/>
    <cellStyle name="PrePop Units (0) 17 17" xfId="35289"/>
    <cellStyle name="PrePop Units (0) 17 18" xfId="36935"/>
    <cellStyle name="PrePop Units (0) 17 19" xfId="38496"/>
    <cellStyle name="PrePop Units (0) 17 2" xfId="13162"/>
    <cellStyle name="PrePop Units (0) 17 20" xfId="39936"/>
    <cellStyle name="PrePop Units (0) 17 21" xfId="41189"/>
    <cellStyle name="PrePop Units (0) 17 22" xfId="42245"/>
    <cellStyle name="PrePop Units (0) 17 3" xfId="14288"/>
    <cellStyle name="PrePop Units (0) 17 4" xfId="15216"/>
    <cellStyle name="PrePop Units (0) 17 5" xfId="16145"/>
    <cellStyle name="PrePop Units (0) 17 6" xfId="17075"/>
    <cellStyle name="PrePop Units (0) 17 7" xfId="17983"/>
    <cellStyle name="PrePop Units (0) 17 8" xfId="18873"/>
    <cellStyle name="PrePop Units (0) 17 9" xfId="19751"/>
    <cellStyle name="PrePop Units (0) 18" xfId="10721"/>
    <cellStyle name="PrePop Units (0) 18 10" xfId="20689"/>
    <cellStyle name="PrePop Units (0) 18 11" xfId="21527"/>
    <cellStyle name="PrePop Units (0) 18 12" xfId="22315"/>
    <cellStyle name="PrePop Units (0) 18 13" xfId="26575"/>
    <cellStyle name="PrePop Units (0) 18 14" xfId="29905"/>
    <cellStyle name="PrePop Units (0) 18 15" xfId="31680"/>
    <cellStyle name="PrePop Units (0) 18 16" xfId="33439"/>
    <cellStyle name="PrePop Units (0) 18 17" xfId="35153"/>
    <cellStyle name="PrePop Units (0) 18 18" xfId="36802"/>
    <cellStyle name="PrePop Units (0) 18 19" xfId="38367"/>
    <cellStyle name="PrePop Units (0) 18 2" xfId="13241"/>
    <cellStyle name="PrePop Units (0) 18 20" xfId="39810"/>
    <cellStyle name="PrePop Units (0) 18 21" xfId="41071"/>
    <cellStyle name="PrePop Units (0) 18 22" xfId="42138"/>
    <cellStyle name="PrePop Units (0) 18 3" xfId="14366"/>
    <cellStyle name="PrePop Units (0) 18 4" xfId="15294"/>
    <cellStyle name="PrePop Units (0) 18 5" xfId="16224"/>
    <cellStyle name="PrePop Units (0) 18 6" xfId="17154"/>
    <cellStyle name="PrePop Units (0) 18 7" xfId="18062"/>
    <cellStyle name="PrePop Units (0) 18 8" xfId="18952"/>
    <cellStyle name="PrePop Units (0) 18 9" xfId="19829"/>
    <cellStyle name="PrePop Units (0) 19" xfId="10346"/>
    <cellStyle name="PrePop Units (0) 19 10" xfId="20768"/>
    <cellStyle name="PrePop Units (0) 19 11" xfId="21606"/>
    <cellStyle name="PrePop Units (0) 19 12" xfId="22392"/>
    <cellStyle name="PrePop Units (0) 19 13" xfId="26635"/>
    <cellStyle name="PrePop Units (0) 19 14" xfId="29964"/>
    <cellStyle name="PrePop Units (0) 19 15" xfId="31739"/>
    <cellStyle name="PrePop Units (0) 19 16" xfId="33497"/>
    <cellStyle name="PrePop Units (0) 19 17" xfId="35211"/>
    <cellStyle name="PrePop Units (0) 19 18" xfId="36858"/>
    <cellStyle name="PrePop Units (0) 19 19" xfId="38421"/>
    <cellStyle name="PrePop Units (0) 19 2" xfId="13321"/>
    <cellStyle name="PrePop Units (0) 19 20" xfId="39863"/>
    <cellStyle name="PrePop Units (0) 19 21" xfId="41117"/>
    <cellStyle name="PrePop Units (0) 19 22" xfId="42177"/>
    <cellStyle name="PrePop Units (0) 19 3" xfId="14445"/>
    <cellStyle name="PrePop Units (0) 19 4" xfId="15374"/>
    <cellStyle name="PrePop Units (0) 19 5" xfId="16303"/>
    <cellStyle name="PrePop Units (0) 19 6" xfId="17233"/>
    <cellStyle name="PrePop Units (0) 19 7" xfId="18141"/>
    <cellStyle name="PrePop Units (0) 19 8" xfId="19031"/>
    <cellStyle name="PrePop Units (0) 19 9" xfId="19908"/>
    <cellStyle name="PrePop Units (0) 2" xfId="3860"/>
    <cellStyle name="PrePop Units (0) 2 10" xfId="12148"/>
    <cellStyle name="PrePop Units (0) 2 11" xfId="12261"/>
    <cellStyle name="PrePop Units (0) 2 12" xfId="10755"/>
    <cellStyle name="PrePop Units (0) 2 13" xfId="12220"/>
    <cellStyle name="PrePop Units (0) 2 14" xfId="11896"/>
    <cellStyle name="PrePop Units (0) 2 15" xfId="12860"/>
    <cellStyle name="PrePop Units (0) 2 16" xfId="12390"/>
    <cellStyle name="PrePop Units (0) 2 17" xfId="14883"/>
    <cellStyle name="PrePop Units (0) 2 18" xfId="12391"/>
    <cellStyle name="PrePop Units (0) 2 19" xfId="14864"/>
    <cellStyle name="PrePop Units (0) 2 2" xfId="4069"/>
    <cellStyle name="PrePop Units (0) 2 2 2" xfId="9616"/>
    <cellStyle name="PrePop Units (0) 2 2 3" xfId="9471"/>
    <cellStyle name="PrePop Units (0) 2 20" xfId="12327"/>
    <cellStyle name="PrePop Units (0) 2 21" xfId="20297"/>
    <cellStyle name="PrePop Units (0) 2 22" xfId="16719"/>
    <cellStyle name="PrePop Units (0) 2 23" xfId="23090"/>
    <cellStyle name="PrePop Units (0) 2 24" xfId="23391"/>
    <cellStyle name="PrePop Units (0) 2 25" xfId="28600"/>
    <cellStyle name="PrePop Units (0) 2 26" xfId="22942"/>
    <cellStyle name="PrePop Units (0) 2 27" xfId="29086"/>
    <cellStyle name="PrePop Units (0) 2 28" xfId="30871"/>
    <cellStyle name="PrePop Units (0) 2 29" xfId="32642"/>
    <cellStyle name="PrePop Units (0) 2 3" xfId="10401"/>
    <cellStyle name="PrePop Units (0) 2 30" xfId="34382"/>
    <cellStyle name="PrePop Units (0) 2 31" xfId="36070"/>
    <cellStyle name="PrePop Units (0) 2 32" xfId="37684"/>
    <cellStyle name="PrePop Units (0) 2 33" xfId="8794"/>
    <cellStyle name="PrePop Units (0) 2 34" xfId="7767"/>
    <cellStyle name="PrePop Units (0) 2 4" xfId="10197"/>
    <cellStyle name="PrePop Units (0) 2 5" xfId="10221"/>
    <cellStyle name="PrePop Units (0) 2 6" xfId="11005"/>
    <cellStyle name="PrePop Units (0) 2 7" xfId="10887"/>
    <cellStyle name="PrePop Units (0) 2 8" xfId="11151"/>
    <cellStyle name="PrePop Units (0) 2 9" xfId="11345"/>
    <cellStyle name="PrePop Units (0) 20" xfId="11063"/>
    <cellStyle name="PrePop Units (0) 20 10" xfId="20847"/>
    <cellStyle name="PrePop Units (0) 20 11" xfId="21686"/>
    <cellStyle name="PrePop Units (0) 20 12" xfId="22470"/>
    <cellStyle name="PrePop Units (0) 20 13" xfId="26408"/>
    <cellStyle name="PrePop Units (0) 20 14" xfId="29739"/>
    <cellStyle name="PrePop Units (0) 20 15" xfId="31514"/>
    <cellStyle name="PrePop Units (0) 20 16" xfId="33275"/>
    <cellStyle name="PrePop Units (0) 20 17" xfId="34993"/>
    <cellStyle name="PrePop Units (0) 20 18" xfId="36646"/>
    <cellStyle name="PrePop Units (0) 20 19" xfId="38216"/>
    <cellStyle name="PrePop Units (0) 20 2" xfId="13401"/>
    <cellStyle name="PrePop Units (0) 20 20" xfId="39666"/>
    <cellStyle name="PrePop Units (0) 20 21" xfId="40935"/>
    <cellStyle name="PrePop Units (0) 20 22" xfId="42010"/>
    <cellStyle name="PrePop Units (0) 20 3" xfId="14525"/>
    <cellStyle name="PrePop Units (0) 20 4" xfId="15452"/>
    <cellStyle name="PrePop Units (0) 20 5" xfId="16383"/>
    <cellStyle name="PrePop Units (0) 20 6" xfId="17313"/>
    <cellStyle name="PrePop Units (0) 20 7" xfId="18221"/>
    <cellStyle name="PrePop Units (0) 20 8" xfId="19111"/>
    <cellStyle name="PrePop Units (0) 20 9" xfId="19988"/>
    <cellStyle name="PrePop Units (0) 21" xfId="11234"/>
    <cellStyle name="PrePop Units (0) 21 10" xfId="20925"/>
    <cellStyle name="PrePop Units (0) 21 11" xfId="21766"/>
    <cellStyle name="PrePop Units (0) 21 12" xfId="22548"/>
    <cellStyle name="PrePop Units (0) 21 13" xfId="26705"/>
    <cellStyle name="PrePop Units (0) 21 14" xfId="30034"/>
    <cellStyle name="PrePop Units (0) 21 15" xfId="31809"/>
    <cellStyle name="PrePop Units (0) 21 16" xfId="33565"/>
    <cellStyle name="PrePop Units (0) 21 17" xfId="35278"/>
    <cellStyle name="PrePop Units (0) 21 18" xfId="36924"/>
    <cellStyle name="PrePop Units (0) 21 19" xfId="38485"/>
    <cellStyle name="PrePop Units (0) 21 2" xfId="13481"/>
    <cellStyle name="PrePop Units (0) 21 20" xfId="39925"/>
    <cellStyle name="PrePop Units (0) 21 21" xfId="41178"/>
    <cellStyle name="PrePop Units (0) 21 22" xfId="42234"/>
    <cellStyle name="PrePop Units (0) 21 3" xfId="14604"/>
    <cellStyle name="PrePop Units (0) 21 4" xfId="15532"/>
    <cellStyle name="PrePop Units (0) 21 5" xfId="16463"/>
    <cellStyle name="PrePop Units (0) 21 6" xfId="17393"/>
    <cellStyle name="PrePop Units (0) 21 7" xfId="18301"/>
    <cellStyle name="PrePop Units (0) 21 8" xfId="19191"/>
    <cellStyle name="PrePop Units (0) 21 9" xfId="20067"/>
    <cellStyle name="PrePop Units (0) 22" xfId="11674"/>
    <cellStyle name="PrePop Units (0) 22 10" xfId="21000"/>
    <cellStyle name="PrePop Units (0) 22 11" xfId="21839"/>
    <cellStyle name="PrePop Units (0) 22 12" xfId="22620"/>
    <cellStyle name="PrePop Units (0) 22 13" xfId="26289"/>
    <cellStyle name="PrePop Units (0) 22 14" xfId="29620"/>
    <cellStyle name="PrePop Units (0) 22 15" xfId="31395"/>
    <cellStyle name="PrePop Units (0) 22 16" xfId="33158"/>
    <cellStyle name="PrePop Units (0) 22 17" xfId="34876"/>
    <cellStyle name="PrePop Units (0) 22 18" xfId="36529"/>
    <cellStyle name="PrePop Units (0) 22 19" xfId="38103"/>
    <cellStyle name="PrePop Units (0) 22 2" xfId="13561"/>
    <cellStyle name="PrePop Units (0) 22 20" xfId="39556"/>
    <cellStyle name="PrePop Units (0) 22 21" xfId="40829"/>
    <cellStyle name="PrePop Units (0) 22 22" xfId="41908"/>
    <cellStyle name="PrePop Units (0) 22 3" xfId="14680"/>
    <cellStyle name="PrePop Units (0) 22 4" xfId="15611"/>
    <cellStyle name="PrePop Units (0) 22 5" xfId="16540"/>
    <cellStyle name="PrePop Units (0) 22 6" xfId="17469"/>
    <cellStyle name="PrePop Units (0) 22 7" xfId="18376"/>
    <cellStyle name="PrePop Units (0) 22 8" xfId="19265"/>
    <cellStyle name="PrePop Units (0) 22 9" xfId="20139"/>
    <cellStyle name="PrePop Units (0) 23" xfId="11051"/>
    <cellStyle name="PrePop Units (0) 23 10" xfId="21067"/>
    <cellStyle name="PrePop Units (0) 23 11" xfId="21902"/>
    <cellStyle name="PrePop Units (0) 23 12" xfId="22683"/>
    <cellStyle name="PrePop Units (0) 23 2" xfId="13641"/>
    <cellStyle name="PrePop Units (0) 23 3" xfId="14758"/>
    <cellStyle name="PrePop Units (0) 23 4" xfId="15684"/>
    <cellStyle name="PrePop Units (0) 23 5" xfId="16613"/>
    <cellStyle name="PrePop Units (0) 23 6" xfId="17544"/>
    <cellStyle name="PrePop Units (0) 23 7" xfId="18447"/>
    <cellStyle name="PrePop Units (0) 23 8" xfId="19332"/>
    <cellStyle name="PrePop Units (0) 23 9" xfId="20210"/>
    <cellStyle name="PrePop Units (0) 24" xfId="12675"/>
    <cellStyle name="PrePop Units (0) 24 10" xfId="21114"/>
    <cellStyle name="PrePop Units (0) 24 11" xfId="21947"/>
    <cellStyle name="PrePop Units (0) 24 12" xfId="22727"/>
    <cellStyle name="PrePop Units (0) 24 2" xfId="13715"/>
    <cellStyle name="PrePop Units (0) 24 3" xfId="14820"/>
    <cellStyle name="PrePop Units (0) 24 4" xfId="15748"/>
    <cellStyle name="PrePop Units (0) 24 5" xfId="16680"/>
    <cellStyle name="PrePop Units (0) 24 6" xfId="17606"/>
    <cellStyle name="PrePop Units (0) 24 7" xfId="18508"/>
    <cellStyle name="PrePop Units (0) 24 8" xfId="19392"/>
    <cellStyle name="PrePop Units (0) 24 9" xfId="20261"/>
    <cellStyle name="PrePop Units (0) 25" xfId="13780"/>
    <cellStyle name="PrePop Units (0) 26" xfId="13826"/>
    <cellStyle name="PrePop Units (0) 27" xfId="10621"/>
    <cellStyle name="PrePop Units (0) 28" xfId="14064"/>
    <cellStyle name="PrePop Units (0) 29" xfId="11428"/>
    <cellStyle name="PrePop Units (0) 3" xfId="3861"/>
    <cellStyle name="PrePop Units (0) 3 2" xfId="4070"/>
    <cellStyle name="PrePop Units (0) 3 2 2" xfId="8881"/>
    <cellStyle name="PrePop Units (0) 3 3" xfId="7768"/>
    <cellStyle name="PrePop Units (0) 30" xfId="16736"/>
    <cellStyle name="PrePop Units (0) 31" xfId="17650"/>
    <cellStyle name="PrePop Units (0) 32" xfId="18552"/>
    <cellStyle name="PrePop Units (0) 33" xfId="19428"/>
    <cellStyle name="PrePop Units (0) 34" xfId="19528"/>
    <cellStyle name="PrePop Units (0) 35" xfId="20329"/>
    <cellStyle name="PrePop Units (0) 36" xfId="21966"/>
    <cellStyle name="PrePop Units (0) 37" xfId="22900"/>
    <cellStyle name="PrePop Units (0) 38" xfId="23417"/>
    <cellStyle name="PrePop Units (0) 39" xfId="29483"/>
    <cellStyle name="PrePop Units (0) 4" xfId="8959"/>
    <cellStyle name="PrePop Units (0) 40" xfId="31260"/>
    <cellStyle name="PrePop Units (0) 41" xfId="33024"/>
    <cellStyle name="PrePop Units (0) 42" xfId="34744"/>
    <cellStyle name="PrePop Units (0) 43" xfId="36401"/>
    <cellStyle name="PrePop Units (0) 44" xfId="37985"/>
    <cellStyle name="PrePop Units (0) 45" xfId="39454"/>
    <cellStyle name="PrePop Units (0) 46" xfId="40747"/>
    <cellStyle name="PrePop Units (0) 47" xfId="7864"/>
    <cellStyle name="PrePop Units (0) 48" xfId="7766"/>
    <cellStyle name="PrePop Units (0) 5" xfId="9037"/>
    <cellStyle name="PrePop Units (0) 6" xfId="9102"/>
    <cellStyle name="PrePop Units (0) 7" xfId="9146"/>
    <cellStyle name="PrePop Units (0) 8" xfId="9308"/>
    <cellStyle name="PrePop Units (0) 9" xfId="9798"/>
    <cellStyle name="PrePop Units (1)" xfId="3862"/>
    <cellStyle name="PrePop Units (1) 10" xfId="9884"/>
    <cellStyle name="PrePop Units (1) 11" xfId="9965"/>
    <cellStyle name="PrePop Units (1) 12" xfId="10049"/>
    <cellStyle name="PrePop Units (1) 13" xfId="10117"/>
    <cellStyle name="PrePop Units (1) 14" xfId="10172"/>
    <cellStyle name="PrePop Units (1) 15" xfId="10217"/>
    <cellStyle name="PrePop Units (1) 15 10" xfId="20452"/>
    <cellStyle name="PrePop Units (1) 15 11" xfId="21288"/>
    <cellStyle name="PrePop Units (1) 15 12" xfId="22085"/>
    <cellStyle name="PrePop Units (1) 15 13" xfId="26650"/>
    <cellStyle name="PrePop Units (1) 15 14" xfId="29979"/>
    <cellStyle name="PrePop Units (1) 15 15" xfId="31754"/>
    <cellStyle name="PrePop Units (1) 15 16" xfId="33512"/>
    <cellStyle name="PrePop Units (1) 15 17" xfId="35226"/>
    <cellStyle name="PrePop Units (1) 15 18" xfId="36873"/>
    <cellStyle name="PrePop Units (1) 15 19" xfId="38436"/>
    <cellStyle name="PrePop Units (1) 15 2" xfId="13002"/>
    <cellStyle name="PrePop Units (1) 15 20" xfId="39878"/>
    <cellStyle name="PrePop Units (1) 15 21" xfId="41132"/>
    <cellStyle name="PrePop Units (1) 15 22" xfId="42192"/>
    <cellStyle name="PrePop Units (1) 15 3" xfId="14128"/>
    <cellStyle name="PrePop Units (1) 15 4" xfId="15058"/>
    <cellStyle name="PrePop Units (1) 15 5" xfId="15985"/>
    <cellStyle name="PrePop Units (1) 15 6" xfId="16915"/>
    <cellStyle name="PrePop Units (1) 15 7" xfId="17823"/>
    <cellStyle name="PrePop Units (1) 15 8" xfId="18713"/>
    <cellStyle name="PrePop Units (1) 15 9" xfId="19591"/>
    <cellStyle name="PrePop Units (1) 16" xfId="11261"/>
    <cellStyle name="PrePop Units (1) 16 10" xfId="20532"/>
    <cellStyle name="PrePop Units (1) 16 11" xfId="21368"/>
    <cellStyle name="PrePop Units (1) 16 12" xfId="22162"/>
    <cellStyle name="PrePop Units (1) 16 13" xfId="26622"/>
    <cellStyle name="PrePop Units (1) 16 14" xfId="29951"/>
    <cellStyle name="PrePop Units (1) 16 15" xfId="31726"/>
    <cellStyle name="PrePop Units (1) 16 16" xfId="33484"/>
    <cellStyle name="PrePop Units (1) 16 17" xfId="35198"/>
    <cellStyle name="PrePop Units (1) 16 18" xfId="36845"/>
    <cellStyle name="PrePop Units (1) 16 19" xfId="38408"/>
    <cellStyle name="PrePop Units (1) 16 2" xfId="13082"/>
    <cellStyle name="PrePop Units (1) 16 20" xfId="39850"/>
    <cellStyle name="PrePop Units (1) 16 21" xfId="41104"/>
    <cellStyle name="PrePop Units (1) 16 22" xfId="42164"/>
    <cellStyle name="PrePop Units (1) 16 3" xfId="14208"/>
    <cellStyle name="PrePop Units (1) 16 4" xfId="15137"/>
    <cellStyle name="PrePop Units (1) 16 5" xfId="16065"/>
    <cellStyle name="PrePop Units (1) 16 6" xfId="16995"/>
    <cellStyle name="PrePop Units (1) 16 7" xfId="17903"/>
    <cellStyle name="PrePop Units (1) 16 8" xfId="18793"/>
    <cellStyle name="PrePop Units (1) 16 9" xfId="19671"/>
    <cellStyle name="PrePop Units (1) 17" xfId="11452"/>
    <cellStyle name="PrePop Units (1) 17 10" xfId="20612"/>
    <cellStyle name="PrePop Units (1) 17 11" xfId="21449"/>
    <cellStyle name="PrePop Units (1) 17 12" xfId="22240"/>
    <cellStyle name="PrePop Units (1) 17 13" xfId="26684"/>
    <cellStyle name="PrePop Units (1) 17 14" xfId="30013"/>
    <cellStyle name="PrePop Units (1) 17 15" xfId="31788"/>
    <cellStyle name="PrePop Units (1) 17 16" xfId="33546"/>
    <cellStyle name="PrePop Units (1) 17 17" xfId="35260"/>
    <cellStyle name="PrePop Units (1) 17 18" xfId="36907"/>
    <cellStyle name="PrePop Units (1) 17 19" xfId="38470"/>
    <cellStyle name="PrePop Units (1) 17 2" xfId="13163"/>
    <cellStyle name="PrePop Units (1) 17 20" xfId="39911"/>
    <cellStyle name="PrePop Units (1) 17 21" xfId="41165"/>
    <cellStyle name="PrePop Units (1) 17 22" xfId="42225"/>
    <cellStyle name="PrePop Units (1) 17 3" xfId="14289"/>
    <cellStyle name="PrePop Units (1) 17 4" xfId="15217"/>
    <cellStyle name="PrePop Units (1) 17 5" xfId="16146"/>
    <cellStyle name="PrePop Units (1) 17 6" xfId="17076"/>
    <cellStyle name="PrePop Units (1) 17 7" xfId="17984"/>
    <cellStyle name="PrePop Units (1) 17 8" xfId="18874"/>
    <cellStyle name="PrePop Units (1) 17 9" xfId="19752"/>
    <cellStyle name="PrePop Units (1) 18" xfId="11639"/>
    <cellStyle name="PrePop Units (1) 18 10" xfId="20690"/>
    <cellStyle name="PrePop Units (1) 18 11" xfId="21528"/>
    <cellStyle name="PrePop Units (1) 18 12" xfId="22316"/>
    <cellStyle name="PrePop Units (1) 18 13" xfId="26577"/>
    <cellStyle name="PrePop Units (1) 18 14" xfId="29907"/>
    <cellStyle name="PrePop Units (1) 18 15" xfId="31682"/>
    <cellStyle name="PrePop Units (1) 18 16" xfId="33441"/>
    <cellStyle name="PrePop Units (1) 18 17" xfId="35155"/>
    <cellStyle name="PrePop Units (1) 18 18" xfId="36804"/>
    <cellStyle name="PrePop Units (1) 18 19" xfId="38368"/>
    <cellStyle name="PrePop Units (1) 18 2" xfId="13242"/>
    <cellStyle name="PrePop Units (1) 18 20" xfId="39811"/>
    <cellStyle name="PrePop Units (1) 18 21" xfId="41072"/>
    <cellStyle name="PrePop Units (1) 18 22" xfId="42139"/>
    <cellStyle name="PrePop Units (1) 18 3" xfId="14367"/>
    <cellStyle name="PrePop Units (1) 18 4" xfId="15295"/>
    <cellStyle name="PrePop Units (1) 18 5" xfId="16225"/>
    <cellStyle name="PrePop Units (1) 18 6" xfId="17155"/>
    <cellStyle name="PrePop Units (1) 18 7" xfId="18063"/>
    <cellStyle name="PrePop Units (1) 18 8" xfId="18953"/>
    <cellStyle name="PrePop Units (1) 18 9" xfId="19830"/>
    <cellStyle name="PrePop Units (1) 19" xfId="11822"/>
    <cellStyle name="PrePop Units (1) 19 10" xfId="20769"/>
    <cellStyle name="PrePop Units (1) 19 11" xfId="21607"/>
    <cellStyle name="PrePop Units (1) 19 12" xfId="22393"/>
    <cellStyle name="PrePop Units (1) 19 13" xfId="26634"/>
    <cellStyle name="PrePop Units (1) 19 14" xfId="29963"/>
    <cellStyle name="PrePop Units (1) 19 15" xfId="31738"/>
    <cellStyle name="PrePop Units (1) 19 16" xfId="33496"/>
    <cellStyle name="PrePop Units (1) 19 17" xfId="35210"/>
    <cellStyle name="PrePop Units (1) 19 18" xfId="36857"/>
    <cellStyle name="PrePop Units (1) 19 19" xfId="38420"/>
    <cellStyle name="PrePop Units (1) 19 2" xfId="13322"/>
    <cellStyle name="PrePop Units (1) 19 20" xfId="39862"/>
    <cellStyle name="PrePop Units (1) 19 21" xfId="41116"/>
    <cellStyle name="PrePop Units (1) 19 22" xfId="42176"/>
    <cellStyle name="PrePop Units (1) 19 3" xfId="14446"/>
    <cellStyle name="PrePop Units (1) 19 4" xfId="15375"/>
    <cellStyle name="PrePop Units (1) 19 5" xfId="16304"/>
    <cellStyle name="PrePop Units (1) 19 6" xfId="17234"/>
    <cellStyle name="PrePop Units (1) 19 7" xfId="18142"/>
    <cellStyle name="PrePop Units (1) 19 8" xfId="19032"/>
    <cellStyle name="PrePop Units (1) 19 9" xfId="19909"/>
    <cellStyle name="PrePop Units (1) 2" xfId="3863"/>
    <cellStyle name="PrePop Units (1) 2 10" xfId="10955"/>
    <cellStyle name="PrePop Units (1) 2 11" xfId="12010"/>
    <cellStyle name="PrePop Units (1) 2 12" xfId="11905"/>
    <cellStyle name="PrePop Units (1) 2 13" xfId="12108"/>
    <cellStyle name="PrePop Units (1) 2 14" xfId="11878"/>
    <cellStyle name="PrePop Units (1) 2 15" xfId="10445"/>
    <cellStyle name="PrePop Units (1) 2 16" xfId="12900"/>
    <cellStyle name="PrePop Units (1) 2 17" xfId="15672"/>
    <cellStyle name="PrePop Units (1) 2 18" xfId="10408"/>
    <cellStyle name="PrePop Units (1) 2 19" xfId="13943"/>
    <cellStyle name="PrePop Units (1) 2 2" xfId="4071"/>
    <cellStyle name="PrePop Units (1) 2 2 2" xfId="9617"/>
    <cellStyle name="PrePop Units (1) 2 2 3" xfId="9472"/>
    <cellStyle name="PrePop Units (1) 2 20" xfId="19455"/>
    <cellStyle name="PrePop Units (1) 2 21" xfId="16717"/>
    <cellStyle name="PrePop Units (1) 2 22" xfId="16706"/>
    <cellStyle name="PrePop Units (1) 2 23" xfId="23091"/>
    <cellStyle name="PrePop Units (1) 2 24" xfId="23309"/>
    <cellStyle name="PrePop Units (1) 2 25" xfId="28599"/>
    <cellStyle name="PrePop Units (1) 2 26" xfId="22941"/>
    <cellStyle name="PrePop Units (1) 2 27" xfId="29085"/>
    <cellStyle name="PrePop Units (1) 2 28" xfId="30870"/>
    <cellStyle name="PrePop Units (1) 2 29" xfId="32641"/>
    <cellStyle name="PrePop Units (1) 2 3" xfId="10402"/>
    <cellStyle name="PrePop Units (1) 2 30" xfId="34381"/>
    <cellStyle name="PrePop Units (1) 2 31" xfId="36069"/>
    <cellStyle name="PrePop Units (1) 2 32" xfId="37683"/>
    <cellStyle name="PrePop Units (1) 2 33" xfId="8795"/>
    <cellStyle name="PrePop Units (1) 2 4" xfId="10912"/>
    <cellStyle name="PrePop Units (1) 2 5" xfId="10863"/>
    <cellStyle name="PrePop Units (1) 2 6" xfId="10921"/>
    <cellStyle name="PrePop Units (1) 2 7" xfId="10938"/>
    <cellStyle name="PrePop Units (1) 2 8" xfId="10653"/>
    <cellStyle name="PrePop Units (1) 2 9" xfId="10697"/>
    <cellStyle name="PrePop Units (1) 20" xfId="12004"/>
    <cellStyle name="PrePop Units (1) 20 10" xfId="20848"/>
    <cellStyle name="PrePop Units (1) 20 11" xfId="21687"/>
    <cellStyle name="PrePop Units (1) 20 12" xfId="22471"/>
    <cellStyle name="PrePop Units (1) 20 13" xfId="26410"/>
    <cellStyle name="PrePop Units (1) 20 14" xfId="29741"/>
    <cellStyle name="PrePop Units (1) 20 15" xfId="31516"/>
    <cellStyle name="PrePop Units (1) 20 16" xfId="33277"/>
    <cellStyle name="PrePop Units (1) 20 17" xfId="34995"/>
    <cellStyle name="PrePop Units (1) 20 18" xfId="36647"/>
    <cellStyle name="PrePop Units (1) 20 19" xfId="38217"/>
    <cellStyle name="PrePop Units (1) 20 2" xfId="13402"/>
    <cellStyle name="PrePop Units (1) 20 20" xfId="39667"/>
    <cellStyle name="PrePop Units (1) 20 21" xfId="40936"/>
    <cellStyle name="PrePop Units (1) 20 22" xfId="42011"/>
    <cellStyle name="PrePop Units (1) 20 3" xfId="14526"/>
    <cellStyle name="PrePop Units (1) 20 4" xfId="15453"/>
    <cellStyle name="PrePop Units (1) 20 5" xfId="16384"/>
    <cellStyle name="PrePop Units (1) 20 6" xfId="17314"/>
    <cellStyle name="PrePop Units (1) 20 7" xfId="18222"/>
    <cellStyle name="PrePop Units (1) 20 8" xfId="19112"/>
    <cellStyle name="PrePop Units (1) 20 9" xfId="19989"/>
    <cellStyle name="PrePop Units (1) 21" xfId="12178"/>
    <cellStyle name="PrePop Units (1) 21 10" xfId="20926"/>
    <cellStyle name="PrePop Units (1) 21 11" xfId="21767"/>
    <cellStyle name="PrePop Units (1) 21 12" xfId="22549"/>
    <cellStyle name="PrePop Units (1) 21 13" xfId="26704"/>
    <cellStyle name="PrePop Units (1) 21 14" xfId="30033"/>
    <cellStyle name="PrePop Units (1) 21 15" xfId="31808"/>
    <cellStyle name="PrePop Units (1) 21 16" xfId="33564"/>
    <cellStyle name="PrePop Units (1) 21 17" xfId="35277"/>
    <cellStyle name="PrePop Units (1) 21 18" xfId="36923"/>
    <cellStyle name="PrePop Units (1) 21 19" xfId="38484"/>
    <cellStyle name="PrePop Units (1) 21 2" xfId="13482"/>
    <cellStyle name="PrePop Units (1) 21 20" xfId="39924"/>
    <cellStyle name="PrePop Units (1) 21 21" xfId="41177"/>
    <cellStyle name="PrePop Units (1) 21 22" xfId="42233"/>
    <cellStyle name="PrePop Units (1) 21 3" xfId="14605"/>
    <cellStyle name="PrePop Units (1) 21 4" xfId="15533"/>
    <cellStyle name="PrePop Units (1) 21 5" xfId="16464"/>
    <cellStyle name="PrePop Units (1) 21 6" xfId="17394"/>
    <cellStyle name="PrePop Units (1) 21 7" xfId="18302"/>
    <cellStyle name="PrePop Units (1) 21 8" xfId="19192"/>
    <cellStyle name="PrePop Units (1) 21 9" xfId="20068"/>
    <cellStyle name="PrePop Units (1) 22" xfId="12365"/>
    <cellStyle name="PrePop Units (1) 22 10" xfId="21001"/>
    <cellStyle name="PrePop Units (1) 22 11" xfId="21840"/>
    <cellStyle name="PrePop Units (1) 22 12" xfId="22621"/>
    <cellStyle name="PrePop Units (1) 22 13" xfId="26290"/>
    <cellStyle name="PrePop Units (1) 22 14" xfId="29621"/>
    <cellStyle name="PrePop Units (1) 22 15" xfId="31396"/>
    <cellStyle name="PrePop Units (1) 22 16" xfId="33159"/>
    <cellStyle name="PrePop Units (1) 22 17" xfId="34877"/>
    <cellStyle name="PrePop Units (1) 22 18" xfId="36530"/>
    <cellStyle name="PrePop Units (1) 22 19" xfId="38104"/>
    <cellStyle name="PrePop Units (1) 22 2" xfId="13562"/>
    <cellStyle name="PrePop Units (1) 22 20" xfId="39557"/>
    <cellStyle name="PrePop Units (1) 22 21" xfId="40830"/>
    <cellStyle name="PrePop Units (1) 22 22" xfId="41909"/>
    <cellStyle name="PrePop Units (1) 22 3" xfId="14681"/>
    <cellStyle name="PrePop Units (1) 22 4" xfId="15612"/>
    <cellStyle name="PrePop Units (1) 22 5" xfId="16541"/>
    <cellStyle name="PrePop Units (1) 22 6" xfId="17470"/>
    <cellStyle name="PrePop Units (1) 22 7" xfId="18377"/>
    <cellStyle name="PrePop Units (1) 22 8" xfId="19266"/>
    <cellStyle name="PrePop Units (1) 22 9" xfId="20140"/>
    <cellStyle name="PrePop Units (1) 23" xfId="12550"/>
    <cellStyle name="PrePop Units (1) 23 10" xfId="21068"/>
    <cellStyle name="PrePop Units (1) 23 11" xfId="21903"/>
    <cellStyle name="PrePop Units (1) 23 12" xfId="22684"/>
    <cellStyle name="PrePop Units (1) 23 2" xfId="13642"/>
    <cellStyle name="PrePop Units (1) 23 3" xfId="14759"/>
    <cellStyle name="PrePop Units (1) 23 4" xfId="15685"/>
    <cellStyle name="PrePop Units (1) 23 5" xfId="16614"/>
    <cellStyle name="PrePop Units (1) 23 6" xfId="17545"/>
    <cellStyle name="PrePop Units (1) 23 7" xfId="18448"/>
    <cellStyle name="PrePop Units (1) 23 8" xfId="19333"/>
    <cellStyle name="PrePop Units (1) 23 9" xfId="20211"/>
    <cellStyle name="PrePop Units (1) 24" xfId="12627"/>
    <cellStyle name="PrePop Units (1) 24 10" xfId="21115"/>
    <cellStyle name="PrePop Units (1) 24 11" xfId="21948"/>
    <cellStyle name="PrePop Units (1) 24 12" xfId="22728"/>
    <cellStyle name="PrePop Units (1) 24 2" xfId="13716"/>
    <cellStyle name="PrePop Units (1) 24 3" xfId="14821"/>
    <cellStyle name="PrePop Units (1) 24 4" xfId="15749"/>
    <cellStyle name="PrePop Units (1) 24 5" xfId="16681"/>
    <cellStyle name="PrePop Units (1) 24 6" xfId="17607"/>
    <cellStyle name="PrePop Units (1) 24 7" xfId="18509"/>
    <cellStyle name="PrePop Units (1) 24 8" xfId="19393"/>
    <cellStyle name="PrePop Units (1) 24 9" xfId="20262"/>
    <cellStyle name="PrePop Units (1) 25" xfId="13781"/>
    <cellStyle name="PrePop Units (1) 26" xfId="13827"/>
    <cellStyle name="PrePop Units (1) 27" xfId="12239"/>
    <cellStyle name="PrePop Units (1) 28" xfId="13994"/>
    <cellStyle name="PrePop Units (1) 29" xfId="14827"/>
    <cellStyle name="PrePop Units (1) 3" xfId="3864"/>
    <cellStyle name="PrePop Units (1) 3 2" xfId="4072"/>
    <cellStyle name="PrePop Units (1) 3 2 2" xfId="8882"/>
    <cellStyle name="PrePop Units (1) 30" xfId="15922"/>
    <cellStyle name="PrePop Units (1) 31" xfId="16851"/>
    <cellStyle name="PrePop Units (1) 32" xfId="17760"/>
    <cellStyle name="PrePop Units (1) 33" xfId="18649"/>
    <cellStyle name="PrePop Units (1) 34" xfId="19468"/>
    <cellStyle name="PrePop Units (1) 35" xfId="14959"/>
    <cellStyle name="PrePop Units (1) 36" xfId="21225"/>
    <cellStyle name="PrePop Units (1) 37" xfId="22901"/>
    <cellStyle name="PrePop Units (1) 38" xfId="23332"/>
    <cellStyle name="PrePop Units (1) 39" xfId="29482"/>
    <cellStyle name="PrePop Units (1) 4" xfId="8960"/>
    <cellStyle name="PrePop Units (1) 40" xfId="31259"/>
    <cellStyle name="PrePop Units (1) 41" xfId="33023"/>
    <cellStyle name="PrePop Units (1) 42" xfId="34743"/>
    <cellStyle name="PrePop Units (1) 43" xfId="36400"/>
    <cellStyle name="PrePop Units (1) 44" xfId="37984"/>
    <cellStyle name="PrePop Units (1) 45" xfId="39453"/>
    <cellStyle name="PrePop Units (1) 46" xfId="40746"/>
    <cellStyle name="PrePop Units (1) 47" xfId="7865"/>
    <cellStyle name="PrePop Units (1) 5" xfId="9038"/>
    <cellStyle name="PrePop Units (1) 6" xfId="9103"/>
    <cellStyle name="PrePop Units (1) 7" xfId="9147"/>
    <cellStyle name="PrePop Units (1) 8" xfId="9309"/>
    <cellStyle name="PrePop Units (1) 9" xfId="9799"/>
    <cellStyle name="PrePop Units (2)" xfId="3865"/>
    <cellStyle name="PrePop Units (2) 10" xfId="9885"/>
    <cellStyle name="PrePop Units (2) 11" xfId="9966"/>
    <cellStyle name="PrePop Units (2) 12" xfId="10050"/>
    <cellStyle name="PrePop Units (2) 13" xfId="10118"/>
    <cellStyle name="PrePop Units (2) 14" xfId="10173"/>
    <cellStyle name="PrePop Units (2) 15" xfId="10218"/>
    <cellStyle name="PrePop Units (2) 15 10" xfId="20453"/>
    <cellStyle name="PrePop Units (2) 15 11" xfId="21289"/>
    <cellStyle name="PrePop Units (2) 15 12" xfId="22086"/>
    <cellStyle name="PrePop Units (2) 15 13" xfId="26649"/>
    <cellStyle name="PrePop Units (2) 15 14" xfId="29978"/>
    <cellStyle name="PrePop Units (2) 15 15" xfId="31753"/>
    <cellStyle name="PrePop Units (2) 15 16" xfId="33511"/>
    <cellStyle name="PrePop Units (2) 15 17" xfId="35225"/>
    <cellStyle name="PrePop Units (2) 15 18" xfId="36872"/>
    <cellStyle name="PrePop Units (2) 15 19" xfId="38435"/>
    <cellStyle name="PrePop Units (2) 15 2" xfId="13003"/>
    <cellStyle name="PrePop Units (2) 15 20" xfId="39877"/>
    <cellStyle name="PrePop Units (2) 15 21" xfId="41131"/>
    <cellStyle name="PrePop Units (2) 15 22" xfId="42191"/>
    <cellStyle name="PrePop Units (2) 15 3" xfId="14129"/>
    <cellStyle name="PrePop Units (2) 15 4" xfId="15059"/>
    <cellStyle name="PrePop Units (2) 15 5" xfId="15986"/>
    <cellStyle name="PrePop Units (2) 15 6" xfId="16916"/>
    <cellStyle name="PrePop Units (2) 15 7" xfId="17824"/>
    <cellStyle name="PrePop Units (2) 15 8" xfId="18714"/>
    <cellStyle name="PrePop Units (2) 15 9" xfId="19592"/>
    <cellStyle name="PrePop Units (2) 16" xfId="11211"/>
    <cellStyle name="PrePop Units (2) 16 10" xfId="20533"/>
    <cellStyle name="PrePop Units (2) 16 11" xfId="21369"/>
    <cellStyle name="PrePop Units (2) 16 12" xfId="22163"/>
    <cellStyle name="PrePop Units (2) 16 13" xfId="26623"/>
    <cellStyle name="PrePop Units (2) 16 14" xfId="29952"/>
    <cellStyle name="PrePop Units (2) 16 15" xfId="31727"/>
    <cellStyle name="PrePop Units (2) 16 16" xfId="33485"/>
    <cellStyle name="PrePop Units (2) 16 17" xfId="35199"/>
    <cellStyle name="PrePop Units (2) 16 18" xfId="36846"/>
    <cellStyle name="PrePop Units (2) 16 19" xfId="38409"/>
    <cellStyle name="PrePop Units (2) 16 2" xfId="13083"/>
    <cellStyle name="PrePop Units (2) 16 20" xfId="39851"/>
    <cellStyle name="PrePop Units (2) 16 21" xfId="41105"/>
    <cellStyle name="PrePop Units (2) 16 22" xfId="42165"/>
    <cellStyle name="PrePop Units (2) 16 3" xfId="14209"/>
    <cellStyle name="PrePop Units (2) 16 4" xfId="15138"/>
    <cellStyle name="PrePop Units (2) 16 5" xfId="16066"/>
    <cellStyle name="PrePop Units (2) 16 6" xfId="16996"/>
    <cellStyle name="PrePop Units (2) 16 7" xfId="17904"/>
    <cellStyle name="PrePop Units (2) 16 8" xfId="18794"/>
    <cellStyle name="PrePop Units (2) 16 9" xfId="19672"/>
    <cellStyle name="PrePop Units (2) 17" xfId="11403"/>
    <cellStyle name="PrePop Units (2) 17 10" xfId="20613"/>
    <cellStyle name="PrePop Units (2) 17 11" xfId="21450"/>
    <cellStyle name="PrePop Units (2) 17 12" xfId="22241"/>
    <cellStyle name="PrePop Units (2) 17 13" xfId="26670"/>
    <cellStyle name="PrePop Units (2) 17 14" xfId="29999"/>
    <cellStyle name="PrePop Units (2) 17 15" xfId="31774"/>
    <cellStyle name="PrePop Units (2) 17 16" xfId="33532"/>
    <cellStyle name="PrePop Units (2) 17 17" xfId="35246"/>
    <cellStyle name="PrePop Units (2) 17 18" xfId="36893"/>
    <cellStyle name="PrePop Units (2) 17 19" xfId="38456"/>
    <cellStyle name="PrePop Units (2) 17 2" xfId="13164"/>
    <cellStyle name="PrePop Units (2) 17 20" xfId="39897"/>
    <cellStyle name="PrePop Units (2) 17 21" xfId="41151"/>
    <cellStyle name="PrePop Units (2) 17 22" xfId="42211"/>
    <cellStyle name="PrePop Units (2) 17 3" xfId="14290"/>
    <cellStyle name="PrePop Units (2) 17 4" xfId="15218"/>
    <cellStyle name="PrePop Units (2) 17 5" xfId="16147"/>
    <cellStyle name="PrePop Units (2) 17 6" xfId="17077"/>
    <cellStyle name="PrePop Units (2) 17 7" xfId="17985"/>
    <cellStyle name="PrePop Units (2) 17 8" xfId="18875"/>
    <cellStyle name="PrePop Units (2) 17 9" xfId="19753"/>
    <cellStyle name="PrePop Units (2) 18" xfId="11592"/>
    <cellStyle name="PrePop Units (2) 18 10" xfId="20691"/>
    <cellStyle name="PrePop Units (2) 18 11" xfId="21529"/>
    <cellStyle name="PrePop Units (2) 18 12" xfId="22317"/>
    <cellStyle name="PrePop Units (2) 18 13" xfId="26585"/>
    <cellStyle name="PrePop Units (2) 18 14" xfId="29915"/>
    <cellStyle name="PrePop Units (2) 18 15" xfId="31690"/>
    <cellStyle name="PrePop Units (2) 18 16" xfId="33449"/>
    <cellStyle name="PrePop Units (2) 18 17" xfId="35163"/>
    <cellStyle name="PrePop Units (2) 18 18" xfId="36812"/>
    <cellStyle name="PrePop Units (2) 18 19" xfId="38376"/>
    <cellStyle name="PrePop Units (2) 18 2" xfId="13243"/>
    <cellStyle name="PrePop Units (2) 18 20" xfId="39819"/>
    <cellStyle name="PrePop Units (2) 18 21" xfId="41077"/>
    <cellStyle name="PrePop Units (2) 18 22" xfId="42141"/>
    <cellStyle name="PrePop Units (2) 18 3" xfId="14368"/>
    <cellStyle name="PrePop Units (2) 18 4" xfId="15296"/>
    <cellStyle name="PrePop Units (2) 18 5" xfId="16226"/>
    <cellStyle name="PrePop Units (2) 18 6" xfId="17156"/>
    <cellStyle name="PrePop Units (2) 18 7" xfId="18064"/>
    <cellStyle name="PrePop Units (2) 18 8" xfId="18954"/>
    <cellStyle name="PrePop Units (2) 18 9" xfId="19831"/>
    <cellStyle name="PrePop Units (2) 19" xfId="11772"/>
    <cellStyle name="PrePop Units (2) 19 10" xfId="20770"/>
    <cellStyle name="PrePop Units (2) 19 11" xfId="21608"/>
    <cellStyle name="PrePop Units (2) 19 12" xfId="22394"/>
    <cellStyle name="PrePop Units (2) 19 13" xfId="26802"/>
    <cellStyle name="PrePop Units (2) 19 14" xfId="30130"/>
    <cellStyle name="PrePop Units (2) 19 15" xfId="31905"/>
    <cellStyle name="PrePop Units (2) 19 16" xfId="33660"/>
    <cellStyle name="PrePop Units (2) 19 17" xfId="35373"/>
    <cellStyle name="PrePop Units (2) 19 18" xfId="37018"/>
    <cellStyle name="PrePop Units (2) 19 19" xfId="38577"/>
    <cellStyle name="PrePop Units (2) 19 2" xfId="13323"/>
    <cellStyle name="PrePop Units (2) 19 20" xfId="40013"/>
    <cellStyle name="PrePop Units (2) 19 21" xfId="41263"/>
    <cellStyle name="PrePop Units (2) 19 22" xfId="42315"/>
    <cellStyle name="PrePop Units (2) 19 3" xfId="14447"/>
    <cellStyle name="PrePop Units (2) 19 4" xfId="15376"/>
    <cellStyle name="PrePop Units (2) 19 5" xfId="16305"/>
    <cellStyle name="PrePop Units (2) 19 6" xfId="17235"/>
    <cellStyle name="PrePop Units (2) 19 7" xfId="18143"/>
    <cellStyle name="PrePop Units (2) 19 8" xfId="19033"/>
    <cellStyle name="PrePop Units (2) 19 9" xfId="19910"/>
    <cellStyle name="PrePop Units (2) 2" xfId="3866"/>
    <cellStyle name="PrePop Units (2) 2 10" xfId="11866"/>
    <cellStyle name="PrePop Units (2) 2 11" xfId="11791"/>
    <cellStyle name="PrePop Units (2) 2 12" xfId="11536"/>
    <cellStyle name="PrePop Units (2) 2 13" xfId="9459"/>
    <cellStyle name="PrePop Units (2) 2 14" xfId="11407"/>
    <cellStyle name="PrePop Units (2) 2 15" xfId="10664"/>
    <cellStyle name="PrePop Units (2) 2 16" xfId="14928"/>
    <cellStyle name="PrePop Units (2) 2 17" xfId="16767"/>
    <cellStyle name="PrePop Units (2) 2 18" xfId="17677"/>
    <cellStyle name="PrePop Units (2) 2 19" xfId="18577"/>
    <cellStyle name="PrePop Units (2) 2 2" xfId="4073"/>
    <cellStyle name="PrePop Units (2) 2 2 2" xfId="9618"/>
    <cellStyle name="PrePop Units (2) 2 2 3" xfId="9473"/>
    <cellStyle name="PrePop Units (2) 2 20" xfId="12763"/>
    <cellStyle name="PrePop Units (2) 2 21" xfId="16757"/>
    <cellStyle name="PrePop Units (2) 2 22" xfId="20390"/>
    <cellStyle name="PrePop Units (2) 2 23" xfId="23092"/>
    <cellStyle name="PrePop Units (2) 2 24" xfId="23228"/>
    <cellStyle name="PrePop Units (2) 2 25" xfId="28598"/>
    <cellStyle name="PrePop Units (2) 2 26" xfId="22940"/>
    <cellStyle name="PrePop Units (2) 2 27" xfId="29084"/>
    <cellStyle name="PrePop Units (2) 2 28" xfId="30869"/>
    <cellStyle name="PrePop Units (2) 2 29" xfId="32640"/>
    <cellStyle name="PrePop Units (2) 2 3" xfId="10403"/>
    <cellStyle name="PrePop Units (2) 2 30" xfId="34380"/>
    <cellStyle name="PrePop Units (2) 2 31" xfId="36068"/>
    <cellStyle name="PrePop Units (2) 2 32" xfId="37682"/>
    <cellStyle name="PrePop Units (2) 2 33" xfId="8796"/>
    <cellStyle name="PrePop Units (2) 2 4" xfId="10838"/>
    <cellStyle name="PrePop Units (2) 2 5" xfId="10469"/>
    <cellStyle name="PrePop Units (2) 2 6" xfId="10758"/>
    <cellStyle name="PrePop Units (2) 2 7" xfId="10873"/>
    <cellStyle name="PrePop Units (2) 2 8" xfId="10391"/>
    <cellStyle name="PrePop Units (2) 2 9" xfId="10687"/>
    <cellStyle name="PrePop Units (2) 20" xfId="11956"/>
    <cellStyle name="PrePop Units (2) 20 10" xfId="20849"/>
    <cellStyle name="PrePop Units (2) 20 11" xfId="21688"/>
    <cellStyle name="PrePop Units (2) 20 12" xfId="22472"/>
    <cellStyle name="PrePop Units (2) 20 13" xfId="26418"/>
    <cellStyle name="PrePop Units (2) 20 14" xfId="29749"/>
    <cellStyle name="PrePop Units (2) 20 15" xfId="31524"/>
    <cellStyle name="PrePop Units (2) 20 16" xfId="33283"/>
    <cellStyle name="PrePop Units (2) 20 17" xfId="35000"/>
    <cellStyle name="PrePop Units (2) 20 18" xfId="36651"/>
    <cellStyle name="PrePop Units (2) 20 19" xfId="38221"/>
    <cellStyle name="PrePop Units (2) 20 2" xfId="13403"/>
    <cellStyle name="PrePop Units (2) 20 20" xfId="39671"/>
    <cellStyle name="PrePop Units (2) 20 21" xfId="40939"/>
    <cellStyle name="PrePop Units (2) 20 22" xfId="42013"/>
    <cellStyle name="PrePop Units (2) 20 3" xfId="14527"/>
    <cellStyle name="PrePop Units (2) 20 4" xfId="15454"/>
    <cellStyle name="PrePop Units (2) 20 5" xfId="16385"/>
    <cellStyle name="PrePop Units (2) 20 6" xfId="17315"/>
    <cellStyle name="PrePop Units (2) 20 7" xfId="18223"/>
    <cellStyle name="PrePop Units (2) 20 8" xfId="19113"/>
    <cellStyle name="PrePop Units (2) 20 9" xfId="19990"/>
    <cellStyle name="PrePop Units (2) 21" xfId="12134"/>
    <cellStyle name="PrePop Units (2) 21 10" xfId="20927"/>
    <cellStyle name="PrePop Units (2) 21 11" xfId="21768"/>
    <cellStyle name="PrePop Units (2) 21 12" xfId="22550"/>
    <cellStyle name="PrePop Units (2) 21 13" xfId="26702"/>
    <cellStyle name="PrePop Units (2) 21 14" xfId="30031"/>
    <cellStyle name="PrePop Units (2) 21 15" xfId="31806"/>
    <cellStyle name="PrePop Units (2) 21 16" xfId="33562"/>
    <cellStyle name="PrePop Units (2) 21 17" xfId="35275"/>
    <cellStyle name="PrePop Units (2) 21 18" xfId="36921"/>
    <cellStyle name="PrePop Units (2) 21 19" xfId="38482"/>
    <cellStyle name="PrePop Units (2) 21 2" xfId="13483"/>
    <cellStyle name="PrePop Units (2) 21 20" xfId="39922"/>
    <cellStyle name="PrePop Units (2) 21 21" xfId="41175"/>
    <cellStyle name="PrePop Units (2) 21 22" xfId="42231"/>
    <cellStyle name="PrePop Units (2) 21 3" xfId="14606"/>
    <cellStyle name="PrePop Units (2) 21 4" xfId="15534"/>
    <cellStyle name="PrePop Units (2) 21 5" xfId="16465"/>
    <cellStyle name="PrePop Units (2) 21 6" xfId="17395"/>
    <cellStyle name="PrePop Units (2) 21 7" xfId="18303"/>
    <cellStyle name="PrePop Units (2) 21 8" xfId="19193"/>
    <cellStyle name="PrePop Units (2) 21 9" xfId="20069"/>
    <cellStyle name="PrePop Units (2) 22" xfId="12317"/>
    <cellStyle name="PrePop Units (2) 22 10" xfId="21002"/>
    <cellStyle name="PrePop Units (2) 22 11" xfId="21841"/>
    <cellStyle name="PrePop Units (2) 22 12" xfId="22622"/>
    <cellStyle name="PrePop Units (2) 22 13" xfId="26291"/>
    <cellStyle name="PrePop Units (2) 22 14" xfId="29622"/>
    <cellStyle name="PrePop Units (2) 22 15" xfId="31397"/>
    <cellStyle name="PrePop Units (2) 22 16" xfId="33160"/>
    <cellStyle name="PrePop Units (2) 22 17" xfId="34878"/>
    <cellStyle name="PrePop Units (2) 22 18" xfId="36531"/>
    <cellStyle name="PrePop Units (2) 22 19" xfId="38105"/>
    <cellStyle name="PrePop Units (2) 22 2" xfId="13563"/>
    <cellStyle name="PrePop Units (2) 22 20" xfId="39558"/>
    <cellStyle name="PrePop Units (2) 22 21" xfId="40831"/>
    <cellStyle name="PrePop Units (2) 22 22" xfId="41910"/>
    <cellStyle name="PrePop Units (2) 22 3" xfId="14682"/>
    <cellStyle name="PrePop Units (2) 22 4" xfId="15613"/>
    <cellStyle name="PrePop Units (2) 22 5" xfId="16542"/>
    <cellStyle name="PrePop Units (2) 22 6" xfId="17471"/>
    <cellStyle name="PrePop Units (2) 22 7" xfId="18378"/>
    <cellStyle name="PrePop Units (2) 22 8" xfId="19267"/>
    <cellStyle name="PrePop Units (2) 22 9" xfId="20141"/>
    <cellStyle name="PrePop Units (2) 23" xfId="12507"/>
    <cellStyle name="PrePop Units (2) 23 10" xfId="21069"/>
    <cellStyle name="PrePop Units (2) 23 11" xfId="21904"/>
    <cellStyle name="PrePop Units (2) 23 12" xfId="22685"/>
    <cellStyle name="PrePop Units (2) 23 2" xfId="13643"/>
    <cellStyle name="PrePop Units (2) 23 3" xfId="14760"/>
    <cellStyle name="PrePop Units (2) 23 4" xfId="15686"/>
    <cellStyle name="PrePop Units (2) 23 5" xfId="16615"/>
    <cellStyle name="PrePop Units (2) 23 6" xfId="17546"/>
    <cellStyle name="PrePop Units (2) 23 7" xfId="18449"/>
    <cellStyle name="PrePop Units (2) 23 8" xfId="19334"/>
    <cellStyle name="PrePop Units (2) 23 9" xfId="20212"/>
    <cellStyle name="PrePop Units (2) 24" xfId="11527"/>
    <cellStyle name="PrePop Units (2) 24 10" xfId="21116"/>
    <cellStyle name="PrePop Units (2) 24 11" xfId="21949"/>
    <cellStyle name="PrePop Units (2) 24 12" xfId="22729"/>
    <cellStyle name="PrePop Units (2) 24 2" xfId="13717"/>
    <cellStyle name="PrePop Units (2) 24 3" xfId="14822"/>
    <cellStyle name="PrePop Units (2) 24 4" xfId="15750"/>
    <cellStyle name="PrePop Units (2) 24 5" xfId="16682"/>
    <cellStyle name="PrePop Units (2) 24 6" xfId="17608"/>
    <cellStyle name="PrePop Units (2) 24 7" xfId="18510"/>
    <cellStyle name="PrePop Units (2) 24 8" xfId="19394"/>
    <cellStyle name="PrePop Units (2) 24 9" xfId="20263"/>
    <cellStyle name="PrePop Units (2) 25" xfId="13782"/>
    <cellStyle name="PrePop Units (2) 26" xfId="13828"/>
    <cellStyle name="PrePop Units (2) 27" xfId="12377"/>
    <cellStyle name="PrePop Units (2) 28" xfId="13922"/>
    <cellStyle name="PrePop Units (2) 29" xfId="10253"/>
    <cellStyle name="PrePop Units (2) 3" xfId="3867"/>
    <cellStyle name="PrePop Units (2) 3 2" xfId="4074"/>
    <cellStyle name="PrePop Units (2) 3 2 2" xfId="8883"/>
    <cellStyle name="PrePop Units (2) 30" xfId="15855"/>
    <cellStyle name="PrePop Units (2) 31" xfId="16783"/>
    <cellStyle name="PrePop Units (2) 32" xfId="17691"/>
    <cellStyle name="PrePop Units (2) 33" xfId="18590"/>
    <cellStyle name="PrePop Units (2) 34" xfId="18518"/>
    <cellStyle name="PrePop Units (2) 35" xfId="20266"/>
    <cellStyle name="PrePop Units (2) 36" xfId="21176"/>
    <cellStyle name="PrePop Units (2) 37" xfId="22902"/>
    <cellStyle name="PrePop Units (2) 38" xfId="23253"/>
    <cellStyle name="PrePop Units (2) 39" xfId="29481"/>
    <cellStyle name="PrePop Units (2) 4" xfId="8961"/>
    <cellStyle name="PrePop Units (2) 40" xfId="31258"/>
    <cellStyle name="PrePop Units (2) 41" xfId="33022"/>
    <cellStyle name="PrePop Units (2) 42" xfId="34742"/>
    <cellStyle name="PrePop Units (2) 43" xfId="36399"/>
    <cellStyle name="PrePop Units (2) 44" xfId="37983"/>
    <cellStyle name="PrePop Units (2) 45" xfId="39452"/>
    <cellStyle name="PrePop Units (2) 46" xfId="40745"/>
    <cellStyle name="PrePop Units (2) 47" xfId="7866"/>
    <cellStyle name="PrePop Units (2) 5" xfId="9039"/>
    <cellStyle name="PrePop Units (2) 6" xfId="9104"/>
    <cellStyle name="PrePop Units (2) 7" xfId="9148"/>
    <cellStyle name="PrePop Units (2) 8" xfId="9310"/>
    <cellStyle name="PrePop Units (2) 9" xfId="9800"/>
    <cellStyle name="Price" xfId="3868"/>
    <cellStyle name="pricing" xfId="3869"/>
    <cellStyle name="pricing 2" xfId="7867"/>
    <cellStyle name="ProductName" xfId="3870"/>
    <cellStyle name="ProductName 2" xfId="7769"/>
    <cellStyle name="Produkte Normal" xfId="43393"/>
    <cellStyle name="PSChar" xfId="3871"/>
    <cellStyle name="PSChar 2" xfId="7869"/>
    <cellStyle name="PSChar 3" xfId="7770"/>
    <cellStyle name="PSDate" xfId="3872"/>
    <cellStyle name="PSDec" xfId="3873"/>
    <cellStyle name="PSHeading" xfId="3874"/>
    <cellStyle name="PSHeading 2" xfId="4075"/>
    <cellStyle name="PSHeading 2 2" xfId="7868"/>
    <cellStyle name="PSHeading 3" xfId="7771"/>
    <cellStyle name="PSInt" xfId="3875"/>
    <cellStyle name="PSSpacer" xfId="3876"/>
    <cellStyle name="PSSpacer 2" xfId="7870"/>
    <cellStyle name="PSSpacer 3" xfId="7772"/>
    <cellStyle name="QDF" xfId="3877"/>
    <cellStyle name="QDF 2" xfId="7773"/>
    <cellStyle name="regstoresfromspecstores" xfId="3878"/>
    <cellStyle name="regstoresfromspecstores 2" xfId="7871"/>
    <cellStyle name="regstoresfromspecstores 3" xfId="7774"/>
    <cellStyle name="RevList" xfId="3879"/>
    <cellStyle name="RevList 2" xfId="7872"/>
    <cellStyle name="RowHeader" xfId="3880"/>
    <cellStyle name="RowHeader 2" xfId="7775"/>
    <cellStyle name="sbt2" xfId="3881"/>
    <cellStyle name="sbt2 10" xfId="9895"/>
    <cellStyle name="sbt2 11" xfId="9976"/>
    <cellStyle name="sbt2 12" xfId="10057"/>
    <cellStyle name="sbt2 13" xfId="10124"/>
    <cellStyle name="sbt2 14" xfId="10174"/>
    <cellStyle name="sbt2 15" xfId="10225"/>
    <cellStyle name="sbt2 15 10" xfId="20462"/>
    <cellStyle name="sbt2 15 11" xfId="21298"/>
    <cellStyle name="sbt2 15 12" xfId="22095"/>
    <cellStyle name="sbt2 15 13" xfId="26648"/>
    <cellStyle name="sbt2 15 14" xfId="29977"/>
    <cellStyle name="sbt2 15 15" xfId="31752"/>
    <cellStyle name="sbt2 15 16" xfId="33510"/>
    <cellStyle name="sbt2 15 17" xfId="35224"/>
    <cellStyle name="sbt2 15 18" xfId="36871"/>
    <cellStyle name="sbt2 15 19" xfId="38434"/>
    <cellStyle name="sbt2 15 2" xfId="13012"/>
    <cellStyle name="sbt2 15 20" xfId="39876"/>
    <cellStyle name="sbt2 15 21" xfId="41130"/>
    <cellStyle name="sbt2 15 22" xfId="42190"/>
    <cellStyle name="sbt2 15 3" xfId="14138"/>
    <cellStyle name="sbt2 15 4" xfId="15068"/>
    <cellStyle name="sbt2 15 5" xfId="15995"/>
    <cellStyle name="sbt2 15 6" xfId="16925"/>
    <cellStyle name="sbt2 15 7" xfId="17833"/>
    <cellStyle name="sbt2 15 8" xfId="18723"/>
    <cellStyle name="sbt2 15 9" xfId="19601"/>
    <cellStyle name="sbt2 16" xfId="10480"/>
    <cellStyle name="sbt2 16 10" xfId="20542"/>
    <cellStyle name="sbt2 16 11" xfId="21378"/>
    <cellStyle name="sbt2 16 12" xfId="22172"/>
    <cellStyle name="sbt2 16 13" xfId="26626"/>
    <cellStyle name="sbt2 16 14" xfId="29955"/>
    <cellStyle name="sbt2 16 15" xfId="31730"/>
    <cellStyle name="sbt2 16 16" xfId="33488"/>
    <cellStyle name="sbt2 16 17" xfId="35202"/>
    <cellStyle name="sbt2 16 18" xfId="36849"/>
    <cellStyle name="sbt2 16 19" xfId="38412"/>
    <cellStyle name="sbt2 16 2" xfId="13092"/>
    <cellStyle name="sbt2 16 20" xfId="39854"/>
    <cellStyle name="sbt2 16 21" xfId="41108"/>
    <cellStyle name="sbt2 16 22" xfId="42168"/>
    <cellStyle name="sbt2 16 3" xfId="14218"/>
    <cellStyle name="sbt2 16 4" xfId="15147"/>
    <cellStyle name="sbt2 16 5" xfId="16075"/>
    <cellStyle name="sbt2 16 6" xfId="17005"/>
    <cellStyle name="sbt2 16 7" xfId="17913"/>
    <cellStyle name="sbt2 16 8" xfId="18803"/>
    <cellStyle name="sbt2 16 9" xfId="19681"/>
    <cellStyle name="sbt2 17" xfId="10680"/>
    <cellStyle name="sbt2 17 10" xfId="20621"/>
    <cellStyle name="sbt2 17 11" xfId="21458"/>
    <cellStyle name="sbt2 17 12" xfId="22249"/>
    <cellStyle name="sbt2 17 13" xfId="26668"/>
    <cellStyle name="sbt2 17 14" xfId="29997"/>
    <cellStyle name="sbt2 17 15" xfId="31772"/>
    <cellStyle name="sbt2 17 16" xfId="33530"/>
    <cellStyle name="sbt2 17 17" xfId="35244"/>
    <cellStyle name="sbt2 17 18" xfId="36891"/>
    <cellStyle name="sbt2 17 19" xfId="38454"/>
    <cellStyle name="sbt2 17 2" xfId="13172"/>
    <cellStyle name="sbt2 17 20" xfId="39896"/>
    <cellStyle name="sbt2 17 21" xfId="41150"/>
    <cellStyle name="sbt2 17 22" xfId="42210"/>
    <cellStyle name="sbt2 17 3" xfId="14298"/>
    <cellStyle name="sbt2 17 4" xfId="15226"/>
    <cellStyle name="sbt2 17 5" xfId="16155"/>
    <cellStyle name="sbt2 17 6" xfId="17085"/>
    <cellStyle name="sbt2 17 7" xfId="17993"/>
    <cellStyle name="sbt2 17 8" xfId="18883"/>
    <cellStyle name="sbt2 17 9" xfId="19761"/>
    <cellStyle name="sbt2 18" xfId="11065"/>
    <cellStyle name="sbt2 18 10" xfId="20700"/>
    <cellStyle name="sbt2 18 11" xfId="21538"/>
    <cellStyle name="sbt2 18 12" xfId="22326"/>
    <cellStyle name="sbt2 18 13" xfId="26593"/>
    <cellStyle name="sbt2 18 14" xfId="29923"/>
    <cellStyle name="sbt2 18 15" xfId="31698"/>
    <cellStyle name="sbt2 18 16" xfId="33457"/>
    <cellStyle name="sbt2 18 17" xfId="35171"/>
    <cellStyle name="sbt2 18 18" xfId="36818"/>
    <cellStyle name="sbt2 18 19" xfId="38382"/>
    <cellStyle name="sbt2 18 2" xfId="13252"/>
    <cellStyle name="sbt2 18 20" xfId="39824"/>
    <cellStyle name="sbt2 18 21" xfId="41082"/>
    <cellStyle name="sbt2 18 22" xfId="42145"/>
    <cellStyle name="sbt2 18 3" xfId="14377"/>
    <cellStyle name="sbt2 18 4" xfId="15305"/>
    <cellStyle name="sbt2 18 5" xfId="16235"/>
    <cellStyle name="sbt2 18 6" xfId="17165"/>
    <cellStyle name="sbt2 18 7" xfId="18073"/>
    <cellStyle name="sbt2 18 8" xfId="18963"/>
    <cellStyle name="sbt2 18 9" xfId="19840"/>
    <cellStyle name="sbt2 19" xfId="11105"/>
    <cellStyle name="sbt2 19 10" xfId="20779"/>
    <cellStyle name="sbt2 19 11" xfId="21617"/>
    <cellStyle name="sbt2 19 12" xfId="22403"/>
    <cellStyle name="sbt2 19 13" xfId="26792"/>
    <cellStyle name="sbt2 19 14" xfId="30120"/>
    <cellStyle name="sbt2 19 15" xfId="31895"/>
    <cellStyle name="sbt2 19 16" xfId="33650"/>
    <cellStyle name="sbt2 19 17" xfId="35363"/>
    <cellStyle name="sbt2 19 18" xfId="37008"/>
    <cellStyle name="sbt2 19 19" xfId="38567"/>
    <cellStyle name="sbt2 19 2" xfId="13332"/>
    <cellStyle name="sbt2 19 20" xfId="40006"/>
    <cellStyle name="sbt2 19 21" xfId="41258"/>
    <cellStyle name="sbt2 19 22" xfId="42312"/>
    <cellStyle name="sbt2 19 3" xfId="14456"/>
    <cellStyle name="sbt2 19 4" xfId="15385"/>
    <cellStyle name="sbt2 19 5" xfId="16314"/>
    <cellStyle name="sbt2 19 6" xfId="17244"/>
    <cellStyle name="sbt2 19 7" xfId="18152"/>
    <cellStyle name="sbt2 19 8" xfId="19042"/>
    <cellStyle name="sbt2 19 9" xfId="19919"/>
    <cellStyle name="sbt2 2" xfId="8806"/>
    <cellStyle name="sbt2 2 10" xfId="11499"/>
    <cellStyle name="sbt2 2 11" xfId="12335"/>
    <cellStyle name="sbt2 2 12" xfId="12104"/>
    <cellStyle name="sbt2 2 13" xfId="12414"/>
    <cellStyle name="sbt2 2 14" xfId="12732"/>
    <cellStyle name="sbt2 2 15" xfId="12754"/>
    <cellStyle name="sbt2 2 16" xfId="14996"/>
    <cellStyle name="sbt2 2 17" xfId="15781"/>
    <cellStyle name="sbt2 2 18" xfId="15817"/>
    <cellStyle name="sbt2 2 19" xfId="12288"/>
    <cellStyle name="sbt2 2 2" xfId="9483"/>
    <cellStyle name="sbt2 2 2 2" xfId="9619"/>
    <cellStyle name="sbt2 2 20" xfId="12647"/>
    <cellStyle name="sbt2 2 21" xfId="17532"/>
    <cellStyle name="sbt2 2 22" xfId="21144"/>
    <cellStyle name="sbt2 2 23" xfId="23102"/>
    <cellStyle name="sbt2 2 24" xfId="23390"/>
    <cellStyle name="sbt2 2 25" xfId="28587"/>
    <cellStyle name="sbt2 2 26" xfId="23486"/>
    <cellStyle name="sbt2 2 27" xfId="28951"/>
    <cellStyle name="sbt2 2 28" xfId="30737"/>
    <cellStyle name="sbt2 2 29" xfId="32510"/>
    <cellStyle name="sbt2 2 3" xfId="10411"/>
    <cellStyle name="sbt2 2 30" xfId="34254"/>
    <cellStyle name="sbt2 2 31" xfId="35952"/>
    <cellStyle name="sbt2 2 32" xfId="37579"/>
    <cellStyle name="sbt2 2 4" xfId="10983"/>
    <cellStyle name="sbt2 2 5" xfId="11226"/>
    <cellStyle name="sbt2 2 6" xfId="11417"/>
    <cellStyle name="sbt2 2 7" xfId="11608"/>
    <cellStyle name="sbt2 2 8" xfId="11789"/>
    <cellStyle name="sbt2 2 9" xfId="11972"/>
    <cellStyle name="sbt2 20" xfId="11299"/>
    <cellStyle name="sbt2 20 10" xfId="20858"/>
    <cellStyle name="sbt2 20 11" xfId="21697"/>
    <cellStyle name="sbt2 20 12" xfId="22481"/>
    <cellStyle name="sbt2 20 13" xfId="26505"/>
    <cellStyle name="sbt2 20 14" xfId="29836"/>
    <cellStyle name="sbt2 20 15" xfId="31611"/>
    <cellStyle name="sbt2 20 16" xfId="33370"/>
    <cellStyle name="sbt2 20 17" xfId="35086"/>
    <cellStyle name="sbt2 20 18" xfId="36736"/>
    <cellStyle name="sbt2 20 19" xfId="38305"/>
    <cellStyle name="sbt2 20 2" xfId="13412"/>
    <cellStyle name="sbt2 20 20" xfId="39754"/>
    <cellStyle name="sbt2 20 21" xfId="41021"/>
    <cellStyle name="sbt2 20 22" xfId="42094"/>
    <cellStyle name="sbt2 20 3" xfId="14536"/>
    <cellStyle name="sbt2 20 4" xfId="15463"/>
    <cellStyle name="sbt2 20 5" xfId="16394"/>
    <cellStyle name="sbt2 20 6" xfId="17324"/>
    <cellStyle name="sbt2 20 7" xfId="18232"/>
    <cellStyle name="sbt2 20 8" xfId="19122"/>
    <cellStyle name="sbt2 20 9" xfId="19999"/>
    <cellStyle name="sbt2 21" xfId="11491"/>
    <cellStyle name="sbt2 21 10" xfId="20936"/>
    <cellStyle name="sbt2 21 11" xfId="21777"/>
    <cellStyle name="sbt2 21 12" xfId="22559"/>
    <cellStyle name="sbt2 21 13" xfId="26904"/>
    <cellStyle name="sbt2 21 14" xfId="30232"/>
    <cellStyle name="sbt2 21 15" xfId="32007"/>
    <cellStyle name="sbt2 21 16" xfId="33762"/>
    <cellStyle name="sbt2 21 17" xfId="35475"/>
    <cellStyle name="sbt2 21 18" xfId="37119"/>
    <cellStyle name="sbt2 21 19" xfId="38675"/>
    <cellStyle name="sbt2 21 2" xfId="13492"/>
    <cellStyle name="sbt2 21 20" xfId="40109"/>
    <cellStyle name="sbt2 21 21" xfId="41356"/>
    <cellStyle name="sbt2 21 22" xfId="42407"/>
    <cellStyle name="sbt2 21 3" xfId="14615"/>
    <cellStyle name="sbt2 21 4" xfId="15543"/>
    <cellStyle name="sbt2 21 5" xfId="16474"/>
    <cellStyle name="sbt2 21 6" xfId="17404"/>
    <cellStyle name="sbt2 21 7" xfId="18312"/>
    <cellStyle name="sbt2 21 8" xfId="19202"/>
    <cellStyle name="sbt2 21 9" xfId="20078"/>
    <cellStyle name="sbt2 22" xfId="10510"/>
    <cellStyle name="sbt2 22 10" xfId="21009"/>
    <cellStyle name="sbt2 22 11" xfId="21848"/>
    <cellStyle name="sbt2 22 12" xfId="22629"/>
    <cellStyle name="sbt2 22 13" xfId="26379"/>
    <cellStyle name="sbt2 22 14" xfId="29710"/>
    <cellStyle name="sbt2 22 15" xfId="31485"/>
    <cellStyle name="sbt2 22 16" xfId="33246"/>
    <cellStyle name="sbt2 22 17" xfId="34964"/>
    <cellStyle name="sbt2 22 18" xfId="36617"/>
    <cellStyle name="sbt2 22 19" xfId="38191"/>
    <cellStyle name="sbt2 22 2" xfId="13572"/>
    <cellStyle name="sbt2 22 20" xfId="39644"/>
    <cellStyle name="sbt2 22 21" xfId="40916"/>
    <cellStyle name="sbt2 22 22" xfId="41995"/>
    <cellStyle name="sbt2 22 3" xfId="14691"/>
    <cellStyle name="sbt2 22 4" xfId="15620"/>
    <cellStyle name="sbt2 22 5" xfId="16551"/>
    <cellStyle name="sbt2 22 6" xfId="17479"/>
    <cellStyle name="sbt2 22 7" xfId="18386"/>
    <cellStyle name="sbt2 22 8" xfId="19274"/>
    <cellStyle name="sbt2 22 9" xfId="20148"/>
    <cellStyle name="sbt2 23" xfId="12074"/>
    <cellStyle name="sbt2 23 10" xfId="21073"/>
    <cellStyle name="sbt2 23 11" xfId="21908"/>
    <cellStyle name="sbt2 23 12" xfId="22689"/>
    <cellStyle name="sbt2 23 2" xfId="13652"/>
    <cellStyle name="sbt2 23 3" xfId="14768"/>
    <cellStyle name="sbt2 23 4" xfId="15693"/>
    <cellStyle name="sbt2 23 5" xfId="16623"/>
    <cellStyle name="sbt2 23 6" xfId="17554"/>
    <cellStyle name="sbt2 23 7" xfId="18457"/>
    <cellStyle name="sbt2 23 8" xfId="19341"/>
    <cellStyle name="sbt2 23 9" xfId="20218"/>
    <cellStyle name="sbt2 24" xfId="12674"/>
    <cellStyle name="sbt2 24 10" xfId="21119"/>
    <cellStyle name="sbt2 24 11" xfId="21950"/>
    <cellStyle name="sbt2 24 12" xfId="22730"/>
    <cellStyle name="sbt2 24 2" xfId="13724"/>
    <cellStyle name="sbt2 24 3" xfId="14826"/>
    <cellStyle name="sbt2 24 4" xfId="15755"/>
    <cellStyle name="sbt2 24 5" xfId="16688"/>
    <cellStyle name="sbt2 24 6" xfId="17612"/>
    <cellStyle name="sbt2 24 7" xfId="18514"/>
    <cellStyle name="sbt2 24 8" xfId="19397"/>
    <cellStyle name="sbt2 24 9" xfId="20265"/>
    <cellStyle name="sbt2 25" xfId="13786"/>
    <cellStyle name="sbt2 26" xfId="13829"/>
    <cellStyle name="sbt2 27" xfId="10580"/>
    <cellStyle name="sbt2 28" xfId="12409"/>
    <cellStyle name="sbt2 29" xfId="12868"/>
    <cellStyle name="sbt2 3" xfId="8893"/>
    <cellStyle name="sbt2 30" xfId="15753"/>
    <cellStyle name="sbt2 31" xfId="13867"/>
    <cellStyle name="sbt2 32" xfId="13974"/>
    <cellStyle name="sbt2 33" xfId="10351"/>
    <cellStyle name="sbt2 34" xfId="12499"/>
    <cellStyle name="sbt2 35" xfId="17633"/>
    <cellStyle name="sbt2 36" xfId="10601"/>
    <cellStyle name="sbt2 37" xfId="22909"/>
    <cellStyle name="sbt2 38" xfId="23416"/>
    <cellStyle name="sbt2 39" xfId="29470"/>
    <cellStyle name="sbt2 4" xfId="8971"/>
    <cellStyle name="sbt2 40" xfId="31247"/>
    <cellStyle name="sbt2 41" xfId="33012"/>
    <cellStyle name="sbt2 42" xfId="34733"/>
    <cellStyle name="sbt2 43" xfId="36393"/>
    <cellStyle name="sbt2 44" xfId="37977"/>
    <cellStyle name="sbt2 45" xfId="39446"/>
    <cellStyle name="sbt2 46" xfId="40743"/>
    <cellStyle name="sbt2 47" xfId="7873"/>
    <cellStyle name="sbt2 48" xfId="7776"/>
    <cellStyle name="sbt2 5" xfId="9048"/>
    <cellStyle name="sbt2 6" xfId="9111"/>
    <cellStyle name="sbt2 7" xfId="9149"/>
    <cellStyle name="sbt2 8" xfId="9311"/>
    <cellStyle name="sbt2 9" xfId="9810"/>
    <cellStyle name="shade" xfId="3882"/>
    <cellStyle name="shade 2" xfId="7777"/>
    <cellStyle name="SHADEDSTORES" xfId="3883"/>
    <cellStyle name="SHADEDSTORES 2" xfId="7874"/>
    <cellStyle name="SHADEDSTORES 3" xfId="7778"/>
    <cellStyle name="specstores" xfId="3884"/>
    <cellStyle name="specstores 2" xfId="7875"/>
    <cellStyle name="specstores 3" xfId="7779"/>
    <cellStyle name="Standaard 115" xfId="7876"/>
    <cellStyle name="STANDARD" xfId="3885"/>
    <cellStyle name="Style 1" xfId="3886"/>
    <cellStyle name="Style 1 2" xfId="8663"/>
    <cellStyle name="Style 1 3" xfId="7780"/>
    <cellStyle name="Style 1 4" xfId="43394"/>
    <cellStyle name="Subheading" xfId="3887"/>
    <cellStyle name="Subheading 2" xfId="4076"/>
    <cellStyle name="Subheading 3" xfId="7781"/>
    <cellStyle name="subt1" xfId="3888"/>
    <cellStyle name="subt1 10" xfId="9898"/>
    <cellStyle name="subt1 11" xfId="9979"/>
    <cellStyle name="subt1 12" xfId="10059"/>
    <cellStyle name="subt1 13" xfId="10126"/>
    <cellStyle name="subt1 14" xfId="10175"/>
    <cellStyle name="subt1 15" xfId="10228"/>
    <cellStyle name="subt1 15 10" xfId="20466"/>
    <cellStyle name="subt1 15 11" xfId="21302"/>
    <cellStyle name="subt1 15 12" xfId="22099"/>
    <cellStyle name="subt1 15 13" xfId="26647"/>
    <cellStyle name="subt1 15 14" xfId="29976"/>
    <cellStyle name="subt1 15 15" xfId="31751"/>
    <cellStyle name="subt1 15 16" xfId="33509"/>
    <cellStyle name="subt1 15 17" xfId="35223"/>
    <cellStyle name="subt1 15 18" xfId="36870"/>
    <cellStyle name="subt1 15 19" xfId="38433"/>
    <cellStyle name="subt1 15 2" xfId="13016"/>
    <cellStyle name="subt1 15 20" xfId="39875"/>
    <cellStyle name="subt1 15 21" xfId="41129"/>
    <cellStyle name="subt1 15 22" xfId="42189"/>
    <cellStyle name="subt1 15 3" xfId="14142"/>
    <cellStyle name="subt1 15 4" xfId="15072"/>
    <cellStyle name="subt1 15 5" xfId="15999"/>
    <cellStyle name="subt1 15 6" xfId="16929"/>
    <cellStyle name="subt1 15 7" xfId="17837"/>
    <cellStyle name="subt1 15 8" xfId="18727"/>
    <cellStyle name="subt1 15 9" xfId="19605"/>
    <cellStyle name="subt1 16" xfId="11075"/>
    <cellStyle name="subt1 16 10" xfId="20546"/>
    <cellStyle name="subt1 16 11" xfId="21382"/>
    <cellStyle name="subt1 16 12" xfId="22176"/>
    <cellStyle name="subt1 16 13" xfId="26627"/>
    <cellStyle name="subt1 16 14" xfId="29956"/>
    <cellStyle name="subt1 16 15" xfId="31731"/>
    <cellStyle name="subt1 16 16" xfId="33489"/>
    <cellStyle name="subt1 16 17" xfId="35203"/>
    <cellStyle name="subt1 16 18" xfId="36850"/>
    <cellStyle name="subt1 16 19" xfId="38413"/>
    <cellStyle name="subt1 16 2" xfId="13096"/>
    <cellStyle name="subt1 16 20" xfId="39855"/>
    <cellStyle name="subt1 16 21" xfId="41109"/>
    <cellStyle name="subt1 16 22" xfId="42169"/>
    <cellStyle name="subt1 16 3" xfId="14222"/>
    <cellStyle name="subt1 16 4" xfId="15151"/>
    <cellStyle name="subt1 16 5" xfId="16079"/>
    <cellStyle name="subt1 16 6" xfId="17009"/>
    <cellStyle name="subt1 16 7" xfId="17917"/>
    <cellStyle name="subt1 16 8" xfId="18807"/>
    <cellStyle name="subt1 16 9" xfId="19685"/>
    <cellStyle name="subt1 17" xfId="9518"/>
    <cellStyle name="subt1 17 10" xfId="20625"/>
    <cellStyle name="subt1 17 11" xfId="21462"/>
    <cellStyle name="subt1 17 12" xfId="22253"/>
    <cellStyle name="subt1 17 13" xfId="26667"/>
    <cellStyle name="subt1 17 14" xfId="29996"/>
    <cellStyle name="subt1 17 15" xfId="31771"/>
    <cellStyle name="subt1 17 16" xfId="33529"/>
    <cellStyle name="subt1 17 17" xfId="35243"/>
    <cellStyle name="subt1 17 18" xfId="36890"/>
    <cellStyle name="subt1 17 19" xfId="38453"/>
    <cellStyle name="subt1 17 2" xfId="13176"/>
    <cellStyle name="subt1 17 20" xfId="39895"/>
    <cellStyle name="subt1 17 21" xfId="41149"/>
    <cellStyle name="subt1 17 22" xfId="42209"/>
    <cellStyle name="subt1 17 3" xfId="14302"/>
    <cellStyle name="subt1 17 4" xfId="15230"/>
    <cellStyle name="subt1 17 5" xfId="16159"/>
    <cellStyle name="subt1 17 6" xfId="17089"/>
    <cellStyle name="subt1 17 7" xfId="17997"/>
    <cellStyle name="subt1 17 8" xfId="18887"/>
    <cellStyle name="subt1 17 9" xfId="19765"/>
    <cellStyle name="subt1 18" xfId="9331"/>
    <cellStyle name="subt1 18 10" xfId="20704"/>
    <cellStyle name="subt1 18 11" xfId="21542"/>
    <cellStyle name="subt1 18 12" xfId="22330"/>
    <cellStyle name="subt1 18 13" xfId="26599"/>
    <cellStyle name="subt1 18 14" xfId="29928"/>
    <cellStyle name="subt1 18 15" xfId="31703"/>
    <cellStyle name="subt1 18 16" xfId="33462"/>
    <cellStyle name="subt1 18 17" xfId="35176"/>
    <cellStyle name="subt1 18 18" xfId="36823"/>
    <cellStyle name="subt1 18 19" xfId="38386"/>
    <cellStyle name="subt1 18 2" xfId="13256"/>
    <cellStyle name="subt1 18 20" xfId="39828"/>
    <cellStyle name="subt1 18 21" xfId="41084"/>
    <cellStyle name="subt1 18 22" xfId="42146"/>
    <cellStyle name="subt1 18 3" xfId="14381"/>
    <cellStyle name="subt1 18 4" xfId="15309"/>
    <cellStyle name="subt1 18 5" xfId="16239"/>
    <cellStyle name="subt1 18 6" xfId="17169"/>
    <cellStyle name="subt1 18 7" xfId="18077"/>
    <cellStyle name="subt1 18 8" xfId="18967"/>
    <cellStyle name="subt1 18 9" xfId="19844"/>
    <cellStyle name="subt1 19" xfId="9330"/>
    <cellStyle name="subt1 19 10" xfId="20783"/>
    <cellStyle name="subt1 19 11" xfId="21621"/>
    <cellStyle name="subt1 19 12" xfId="22407"/>
    <cellStyle name="subt1 19 13" xfId="26791"/>
    <cellStyle name="subt1 19 14" xfId="30119"/>
    <cellStyle name="subt1 19 15" xfId="31894"/>
    <cellStyle name="subt1 19 16" xfId="33649"/>
    <cellStyle name="subt1 19 17" xfId="35362"/>
    <cellStyle name="subt1 19 18" xfId="37007"/>
    <cellStyle name="subt1 19 19" xfId="38566"/>
    <cellStyle name="subt1 19 2" xfId="13336"/>
    <cellStyle name="subt1 19 20" xfId="40005"/>
    <cellStyle name="subt1 19 21" xfId="41257"/>
    <cellStyle name="subt1 19 22" xfId="42311"/>
    <cellStyle name="subt1 19 3" xfId="14460"/>
    <cellStyle name="subt1 19 4" xfId="15389"/>
    <cellStyle name="subt1 19 5" xfId="16318"/>
    <cellStyle name="subt1 19 6" xfId="17248"/>
    <cellStyle name="subt1 19 7" xfId="18156"/>
    <cellStyle name="subt1 19 8" xfId="19046"/>
    <cellStyle name="subt1 19 9" xfId="19923"/>
    <cellStyle name="subt1 2" xfId="3889"/>
    <cellStyle name="subt1 2 10" xfId="11925"/>
    <cellStyle name="subt1 2 11" xfId="11673"/>
    <cellStyle name="subt1 2 12" xfId="11695"/>
    <cellStyle name="subt1 2 13" xfId="10452"/>
    <cellStyle name="subt1 2 14" xfId="12586"/>
    <cellStyle name="subt1 2 15" xfId="12737"/>
    <cellStyle name="subt1 2 16" xfId="9488"/>
    <cellStyle name="subt1 2 17" xfId="10659"/>
    <cellStyle name="subt1 2 18" xfId="15810"/>
    <cellStyle name="subt1 2 19" xfId="10797"/>
    <cellStyle name="subt1 2 2" xfId="9486"/>
    <cellStyle name="subt1 2 2 2" xfId="9620"/>
    <cellStyle name="subt1 2 20" xfId="16794"/>
    <cellStyle name="subt1 2 21" xfId="12564"/>
    <cellStyle name="subt1 2 22" xfId="12419"/>
    <cellStyle name="subt1 2 23" xfId="23106"/>
    <cellStyle name="subt1 2 24" xfId="26414"/>
    <cellStyle name="subt1 2 25" xfId="22948"/>
    <cellStyle name="subt1 2 26" xfId="29090"/>
    <cellStyle name="subt1 2 27" xfId="30875"/>
    <cellStyle name="subt1 2 28" xfId="32646"/>
    <cellStyle name="subt1 2 29" xfId="34386"/>
    <cellStyle name="subt1 2 3" xfId="10415"/>
    <cellStyle name="subt1 2 30" xfId="36074"/>
    <cellStyle name="subt1 2 31" xfId="37688"/>
    <cellStyle name="subt1 2 32" xfId="39202"/>
    <cellStyle name="subt1 2 33" xfId="8810"/>
    <cellStyle name="subt1 2 34" xfId="7783"/>
    <cellStyle name="subt1 2 4" xfId="10685"/>
    <cellStyle name="subt1 2 5" xfId="10447"/>
    <cellStyle name="subt1 2 6" xfId="10682"/>
    <cellStyle name="subt1 2 7" xfId="10786"/>
    <cellStyle name="subt1 2 8" xfId="10448"/>
    <cellStyle name="subt1 2 9" xfId="10608"/>
    <cellStyle name="subt1 20" xfId="10266"/>
    <cellStyle name="subt1 20 10" xfId="20862"/>
    <cellStyle name="subt1 20 11" xfId="21701"/>
    <cellStyle name="subt1 20 12" xfId="22485"/>
    <cellStyle name="subt1 20 13" xfId="26511"/>
    <cellStyle name="subt1 20 14" xfId="29842"/>
    <cellStyle name="subt1 20 15" xfId="31617"/>
    <cellStyle name="subt1 20 16" xfId="33376"/>
    <cellStyle name="subt1 20 17" xfId="35090"/>
    <cellStyle name="subt1 20 18" xfId="36740"/>
    <cellStyle name="subt1 20 19" xfId="38309"/>
    <cellStyle name="subt1 20 2" xfId="13416"/>
    <cellStyle name="subt1 20 20" xfId="39757"/>
    <cellStyle name="subt1 20 21" xfId="41023"/>
    <cellStyle name="subt1 20 22" xfId="42095"/>
    <cellStyle name="subt1 20 3" xfId="14540"/>
    <cellStyle name="subt1 20 4" xfId="15467"/>
    <cellStyle name="subt1 20 5" xfId="16398"/>
    <cellStyle name="subt1 20 6" xfId="17328"/>
    <cellStyle name="subt1 20 7" xfId="18236"/>
    <cellStyle name="subt1 20 8" xfId="19126"/>
    <cellStyle name="subt1 20 9" xfId="20003"/>
    <cellStyle name="subt1 21" xfId="10477"/>
    <cellStyle name="subt1 21 10" xfId="20940"/>
    <cellStyle name="subt1 21 11" xfId="21781"/>
    <cellStyle name="subt1 21 12" xfId="22563"/>
    <cellStyle name="subt1 21 13" xfId="26903"/>
    <cellStyle name="subt1 21 14" xfId="30231"/>
    <cellStyle name="subt1 21 15" xfId="32006"/>
    <cellStyle name="subt1 21 16" xfId="33761"/>
    <cellStyle name="subt1 21 17" xfId="35474"/>
    <cellStyle name="subt1 21 18" xfId="37118"/>
    <cellStyle name="subt1 21 19" xfId="38674"/>
    <cellStyle name="subt1 21 2" xfId="13496"/>
    <cellStyle name="subt1 21 20" xfId="40108"/>
    <cellStyle name="subt1 21 21" xfId="41355"/>
    <cellStyle name="subt1 21 22" xfId="42406"/>
    <cellStyle name="subt1 21 3" xfId="14619"/>
    <cellStyle name="subt1 21 4" xfId="15547"/>
    <cellStyle name="subt1 21 5" xfId="16478"/>
    <cellStyle name="subt1 21 6" xfId="17408"/>
    <cellStyle name="subt1 21 7" xfId="18316"/>
    <cellStyle name="subt1 21 8" xfId="19206"/>
    <cellStyle name="subt1 21 9" xfId="20082"/>
    <cellStyle name="subt1 22" xfId="10630"/>
    <cellStyle name="subt1 22 10" xfId="21013"/>
    <cellStyle name="subt1 22 11" xfId="21852"/>
    <cellStyle name="subt1 22 12" xfId="22633"/>
    <cellStyle name="subt1 22 13" xfId="26610"/>
    <cellStyle name="subt1 22 14" xfId="29939"/>
    <cellStyle name="subt1 22 15" xfId="31714"/>
    <cellStyle name="subt1 22 16" xfId="33472"/>
    <cellStyle name="subt1 22 17" xfId="35186"/>
    <cellStyle name="subt1 22 18" xfId="36833"/>
    <cellStyle name="subt1 22 19" xfId="38396"/>
    <cellStyle name="subt1 22 2" xfId="13576"/>
    <cellStyle name="subt1 22 20" xfId="39838"/>
    <cellStyle name="subt1 22 21" xfId="41093"/>
    <cellStyle name="subt1 22 22" xfId="42153"/>
    <cellStyle name="subt1 22 3" xfId="14695"/>
    <cellStyle name="subt1 22 4" xfId="15624"/>
    <cellStyle name="subt1 22 5" xfId="16555"/>
    <cellStyle name="subt1 22 6" xfId="17483"/>
    <cellStyle name="subt1 22 7" xfId="18390"/>
    <cellStyle name="subt1 22 8" xfId="19278"/>
    <cellStyle name="subt1 22 9" xfId="20152"/>
    <cellStyle name="subt1 23" xfId="12383"/>
    <cellStyle name="subt1 23 10" xfId="21077"/>
    <cellStyle name="subt1 23 11" xfId="21912"/>
    <cellStyle name="subt1 23 12" xfId="22693"/>
    <cellStyle name="subt1 23 2" xfId="13656"/>
    <cellStyle name="subt1 23 3" xfId="14772"/>
    <cellStyle name="subt1 23 4" xfId="15697"/>
    <cellStyle name="subt1 23 5" xfId="16627"/>
    <cellStyle name="subt1 23 6" xfId="17558"/>
    <cellStyle name="subt1 23 7" xfId="18461"/>
    <cellStyle name="subt1 23 8" xfId="19345"/>
    <cellStyle name="subt1 23 9" xfId="20222"/>
    <cellStyle name="subt1 24" xfId="12389"/>
    <cellStyle name="subt1 24 10" xfId="21121"/>
    <cellStyle name="subt1 24 11" xfId="21951"/>
    <cellStyle name="subt1 24 12" xfId="22731"/>
    <cellStyle name="subt1 24 2" xfId="13728"/>
    <cellStyle name="subt1 24 3" xfId="14828"/>
    <cellStyle name="subt1 24 4" xfId="15758"/>
    <cellStyle name="subt1 24 5" xfId="16689"/>
    <cellStyle name="subt1 24 6" xfId="17613"/>
    <cellStyle name="subt1 24 7" xfId="18517"/>
    <cellStyle name="subt1 24 8" xfId="19398"/>
    <cellStyle name="subt1 24 9" xfId="20267"/>
    <cellStyle name="subt1 25" xfId="13790"/>
    <cellStyle name="subt1 26" xfId="13830"/>
    <cellStyle name="subt1 27" xfId="10444"/>
    <cellStyle name="subt1 28" xfId="14871"/>
    <cellStyle name="subt1 29" xfId="14923"/>
    <cellStyle name="subt1 3" xfId="3890"/>
    <cellStyle name="subt1 3 2" xfId="8897"/>
    <cellStyle name="subt1 3 3" xfId="7784"/>
    <cellStyle name="subt1 30" xfId="16765"/>
    <cellStyle name="subt1 31" xfId="17675"/>
    <cellStyle name="subt1 32" xfId="18575"/>
    <cellStyle name="subt1 33" xfId="19453"/>
    <cellStyle name="subt1 34" xfId="20291"/>
    <cellStyle name="subt1 35" xfId="20383"/>
    <cellStyle name="subt1 36" xfId="21977"/>
    <cellStyle name="subt1 37" xfId="22913"/>
    <cellStyle name="subt1 38" xfId="26507"/>
    <cellStyle name="subt1 39" xfId="29465"/>
    <cellStyle name="subt1 4" xfId="8975"/>
    <cellStyle name="subt1 40" xfId="31242"/>
    <cellStyle name="subt1 41" xfId="33007"/>
    <cellStyle name="subt1 42" xfId="34728"/>
    <cellStyle name="subt1 43" xfId="36388"/>
    <cellStyle name="subt1 44" xfId="37972"/>
    <cellStyle name="subt1 45" xfId="39441"/>
    <cellStyle name="subt1 46" xfId="40741"/>
    <cellStyle name="subt1 47" xfId="7877"/>
    <cellStyle name="subt1 48" xfId="7782"/>
    <cellStyle name="subt1 5" xfId="9051"/>
    <cellStyle name="subt1 6" xfId="9112"/>
    <cellStyle name="subt1 7" xfId="9150"/>
    <cellStyle name="subt1 8" xfId="9312"/>
    <cellStyle name="subt1 9" xfId="9812"/>
    <cellStyle name="subt1_Cover" xfId="3891"/>
    <cellStyle name="Subtitle" xfId="3892"/>
    <cellStyle name="Subtitle 2" xfId="3893"/>
    <cellStyle name="Subtitle 2 2" xfId="7786"/>
    <cellStyle name="Subtitle 3" xfId="3894"/>
    <cellStyle name="Subtitle 3 2" xfId="7787"/>
    <cellStyle name="Subtitle 4" xfId="7785"/>
    <cellStyle name="Subtitle_Cover" xfId="3895"/>
    <cellStyle name="Subtotal" xfId="3896"/>
    <cellStyle name="Subtotal 2" xfId="7878"/>
    <cellStyle name="Text Indent A" xfId="3897"/>
    <cellStyle name="Text Indent B" xfId="3898"/>
    <cellStyle name="Text Indent B 10" xfId="9901"/>
    <cellStyle name="Text Indent B 11" xfId="9982"/>
    <cellStyle name="Text Indent B 12" xfId="10062"/>
    <cellStyle name="Text Indent B 13" xfId="10129"/>
    <cellStyle name="Text Indent B 14" xfId="10176"/>
    <cellStyle name="Text Indent B 15" xfId="10231"/>
    <cellStyle name="Text Indent B 15 10" xfId="20469"/>
    <cellStyle name="Text Indent B 15 11" xfId="21305"/>
    <cellStyle name="Text Indent B 15 12" xfId="22102"/>
    <cellStyle name="Text Indent B 15 13" xfId="26646"/>
    <cellStyle name="Text Indent B 15 14" xfId="29975"/>
    <cellStyle name="Text Indent B 15 15" xfId="31750"/>
    <cellStyle name="Text Indent B 15 16" xfId="33508"/>
    <cellStyle name="Text Indent B 15 17" xfId="35222"/>
    <cellStyle name="Text Indent B 15 18" xfId="36869"/>
    <cellStyle name="Text Indent B 15 19" xfId="38432"/>
    <cellStyle name="Text Indent B 15 2" xfId="13019"/>
    <cellStyle name="Text Indent B 15 20" xfId="39874"/>
    <cellStyle name="Text Indent B 15 21" xfId="41128"/>
    <cellStyle name="Text Indent B 15 22" xfId="42188"/>
    <cellStyle name="Text Indent B 15 3" xfId="14145"/>
    <cellStyle name="Text Indent B 15 4" xfId="15075"/>
    <cellStyle name="Text Indent B 15 5" xfId="16002"/>
    <cellStyle name="Text Indent B 15 6" xfId="16932"/>
    <cellStyle name="Text Indent B 15 7" xfId="17840"/>
    <cellStyle name="Text Indent B 15 8" xfId="18730"/>
    <cellStyle name="Text Indent B 15 9" xfId="19608"/>
    <cellStyle name="Text Indent B 16" xfId="10854"/>
    <cellStyle name="Text Indent B 16 10" xfId="20549"/>
    <cellStyle name="Text Indent B 16 11" xfId="21385"/>
    <cellStyle name="Text Indent B 16 12" xfId="22179"/>
    <cellStyle name="Text Indent B 16 13" xfId="26628"/>
    <cellStyle name="Text Indent B 16 14" xfId="29957"/>
    <cellStyle name="Text Indent B 16 15" xfId="31732"/>
    <cellStyle name="Text Indent B 16 16" xfId="33490"/>
    <cellStyle name="Text Indent B 16 17" xfId="35204"/>
    <cellStyle name="Text Indent B 16 18" xfId="36851"/>
    <cellStyle name="Text Indent B 16 19" xfId="38414"/>
    <cellStyle name="Text Indent B 16 2" xfId="13099"/>
    <cellStyle name="Text Indent B 16 20" xfId="39856"/>
    <cellStyle name="Text Indent B 16 21" xfId="41110"/>
    <cellStyle name="Text Indent B 16 22" xfId="42170"/>
    <cellStyle name="Text Indent B 16 3" xfId="14225"/>
    <cellStyle name="Text Indent B 16 4" xfId="15154"/>
    <cellStyle name="Text Indent B 16 5" xfId="16082"/>
    <cellStyle name="Text Indent B 16 6" xfId="17012"/>
    <cellStyle name="Text Indent B 16 7" xfId="17920"/>
    <cellStyle name="Text Indent B 16 8" xfId="18810"/>
    <cellStyle name="Text Indent B 16 9" xfId="19688"/>
    <cellStyle name="Text Indent B 17" xfId="10772"/>
    <cellStyle name="Text Indent B 17 10" xfId="20628"/>
    <cellStyle name="Text Indent B 17 11" xfId="21465"/>
    <cellStyle name="Text Indent B 17 12" xfId="22256"/>
    <cellStyle name="Text Indent B 17 13" xfId="26666"/>
    <cellStyle name="Text Indent B 17 14" xfId="29995"/>
    <cellStyle name="Text Indent B 17 15" xfId="31770"/>
    <cellStyle name="Text Indent B 17 16" xfId="33528"/>
    <cellStyle name="Text Indent B 17 17" xfId="35242"/>
    <cellStyle name="Text Indent B 17 18" xfId="36889"/>
    <cellStyle name="Text Indent B 17 19" xfId="38452"/>
    <cellStyle name="Text Indent B 17 2" xfId="13179"/>
    <cellStyle name="Text Indent B 17 20" xfId="39894"/>
    <cellStyle name="Text Indent B 17 21" xfId="41148"/>
    <cellStyle name="Text Indent B 17 22" xfId="42208"/>
    <cellStyle name="Text Indent B 17 3" xfId="14305"/>
    <cellStyle name="Text Indent B 17 4" xfId="15233"/>
    <cellStyle name="Text Indent B 17 5" xfId="16162"/>
    <cellStyle name="Text Indent B 17 6" xfId="17092"/>
    <cellStyle name="Text Indent B 17 7" xfId="18000"/>
    <cellStyle name="Text Indent B 17 8" xfId="18890"/>
    <cellStyle name="Text Indent B 17 9" xfId="19768"/>
    <cellStyle name="Text Indent B 18" xfId="10440"/>
    <cellStyle name="Text Indent B 18 10" xfId="20707"/>
    <cellStyle name="Text Indent B 18 11" xfId="21545"/>
    <cellStyle name="Text Indent B 18 12" xfId="22333"/>
    <cellStyle name="Text Indent B 18 13" xfId="26600"/>
    <cellStyle name="Text Indent B 18 14" xfId="29929"/>
    <cellStyle name="Text Indent B 18 15" xfId="31704"/>
    <cellStyle name="Text Indent B 18 16" xfId="33463"/>
    <cellStyle name="Text Indent B 18 17" xfId="35177"/>
    <cellStyle name="Text Indent B 18 18" xfId="36824"/>
    <cellStyle name="Text Indent B 18 19" xfId="38387"/>
    <cellStyle name="Text Indent B 18 2" xfId="13259"/>
    <cellStyle name="Text Indent B 18 20" xfId="39829"/>
    <cellStyle name="Text Indent B 18 21" xfId="41085"/>
    <cellStyle name="Text Indent B 18 22" xfId="42147"/>
    <cellStyle name="Text Indent B 18 3" xfId="14384"/>
    <cellStyle name="Text Indent B 18 4" xfId="15312"/>
    <cellStyle name="Text Indent B 18 5" xfId="16242"/>
    <cellStyle name="Text Indent B 18 6" xfId="17172"/>
    <cellStyle name="Text Indent B 18 7" xfId="18080"/>
    <cellStyle name="Text Indent B 18 8" xfId="18970"/>
    <cellStyle name="Text Indent B 18 9" xfId="19847"/>
    <cellStyle name="Text Indent B 19" xfId="10534"/>
    <cellStyle name="Text Indent B 19 10" xfId="20786"/>
    <cellStyle name="Text Indent B 19 11" xfId="21624"/>
    <cellStyle name="Text Indent B 19 12" xfId="22410"/>
    <cellStyle name="Text Indent B 19 13" xfId="26788"/>
    <cellStyle name="Text Indent B 19 14" xfId="30116"/>
    <cellStyle name="Text Indent B 19 15" xfId="31891"/>
    <cellStyle name="Text Indent B 19 16" xfId="33646"/>
    <cellStyle name="Text Indent B 19 17" xfId="35359"/>
    <cellStyle name="Text Indent B 19 18" xfId="37004"/>
    <cellStyle name="Text Indent B 19 19" xfId="38564"/>
    <cellStyle name="Text Indent B 19 2" xfId="13339"/>
    <cellStyle name="Text Indent B 19 20" xfId="40003"/>
    <cellStyle name="Text Indent B 19 21" xfId="41255"/>
    <cellStyle name="Text Indent B 19 22" xfId="42309"/>
    <cellStyle name="Text Indent B 19 3" xfId="14463"/>
    <cellStyle name="Text Indent B 19 4" xfId="15392"/>
    <cellStyle name="Text Indent B 19 5" xfId="16321"/>
    <cellStyle name="Text Indent B 19 6" xfId="17251"/>
    <cellStyle name="Text Indent B 19 7" xfId="18159"/>
    <cellStyle name="Text Indent B 19 8" xfId="19049"/>
    <cellStyle name="Text Indent B 19 9" xfId="19926"/>
    <cellStyle name="Text Indent B 2" xfId="3899"/>
    <cellStyle name="Text Indent B 2 10" xfId="12051"/>
    <cellStyle name="Text Indent B 2 11" xfId="11851"/>
    <cellStyle name="Text Indent B 2 12" xfId="12663"/>
    <cellStyle name="Text Indent B 2 13" xfId="12596"/>
    <cellStyle name="Text Indent B 2 14" xfId="12906"/>
    <cellStyle name="Text Indent B 2 15" xfId="12896"/>
    <cellStyle name="Text Indent B 2 16" xfId="12418"/>
    <cellStyle name="Text Indent B 2 17" xfId="12739"/>
    <cellStyle name="Text Indent B 2 18" xfId="11998"/>
    <cellStyle name="Text Indent B 2 19" xfId="14916"/>
    <cellStyle name="Text Indent B 2 2" xfId="4077"/>
    <cellStyle name="Text Indent B 2 2 2" xfId="9621"/>
    <cellStyle name="Text Indent B 2 2 3" xfId="9489"/>
    <cellStyle name="Text Indent B 2 20" xfId="15800"/>
    <cellStyle name="Text Indent B 2 21" xfId="11346"/>
    <cellStyle name="Text Indent B 2 22" xfId="17658"/>
    <cellStyle name="Text Indent B 2 23" xfId="23109"/>
    <cellStyle name="Text Indent B 2 24" xfId="24843"/>
    <cellStyle name="Text Indent B 2 25" xfId="29432"/>
    <cellStyle name="Text Indent B 2 26" xfId="31209"/>
    <cellStyle name="Text Indent B 2 27" xfId="32974"/>
    <cellStyle name="Text Indent B 2 28" xfId="34697"/>
    <cellStyle name="Text Indent B 2 29" xfId="36360"/>
    <cellStyle name="Text Indent B 2 3" xfId="10417"/>
    <cellStyle name="Text Indent B 2 30" xfId="37945"/>
    <cellStyle name="Text Indent B 2 31" xfId="39415"/>
    <cellStyle name="Text Indent B 2 32" xfId="40715"/>
    <cellStyle name="Text Indent B 2 33" xfId="8813"/>
    <cellStyle name="Text Indent B 2 4" xfId="10459"/>
    <cellStyle name="Text Indent B 2 5" xfId="10607"/>
    <cellStyle name="Text Indent B 2 6" xfId="10576"/>
    <cellStyle name="Text Indent B 2 7" xfId="10425"/>
    <cellStyle name="Text Indent B 2 8" xfId="10836"/>
    <cellStyle name="Text Indent B 2 9" xfId="10694"/>
    <cellStyle name="Text Indent B 20" xfId="11184"/>
    <cellStyle name="Text Indent B 20 10" xfId="20865"/>
    <cellStyle name="Text Indent B 20 11" xfId="21704"/>
    <cellStyle name="Text Indent B 20 12" xfId="22488"/>
    <cellStyle name="Text Indent B 20 13" xfId="26512"/>
    <cellStyle name="Text Indent B 20 14" xfId="29843"/>
    <cellStyle name="Text Indent B 20 15" xfId="31618"/>
    <cellStyle name="Text Indent B 20 16" xfId="33377"/>
    <cellStyle name="Text Indent B 20 17" xfId="35091"/>
    <cellStyle name="Text Indent B 20 18" xfId="36741"/>
    <cellStyle name="Text Indent B 20 19" xfId="38310"/>
    <cellStyle name="Text Indent B 20 2" xfId="13419"/>
    <cellStyle name="Text Indent B 20 20" xfId="39758"/>
    <cellStyle name="Text Indent B 20 21" xfId="41024"/>
    <cellStyle name="Text Indent B 20 22" xfId="42096"/>
    <cellStyle name="Text Indent B 20 3" xfId="14543"/>
    <cellStyle name="Text Indent B 20 4" xfId="15470"/>
    <cellStyle name="Text Indent B 20 5" xfId="16401"/>
    <cellStyle name="Text Indent B 20 6" xfId="17331"/>
    <cellStyle name="Text Indent B 20 7" xfId="18239"/>
    <cellStyle name="Text Indent B 20 8" xfId="19129"/>
    <cellStyle name="Text Indent B 20 9" xfId="20006"/>
    <cellStyle name="Text Indent B 21" xfId="11377"/>
    <cellStyle name="Text Indent B 21 10" xfId="20943"/>
    <cellStyle name="Text Indent B 21 11" xfId="21784"/>
    <cellStyle name="Text Indent B 21 12" xfId="22566"/>
    <cellStyle name="Text Indent B 21 13" xfId="26900"/>
    <cellStyle name="Text Indent B 21 14" xfId="30228"/>
    <cellStyle name="Text Indent B 21 15" xfId="32003"/>
    <cellStyle name="Text Indent B 21 16" xfId="33758"/>
    <cellStyle name="Text Indent B 21 17" xfId="35471"/>
    <cellStyle name="Text Indent B 21 18" xfId="37115"/>
    <cellStyle name="Text Indent B 21 19" xfId="38671"/>
    <cellStyle name="Text Indent B 21 2" xfId="13499"/>
    <cellStyle name="Text Indent B 21 20" xfId="40105"/>
    <cellStyle name="Text Indent B 21 21" xfId="41352"/>
    <cellStyle name="Text Indent B 21 22" xfId="42403"/>
    <cellStyle name="Text Indent B 21 3" xfId="14622"/>
    <cellStyle name="Text Indent B 21 4" xfId="15550"/>
    <cellStyle name="Text Indent B 21 5" xfId="16481"/>
    <cellStyle name="Text Indent B 21 6" xfId="17411"/>
    <cellStyle name="Text Indent B 21 7" xfId="18319"/>
    <cellStyle name="Text Indent B 21 8" xfId="19209"/>
    <cellStyle name="Text Indent B 21 9" xfId="20085"/>
    <cellStyle name="Text Indent B 22" xfId="11577"/>
    <cellStyle name="Text Indent B 22 10" xfId="21016"/>
    <cellStyle name="Text Indent B 22 11" xfId="21855"/>
    <cellStyle name="Text Indent B 22 12" xfId="22636"/>
    <cellStyle name="Text Indent B 22 13" xfId="26612"/>
    <cellStyle name="Text Indent B 22 14" xfId="29941"/>
    <cellStyle name="Text Indent B 22 15" xfId="31716"/>
    <cellStyle name="Text Indent B 22 16" xfId="33474"/>
    <cellStyle name="Text Indent B 22 17" xfId="35188"/>
    <cellStyle name="Text Indent B 22 18" xfId="36835"/>
    <cellStyle name="Text Indent B 22 19" xfId="38398"/>
    <cellStyle name="Text Indent B 22 2" xfId="13579"/>
    <cellStyle name="Text Indent B 22 20" xfId="39840"/>
    <cellStyle name="Text Indent B 22 21" xfId="41094"/>
    <cellStyle name="Text Indent B 22 22" xfId="42154"/>
    <cellStyle name="Text Indent B 22 3" xfId="14698"/>
    <cellStyle name="Text Indent B 22 4" xfId="15627"/>
    <cellStyle name="Text Indent B 22 5" xfId="16558"/>
    <cellStyle name="Text Indent B 22 6" xfId="17486"/>
    <cellStyle name="Text Indent B 22 7" xfId="18393"/>
    <cellStyle name="Text Indent B 22 8" xfId="19281"/>
    <cellStyle name="Text Indent B 22 9" xfId="20155"/>
    <cellStyle name="Text Indent B 23" xfId="11367"/>
    <cellStyle name="Text Indent B 23 10" xfId="21080"/>
    <cellStyle name="Text Indent B 23 11" xfId="21915"/>
    <cellStyle name="Text Indent B 23 12" xfId="22696"/>
    <cellStyle name="Text Indent B 23 2" xfId="13659"/>
    <cellStyle name="Text Indent B 23 3" xfId="14775"/>
    <cellStyle name="Text Indent B 23 4" xfId="15700"/>
    <cellStyle name="Text Indent B 23 5" xfId="16630"/>
    <cellStyle name="Text Indent B 23 6" xfId="17561"/>
    <cellStyle name="Text Indent B 23 7" xfId="18464"/>
    <cellStyle name="Text Indent B 23 8" xfId="19348"/>
    <cellStyle name="Text Indent B 23 9" xfId="20225"/>
    <cellStyle name="Text Indent B 24" xfId="12196"/>
    <cellStyle name="Text Indent B 24 10" xfId="21123"/>
    <cellStyle name="Text Indent B 24 11" xfId="21953"/>
    <cellStyle name="Text Indent B 24 12" xfId="22732"/>
    <cellStyle name="Text Indent B 24 2" xfId="13731"/>
    <cellStyle name="Text Indent B 24 3" xfId="14830"/>
    <cellStyle name="Text Indent B 24 4" xfId="15760"/>
    <cellStyle name="Text Indent B 24 5" xfId="16692"/>
    <cellStyle name="Text Indent B 24 6" xfId="17616"/>
    <cellStyle name="Text Indent B 24 7" xfId="18520"/>
    <cellStyle name="Text Indent B 24 8" xfId="19400"/>
    <cellStyle name="Text Indent B 24 9" xfId="20269"/>
    <cellStyle name="Text Indent B 25" xfId="13793"/>
    <cellStyle name="Text Indent B 26" xfId="13831"/>
    <cellStyle name="Text Indent B 27" xfId="12794"/>
    <cellStyle name="Text Indent B 28" xfId="13921"/>
    <cellStyle name="Text Indent B 29" xfId="10929"/>
    <cellStyle name="Text Indent B 3" xfId="3900"/>
    <cellStyle name="Text Indent B 3 2" xfId="4078"/>
    <cellStyle name="Text Indent B 3 2 2" xfId="8900"/>
    <cellStyle name="Text Indent B 30" xfId="15852"/>
    <cellStyle name="Text Indent B 31" xfId="16781"/>
    <cellStyle name="Text Indent B 32" xfId="17688"/>
    <cellStyle name="Text Indent B 33" xfId="18589"/>
    <cellStyle name="Text Indent B 34" xfId="19434"/>
    <cellStyle name="Text Indent B 35" xfId="17695"/>
    <cellStyle name="Text Indent B 36" xfId="21175"/>
    <cellStyle name="Text Indent B 37" xfId="22914"/>
    <cellStyle name="Text Indent B 38" xfId="24855"/>
    <cellStyle name="Text Indent B 39" xfId="29462"/>
    <cellStyle name="Text Indent B 4" xfId="8978"/>
    <cellStyle name="Text Indent B 40" xfId="31239"/>
    <cellStyle name="Text Indent B 41" xfId="33004"/>
    <cellStyle name="Text Indent B 42" xfId="34725"/>
    <cellStyle name="Text Indent B 43" xfId="36385"/>
    <cellStyle name="Text Indent B 44" xfId="37970"/>
    <cellStyle name="Text Indent B 45" xfId="39440"/>
    <cellStyle name="Text Indent B 46" xfId="40740"/>
    <cellStyle name="Text Indent B 47" xfId="7879"/>
    <cellStyle name="Text Indent B 5" xfId="9053"/>
    <cellStyle name="Text Indent B 6" xfId="9114"/>
    <cellStyle name="Text Indent B 7" xfId="9151"/>
    <cellStyle name="Text Indent B 8" xfId="9313"/>
    <cellStyle name="Text Indent B 9" xfId="9815"/>
    <cellStyle name="Text Indent C" xfId="3901"/>
    <cellStyle name="Text Indent C 10" xfId="9902"/>
    <cellStyle name="Text Indent C 11" xfId="9983"/>
    <cellStyle name="Text Indent C 12" xfId="10063"/>
    <cellStyle name="Text Indent C 13" xfId="10130"/>
    <cellStyle name="Text Indent C 14" xfId="10177"/>
    <cellStyle name="Text Indent C 15" xfId="10232"/>
    <cellStyle name="Text Indent C 15 10" xfId="20470"/>
    <cellStyle name="Text Indent C 15 11" xfId="21306"/>
    <cellStyle name="Text Indent C 15 12" xfId="22103"/>
    <cellStyle name="Text Indent C 15 13" xfId="26645"/>
    <cellStyle name="Text Indent C 15 14" xfId="29974"/>
    <cellStyle name="Text Indent C 15 15" xfId="31749"/>
    <cellStyle name="Text Indent C 15 16" xfId="33507"/>
    <cellStyle name="Text Indent C 15 17" xfId="35221"/>
    <cellStyle name="Text Indent C 15 18" xfId="36868"/>
    <cellStyle name="Text Indent C 15 19" xfId="38431"/>
    <cellStyle name="Text Indent C 15 2" xfId="13020"/>
    <cellStyle name="Text Indent C 15 20" xfId="39873"/>
    <cellStyle name="Text Indent C 15 21" xfId="41127"/>
    <cellStyle name="Text Indent C 15 22" xfId="42187"/>
    <cellStyle name="Text Indent C 15 3" xfId="14146"/>
    <cellStyle name="Text Indent C 15 4" xfId="15076"/>
    <cellStyle name="Text Indent C 15 5" xfId="16003"/>
    <cellStyle name="Text Indent C 15 6" xfId="16933"/>
    <cellStyle name="Text Indent C 15 7" xfId="17841"/>
    <cellStyle name="Text Indent C 15 8" xfId="18731"/>
    <cellStyle name="Text Indent C 15 9" xfId="19609"/>
    <cellStyle name="Text Indent C 16" xfId="10782"/>
    <cellStyle name="Text Indent C 16 10" xfId="20550"/>
    <cellStyle name="Text Indent C 16 11" xfId="21386"/>
    <cellStyle name="Text Indent C 16 12" xfId="22180"/>
    <cellStyle name="Text Indent C 16 13" xfId="26629"/>
    <cellStyle name="Text Indent C 16 14" xfId="29958"/>
    <cellStyle name="Text Indent C 16 15" xfId="31733"/>
    <cellStyle name="Text Indent C 16 16" xfId="33491"/>
    <cellStyle name="Text Indent C 16 17" xfId="35205"/>
    <cellStyle name="Text Indent C 16 18" xfId="36852"/>
    <cellStyle name="Text Indent C 16 19" xfId="38415"/>
    <cellStyle name="Text Indent C 16 2" xfId="13100"/>
    <cellStyle name="Text Indent C 16 20" xfId="39857"/>
    <cellStyle name="Text Indent C 16 21" xfId="41111"/>
    <cellStyle name="Text Indent C 16 22" xfId="42171"/>
    <cellStyle name="Text Indent C 16 3" xfId="14226"/>
    <cellStyle name="Text Indent C 16 4" xfId="15155"/>
    <cellStyle name="Text Indent C 16 5" xfId="16083"/>
    <cellStyle name="Text Indent C 16 6" xfId="17013"/>
    <cellStyle name="Text Indent C 16 7" xfId="17921"/>
    <cellStyle name="Text Indent C 16 8" xfId="18811"/>
    <cellStyle name="Text Indent C 16 9" xfId="19689"/>
    <cellStyle name="Text Indent C 17" xfId="10671"/>
    <cellStyle name="Text Indent C 17 10" xfId="20629"/>
    <cellStyle name="Text Indent C 17 11" xfId="21466"/>
    <cellStyle name="Text Indent C 17 12" xfId="22257"/>
    <cellStyle name="Text Indent C 17 13" xfId="26665"/>
    <cellStyle name="Text Indent C 17 14" xfId="29994"/>
    <cellStyle name="Text Indent C 17 15" xfId="31769"/>
    <cellStyle name="Text Indent C 17 16" xfId="33527"/>
    <cellStyle name="Text Indent C 17 17" xfId="35241"/>
    <cellStyle name="Text Indent C 17 18" xfId="36888"/>
    <cellStyle name="Text Indent C 17 19" xfId="38451"/>
    <cellStyle name="Text Indent C 17 2" xfId="13180"/>
    <cellStyle name="Text Indent C 17 20" xfId="39893"/>
    <cellStyle name="Text Indent C 17 21" xfId="41147"/>
    <cellStyle name="Text Indent C 17 22" xfId="42207"/>
    <cellStyle name="Text Indent C 17 3" xfId="14306"/>
    <cellStyle name="Text Indent C 17 4" xfId="15234"/>
    <cellStyle name="Text Indent C 17 5" xfId="16163"/>
    <cellStyle name="Text Indent C 17 6" xfId="17093"/>
    <cellStyle name="Text Indent C 17 7" xfId="18001"/>
    <cellStyle name="Text Indent C 17 8" xfId="18891"/>
    <cellStyle name="Text Indent C 17 9" xfId="19769"/>
    <cellStyle name="Text Indent C 18" xfId="10922"/>
    <cellStyle name="Text Indent C 18 10" xfId="20708"/>
    <cellStyle name="Text Indent C 18 11" xfId="21546"/>
    <cellStyle name="Text Indent C 18 12" xfId="22334"/>
    <cellStyle name="Text Indent C 18 13" xfId="26601"/>
    <cellStyle name="Text Indent C 18 14" xfId="29930"/>
    <cellStyle name="Text Indent C 18 15" xfId="31705"/>
    <cellStyle name="Text Indent C 18 16" xfId="33464"/>
    <cellStyle name="Text Indent C 18 17" xfId="35178"/>
    <cellStyle name="Text Indent C 18 18" xfId="36825"/>
    <cellStyle name="Text Indent C 18 19" xfId="38388"/>
    <cellStyle name="Text Indent C 18 2" xfId="13260"/>
    <cellStyle name="Text Indent C 18 20" xfId="39830"/>
    <cellStyle name="Text Indent C 18 21" xfId="41086"/>
    <cellStyle name="Text Indent C 18 22" xfId="42148"/>
    <cellStyle name="Text Indent C 18 3" xfId="14385"/>
    <cellStyle name="Text Indent C 18 4" xfId="15313"/>
    <cellStyle name="Text Indent C 18 5" xfId="16243"/>
    <cellStyle name="Text Indent C 18 6" xfId="17173"/>
    <cellStyle name="Text Indent C 18 7" xfId="18081"/>
    <cellStyle name="Text Indent C 18 8" xfId="18971"/>
    <cellStyle name="Text Indent C 18 9" xfId="19848"/>
    <cellStyle name="Text Indent C 19" xfId="10864"/>
    <cellStyle name="Text Indent C 19 10" xfId="20787"/>
    <cellStyle name="Text Indent C 19 11" xfId="21625"/>
    <cellStyle name="Text Indent C 19 12" xfId="22411"/>
    <cellStyle name="Text Indent C 19 13" xfId="26780"/>
    <cellStyle name="Text Indent C 19 14" xfId="30110"/>
    <cellStyle name="Text Indent C 19 15" xfId="31885"/>
    <cellStyle name="Text Indent C 19 16" xfId="33641"/>
    <cellStyle name="Text Indent C 19 17" xfId="35354"/>
    <cellStyle name="Text Indent C 19 18" xfId="36999"/>
    <cellStyle name="Text Indent C 19 19" xfId="38560"/>
    <cellStyle name="Text Indent C 19 2" xfId="13340"/>
    <cellStyle name="Text Indent C 19 20" xfId="39999"/>
    <cellStyle name="Text Indent C 19 21" xfId="41251"/>
    <cellStyle name="Text Indent C 19 22" xfId="42307"/>
    <cellStyle name="Text Indent C 19 3" xfId="14464"/>
    <cellStyle name="Text Indent C 19 4" xfId="15393"/>
    <cellStyle name="Text Indent C 19 5" xfId="16322"/>
    <cellStyle name="Text Indent C 19 6" xfId="17252"/>
    <cellStyle name="Text Indent C 19 7" xfId="18160"/>
    <cellStyle name="Text Indent C 19 8" xfId="19050"/>
    <cellStyle name="Text Indent C 19 9" xfId="19927"/>
    <cellStyle name="Text Indent C 2" xfId="3902"/>
    <cellStyle name="Text Indent C 2 10" xfId="11525"/>
    <cellStyle name="Text Indent C 2 11" xfId="12536"/>
    <cellStyle name="Text Indent C 2 12" xfId="12610"/>
    <cellStyle name="Text Indent C 2 13" xfId="11203"/>
    <cellStyle name="Text Indent C 2 14" xfId="12160"/>
    <cellStyle name="Text Indent C 2 15" xfId="11091"/>
    <cellStyle name="Text Indent C 2 16" xfId="13880"/>
    <cellStyle name="Text Indent C 2 17" xfId="11774"/>
    <cellStyle name="Text Indent C 2 18" xfId="12374"/>
    <cellStyle name="Text Indent C 2 19" xfId="13878"/>
    <cellStyle name="Text Indent C 2 2" xfId="4079"/>
    <cellStyle name="Text Indent C 2 2 2" xfId="9622"/>
    <cellStyle name="Text Indent C 2 2 3" xfId="9490"/>
    <cellStyle name="Text Indent C 2 20" xfId="15868"/>
    <cellStyle name="Text Indent C 2 21" xfId="16702"/>
    <cellStyle name="Text Indent C 2 22" xfId="20264"/>
    <cellStyle name="Text Indent C 2 23" xfId="23110"/>
    <cellStyle name="Text Indent C 2 24" xfId="23676"/>
    <cellStyle name="Text Indent C 2 25" xfId="29431"/>
    <cellStyle name="Text Indent C 2 26" xfId="31208"/>
    <cellStyle name="Text Indent C 2 27" xfId="32973"/>
    <cellStyle name="Text Indent C 2 28" xfId="34696"/>
    <cellStyle name="Text Indent C 2 29" xfId="36359"/>
    <cellStyle name="Text Indent C 2 3" xfId="10418"/>
    <cellStyle name="Text Indent C 2 30" xfId="37944"/>
    <cellStyle name="Text Indent C 2 31" xfId="39414"/>
    <cellStyle name="Text Indent C 2 32" xfId="40714"/>
    <cellStyle name="Text Indent C 2 33" xfId="8814"/>
    <cellStyle name="Text Indent C 2 4" xfId="11246"/>
    <cellStyle name="Text Indent C 2 5" xfId="11437"/>
    <cellStyle name="Text Indent C 2 6" xfId="11626"/>
    <cellStyle name="Text Indent C 2 7" xfId="11808"/>
    <cellStyle name="Text Indent C 2 8" xfId="11989"/>
    <cellStyle name="Text Indent C 2 9" xfId="12167"/>
    <cellStyle name="Text Indent C 20" xfId="9457"/>
    <cellStyle name="Text Indent C 20 10" xfId="20866"/>
    <cellStyle name="Text Indent C 20 11" xfId="21705"/>
    <cellStyle name="Text Indent C 20 12" xfId="22489"/>
    <cellStyle name="Text Indent C 20 13" xfId="26513"/>
    <cellStyle name="Text Indent C 20 14" xfId="29844"/>
    <cellStyle name="Text Indent C 20 15" xfId="31619"/>
    <cellStyle name="Text Indent C 20 16" xfId="33378"/>
    <cellStyle name="Text Indent C 20 17" xfId="35092"/>
    <cellStyle name="Text Indent C 20 18" xfId="36742"/>
    <cellStyle name="Text Indent C 20 19" xfId="38311"/>
    <cellStyle name="Text Indent C 20 2" xfId="13420"/>
    <cellStyle name="Text Indent C 20 20" xfId="39759"/>
    <cellStyle name="Text Indent C 20 21" xfId="41025"/>
    <cellStyle name="Text Indent C 20 22" xfId="42097"/>
    <cellStyle name="Text Indent C 20 3" xfId="14544"/>
    <cellStyle name="Text Indent C 20 4" xfId="15471"/>
    <cellStyle name="Text Indent C 20 5" xfId="16402"/>
    <cellStyle name="Text Indent C 20 6" xfId="17332"/>
    <cellStyle name="Text Indent C 20 7" xfId="18240"/>
    <cellStyle name="Text Indent C 20 8" xfId="19130"/>
    <cellStyle name="Text Indent C 20 9" xfId="20007"/>
    <cellStyle name="Text Indent C 21" xfId="11267"/>
    <cellStyle name="Text Indent C 21 10" xfId="20944"/>
    <cellStyle name="Text Indent C 21 11" xfId="21785"/>
    <cellStyle name="Text Indent C 21 12" xfId="22567"/>
    <cellStyle name="Text Indent C 21 13" xfId="26892"/>
    <cellStyle name="Text Indent C 21 14" xfId="30220"/>
    <cellStyle name="Text Indent C 21 15" xfId="31995"/>
    <cellStyle name="Text Indent C 21 16" xfId="33750"/>
    <cellStyle name="Text Indent C 21 17" xfId="35463"/>
    <cellStyle name="Text Indent C 21 18" xfId="37107"/>
    <cellStyle name="Text Indent C 21 19" xfId="38663"/>
    <cellStyle name="Text Indent C 21 2" xfId="13500"/>
    <cellStyle name="Text Indent C 21 20" xfId="40097"/>
    <cellStyle name="Text Indent C 21 21" xfId="41344"/>
    <cellStyle name="Text Indent C 21 22" xfId="42395"/>
    <cellStyle name="Text Indent C 21 3" xfId="14623"/>
    <cellStyle name="Text Indent C 21 4" xfId="15551"/>
    <cellStyle name="Text Indent C 21 5" xfId="16482"/>
    <cellStyle name="Text Indent C 21 6" xfId="17412"/>
    <cellStyle name="Text Indent C 21 7" xfId="18320"/>
    <cellStyle name="Text Indent C 21 8" xfId="19210"/>
    <cellStyle name="Text Indent C 21 9" xfId="20086"/>
    <cellStyle name="Text Indent C 22" xfId="11192"/>
    <cellStyle name="Text Indent C 22 10" xfId="21017"/>
    <cellStyle name="Text Indent C 22 11" xfId="21856"/>
    <cellStyle name="Text Indent C 22 12" xfId="22637"/>
    <cellStyle name="Text Indent C 22 13" xfId="26613"/>
    <cellStyle name="Text Indent C 22 14" xfId="29942"/>
    <cellStyle name="Text Indent C 22 15" xfId="31717"/>
    <cellStyle name="Text Indent C 22 16" xfId="33475"/>
    <cellStyle name="Text Indent C 22 17" xfId="35189"/>
    <cellStyle name="Text Indent C 22 18" xfId="36836"/>
    <cellStyle name="Text Indent C 22 19" xfId="38399"/>
    <cellStyle name="Text Indent C 22 2" xfId="13580"/>
    <cellStyle name="Text Indent C 22 20" xfId="39841"/>
    <cellStyle name="Text Indent C 22 21" xfId="41095"/>
    <cellStyle name="Text Indent C 22 22" xfId="42155"/>
    <cellStyle name="Text Indent C 22 3" xfId="14699"/>
    <cellStyle name="Text Indent C 22 4" xfId="15628"/>
    <cellStyle name="Text Indent C 22 5" xfId="16559"/>
    <cellStyle name="Text Indent C 22 6" xfId="17487"/>
    <cellStyle name="Text Indent C 22 7" xfId="18394"/>
    <cellStyle name="Text Indent C 22 8" xfId="19282"/>
    <cellStyle name="Text Indent C 22 9" xfId="20156"/>
    <cellStyle name="Text Indent C 23" xfId="11446"/>
    <cellStyle name="Text Indent C 23 10" xfId="21081"/>
    <cellStyle name="Text Indent C 23 11" xfId="21916"/>
    <cellStyle name="Text Indent C 23 12" xfId="22697"/>
    <cellStyle name="Text Indent C 23 2" xfId="13660"/>
    <cellStyle name="Text Indent C 23 3" xfId="14776"/>
    <cellStyle name="Text Indent C 23 4" xfId="15701"/>
    <cellStyle name="Text Indent C 23 5" xfId="16631"/>
    <cellStyle name="Text Indent C 23 6" xfId="17562"/>
    <cellStyle name="Text Indent C 23 7" xfId="18465"/>
    <cellStyle name="Text Indent C 23 8" xfId="19349"/>
    <cellStyle name="Text Indent C 23 9" xfId="20226"/>
    <cellStyle name="Text Indent C 24" xfId="11666"/>
    <cellStyle name="Text Indent C 24 10" xfId="21124"/>
    <cellStyle name="Text Indent C 24 11" xfId="21954"/>
    <cellStyle name="Text Indent C 24 12" xfId="22733"/>
    <cellStyle name="Text Indent C 24 2" xfId="13732"/>
    <cellStyle name="Text Indent C 24 3" xfId="14831"/>
    <cellStyle name="Text Indent C 24 4" xfId="15761"/>
    <cellStyle name="Text Indent C 24 5" xfId="16693"/>
    <cellStyle name="Text Indent C 24 6" xfId="17617"/>
    <cellStyle name="Text Indent C 24 7" xfId="18521"/>
    <cellStyle name="Text Indent C 24 8" xfId="19401"/>
    <cellStyle name="Text Indent C 24 9" xfId="20270"/>
    <cellStyle name="Text Indent C 25" xfId="13794"/>
    <cellStyle name="Text Indent C 26" xfId="13832"/>
    <cellStyle name="Text Indent C 27" xfId="12730"/>
    <cellStyle name="Text Indent C 28" xfId="13858"/>
    <cellStyle name="Text Indent C 29" xfId="12535"/>
    <cellStyle name="Text Indent C 3" xfId="3903"/>
    <cellStyle name="Text Indent C 3 2" xfId="4080"/>
    <cellStyle name="Text Indent C 3 2 2" xfId="8901"/>
    <cellStyle name="Text Indent C 30" xfId="12563"/>
    <cellStyle name="Text Indent C 31" xfId="16743"/>
    <cellStyle name="Text Indent C 32" xfId="17657"/>
    <cellStyle name="Text Indent C 33" xfId="18557"/>
    <cellStyle name="Text Indent C 34" xfId="10437"/>
    <cellStyle name="Text Indent C 35" xfId="12502"/>
    <cellStyle name="Text Indent C 36" xfId="20339"/>
    <cellStyle name="Text Indent C 37" xfId="22915"/>
    <cellStyle name="Text Indent C 38" xfId="23695"/>
    <cellStyle name="Text Indent C 39" xfId="29461"/>
    <cellStyle name="Text Indent C 4" xfId="8979"/>
    <cellStyle name="Text Indent C 40" xfId="31238"/>
    <cellStyle name="Text Indent C 41" xfId="33003"/>
    <cellStyle name="Text Indent C 42" xfId="34724"/>
    <cellStyle name="Text Indent C 43" xfId="36384"/>
    <cellStyle name="Text Indent C 44" xfId="37969"/>
    <cellStyle name="Text Indent C 45" xfId="39439"/>
    <cellStyle name="Text Indent C 46" xfId="40739"/>
    <cellStyle name="Text Indent C 47" xfId="7880"/>
    <cellStyle name="Text Indent C 5" xfId="9054"/>
    <cellStyle name="Text Indent C 6" xfId="9115"/>
    <cellStyle name="Text Indent C 7" xfId="9152"/>
    <cellStyle name="Text Indent C 8" xfId="9314"/>
    <cellStyle name="Text Indent C 9" xfId="9816"/>
    <cellStyle name="Title" xfId="2" builtinId="15" customBuiltin="1"/>
    <cellStyle name="Title 10" xfId="9903"/>
    <cellStyle name="Title 11" xfId="9984"/>
    <cellStyle name="Title 12" xfId="10064"/>
    <cellStyle name="Title 13" xfId="10131"/>
    <cellStyle name="Title 14" xfId="10178"/>
    <cellStyle name="Title 15" xfId="10233"/>
    <cellStyle name="Title 15 10" xfId="20471"/>
    <cellStyle name="Title 15 11" xfId="21307"/>
    <cellStyle name="Title 15 12" xfId="22104"/>
    <cellStyle name="Title 15 2" xfId="13021"/>
    <cellStyle name="Title 15 3" xfId="14147"/>
    <cellStyle name="Title 15 4" xfId="15077"/>
    <cellStyle name="Title 15 5" xfId="16004"/>
    <cellStyle name="Title 15 6" xfId="16934"/>
    <cellStyle name="Title 15 7" xfId="17842"/>
    <cellStyle name="Title 15 8" xfId="18732"/>
    <cellStyle name="Title 15 9" xfId="19610"/>
    <cellStyle name="Title 16" xfId="10706"/>
    <cellStyle name="Title 16 10" xfId="20551"/>
    <cellStyle name="Title 16 11" xfId="21387"/>
    <cellStyle name="Title 16 12" xfId="22181"/>
    <cellStyle name="Title 16 2" xfId="13101"/>
    <cellStyle name="Title 16 3" xfId="14227"/>
    <cellStyle name="Title 16 4" xfId="15156"/>
    <cellStyle name="Title 16 5" xfId="16084"/>
    <cellStyle name="Title 16 6" xfId="17014"/>
    <cellStyle name="Title 16 7" xfId="17922"/>
    <cellStyle name="Title 16 8" xfId="18812"/>
    <cellStyle name="Title 16 9" xfId="19690"/>
    <cellStyle name="Title 17" xfId="10649"/>
    <cellStyle name="Title 17 10" xfId="20630"/>
    <cellStyle name="Title 17 11" xfId="21467"/>
    <cellStyle name="Title 17 12" xfId="22258"/>
    <cellStyle name="Title 17 2" xfId="13181"/>
    <cellStyle name="Title 17 3" xfId="14307"/>
    <cellStyle name="Title 17 4" xfId="15235"/>
    <cellStyle name="Title 17 5" xfId="16164"/>
    <cellStyle name="Title 17 6" xfId="17094"/>
    <cellStyle name="Title 17 7" xfId="18002"/>
    <cellStyle name="Title 17 8" xfId="18892"/>
    <cellStyle name="Title 17 9" xfId="19770"/>
    <cellStyle name="Title 18" xfId="10865"/>
    <cellStyle name="Title 18 10" xfId="20709"/>
    <cellStyle name="Title 18 11" xfId="21547"/>
    <cellStyle name="Title 18 12" xfId="22335"/>
    <cellStyle name="Title 18 2" xfId="13261"/>
    <cellStyle name="Title 18 3" xfId="14386"/>
    <cellStyle name="Title 18 4" xfId="15314"/>
    <cellStyle name="Title 18 5" xfId="16244"/>
    <cellStyle name="Title 18 6" xfId="17174"/>
    <cellStyle name="Title 18 7" xfId="18082"/>
    <cellStyle name="Title 18 8" xfId="18972"/>
    <cellStyle name="Title 18 9" xfId="19849"/>
    <cellStyle name="Title 19" xfId="9458"/>
    <cellStyle name="Title 19 10" xfId="20788"/>
    <cellStyle name="Title 19 11" xfId="21626"/>
    <cellStyle name="Title 19 12" xfId="22412"/>
    <cellStyle name="Title 19 2" xfId="13341"/>
    <cellStyle name="Title 19 3" xfId="14465"/>
    <cellStyle name="Title 19 4" xfId="15394"/>
    <cellStyle name="Title 19 5" xfId="16323"/>
    <cellStyle name="Title 19 6" xfId="17253"/>
    <cellStyle name="Title 19 7" xfId="18161"/>
    <cellStyle name="Title 19 8" xfId="19051"/>
    <cellStyle name="Title 19 9" xfId="19928"/>
    <cellStyle name="Title 2" xfId="4081"/>
    <cellStyle name="Title 2 10" xfId="12351"/>
    <cellStyle name="Title 2 11" xfId="12492"/>
    <cellStyle name="Title 2 12" xfId="12224"/>
    <cellStyle name="Title 2 13" xfId="12902"/>
    <cellStyle name="Title 2 14" xfId="10382"/>
    <cellStyle name="Title 2 15" xfId="12035"/>
    <cellStyle name="Title 2 16" xfId="12591"/>
    <cellStyle name="Title 2 17" xfId="13907"/>
    <cellStyle name="Title 2 18" xfId="11743"/>
    <cellStyle name="Title 2 19" xfId="11648"/>
    <cellStyle name="Title 2 2" xfId="9491"/>
    <cellStyle name="Title 2 2 2" xfId="9623"/>
    <cellStyle name="Title 2 20" xfId="12772"/>
    <cellStyle name="Title 2 21" xfId="14824"/>
    <cellStyle name="Title 2 22" xfId="12433"/>
    <cellStyle name="Title 2 23" xfId="23111"/>
    <cellStyle name="Title 2 24" xfId="23618"/>
    <cellStyle name="Title 2 25" xfId="29430"/>
    <cellStyle name="Title 2 26" xfId="31207"/>
    <cellStyle name="Title 2 27" xfId="32972"/>
    <cellStyle name="Title 2 28" xfId="34695"/>
    <cellStyle name="Title 2 29" xfId="36358"/>
    <cellStyle name="Title 2 3" xfId="10419"/>
    <cellStyle name="Title 2 30" xfId="37943"/>
    <cellStyle name="Title 2 31" xfId="39413"/>
    <cellStyle name="Title 2 32" xfId="40713"/>
    <cellStyle name="Title 2 33" xfId="8815"/>
    <cellStyle name="Title 2 4" xfId="11195"/>
    <cellStyle name="Title 2 5" xfId="11388"/>
    <cellStyle name="Title 2 6" xfId="11576"/>
    <cellStyle name="Title 2 7" xfId="11758"/>
    <cellStyle name="Title 2 8" xfId="11942"/>
    <cellStyle name="Title 2 9" xfId="12120"/>
    <cellStyle name="Title 20" xfId="10574"/>
    <cellStyle name="Title 20 10" xfId="20867"/>
    <cellStyle name="Title 20 11" xfId="21706"/>
    <cellStyle name="Title 20 12" xfId="22490"/>
    <cellStyle name="Title 20 2" xfId="13421"/>
    <cellStyle name="Title 20 3" xfId="14545"/>
    <cellStyle name="Title 20 4" xfId="15472"/>
    <cellStyle name="Title 20 5" xfId="16403"/>
    <cellStyle name="Title 20 6" xfId="17333"/>
    <cellStyle name="Title 20 7" xfId="18241"/>
    <cellStyle name="Title 20 8" xfId="19131"/>
    <cellStyle name="Title 20 9" xfId="20008"/>
    <cellStyle name="Title 21" xfId="10585"/>
    <cellStyle name="Title 21 10" xfId="20945"/>
    <cellStyle name="Title 21 11" xfId="21786"/>
    <cellStyle name="Title 21 12" xfId="22568"/>
    <cellStyle name="Title 21 2" xfId="13501"/>
    <cellStyle name="Title 21 3" xfId="14624"/>
    <cellStyle name="Title 21 4" xfId="15552"/>
    <cellStyle name="Title 21 5" xfId="16483"/>
    <cellStyle name="Title 21 6" xfId="17413"/>
    <cellStyle name="Title 21 7" xfId="18321"/>
    <cellStyle name="Title 21 8" xfId="19211"/>
    <cellStyle name="Title 21 9" xfId="20087"/>
    <cellStyle name="Title 22" xfId="11244"/>
    <cellStyle name="Title 22 10" xfId="21018"/>
    <cellStyle name="Title 22 11" xfId="21857"/>
    <cellStyle name="Title 22 12" xfId="22638"/>
    <cellStyle name="Title 22 2" xfId="13581"/>
    <cellStyle name="Title 22 3" xfId="14700"/>
    <cellStyle name="Title 22 4" xfId="15629"/>
    <cellStyle name="Title 22 5" xfId="16560"/>
    <cellStyle name="Title 22 6" xfId="17488"/>
    <cellStyle name="Title 22 7" xfId="18395"/>
    <cellStyle name="Title 22 8" xfId="19283"/>
    <cellStyle name="Title 22 9" xfId="20157"/>
    <cellStyle name="Title 23" xfId="11171"/>
    <cellStyle name="Title 23 10" xfId="21082"/>
    <cellStyle name="Title 23 11" xfId="21917"/>
    <cellStyle name="Title 23 12" xfId="22698"/>
    <cellStyle name="Title 23 2" xfId="13661"/>
    <cellStyle name="Title 23 3" xfId="14777"/>
    <cellStyle name="Title 23 4" xfId="15702"/>
    <cellStyle name="Title 23 5" xfId="16632"/>
    <cellStyle name="Title 23 6" xfId="17563"/>
    <cellStyle name="Title 23 7" xfId="18466"/>
    <cellStyle name="Title 23 8" xfId="19350"/>
    <cellStyle name="Title 23 9" xfId="20227"/>
    <cellStyle name="Title 24" xfId="12286"/>
    <cellStyle name="Title 24 10" xfId="21125"/>
    <cellStyle name="Title 24 11" xfId="21955"/>
    <cellStyle name="Title 24 12" xfId="22734"/>
    <cellStyle name="Title 24 2" xfId="13733"/>
    <cellStyle name="Title 24 3" xfId="14832"/>
    <cellStyle name="Title 24 4" xfId="15762"/>
    <cellStyle name="Title 24 5" xfId="16694"/>
    <cellStyle name="Title 24 6" xfId="17618"/>
    <cellStyle name="Title 24 7" xfId="18522"/>
    <cellStyle name="Title 24 8" xfId="19402"/>
    <cellStyle name="Title 24 9" xfId="20271"/>
    <cellStyle name="Title 25" xfId="13795"/>
    <cellStyle name="Title 26" xfId="13833"/>
    <cellStyle name="Title 27" xfId="11638"/>
    <cellStyle name="Title 28" xfId="12141"/>
    <cellStyle name="Title 29" xfId="10745"/>
    <cellStyle name="Title 3" xfId="8902"/>
    <cellStyle name="Title 30" xfId="12119"/>
    <cellStyle name="Title 31" xfId="15766"/>
    <cellStyle name="Title 32" xfId="15819"/>
    <cellStyle name="Title 33" xfId="12854"/>
    <cellStyle name="Title 34" xfId="17666"/>
    <cellStyle name="Title 35" xfId="15887"/>
    <cellStyle name="Title 36" xfId="11815"/>
    <cellStyle name="Title 37" xfId="22916"/>
    <cellStyle name="Title 38" xfId="23642"/>
    <cellStyle name="Title 39" xfId="29460"/>
    <cellStyle name="Title 4" xfId="8980"/>
    <cellStyle name="Title 40" xfId="31237"/>
    <cellStyle name="Title 41" xfId="33002"/>
    <cellStyle name="Title 42" xfId="34723"/>
    <cellStyle name="Title 43" xfId="36383"/>
    <cellStyle name="Title 44" xfId="37968"/>
    <cellStyle name="Title 45" xfId="39438"/>
    <cellStyle name="Title 46" xfId="40738"/>
    <cellStyle name="Title 47" xfId="42688"/>
    <cellStyle name="Title 48" xfId="42731"/>
    <cellStyle name="Title 49" xfId="42773"/>
    <cellStyle name="Title 5" xfId="9055"/>
    <cellStyle name="Title 50" xfId="42814"/>
    <cellStyle name="Title 51" xfId="42855"/>
    <cellStyle name="Title 52" xfId="42896"/>
    <cellStyle name="Title 53" xfId="42936"/>
    <cellStyle name="Title 54" xfId="42973"/>
    <cellStyle name="Title 55" xfId="43010"/>
    <cellStyle name="Title 56" xfId="43044"/>
    <cellStyle name="Title 57" xfId="43077"/>
    <cellStyle name="Title 58" xfId="43102"/>
    <cellStyle name="Title 59" xfId="43117"/>
    <cellStyle name="Title 6" xfId="9116"/>
    <cellStyle name="Title 60" xfId="43190"/>
    <cellStyle name="Title 61" xfId="43203"/>
    <cellStyle name="Title 62" xfId="8664"/>
    <cellStyle name="Title 63" xfId="7788"/>
    <cellStyle name="Title 64" xfId="3904"/>
    <cellStyle name="Title 7" xfId="9153"/>
    <cellStyle name="Title 8" xfId="9315"/>
    <cellStyle name="Title 9" xfId="9817"/>
    <cellStyle name="Total" xfId="18" builtinId="25" customBuiltin="1"/>
    <cellStyle name="Total 10" xfId="9904"/>
    <cellStyle name="Total 11" xfId="9985"/>
    <cellStyle name="Total 11 10" xfId="36476"/>
    <cellStyle name="Total 11 11" xfId="38059"/>
    <cellStyle name="Total 11 2" xfId="24862"/>
    <cellStyle name="Total 11 3" xfId="28250"/>
    <cellStyle name="Total 11 4" xfId="27526"/>
    <cellStyle name="Total 11 5" xfId="23466"/>
    <cellStyle name="Total 11 6" xfId="29562"/>
    <cellStyle name="Total 11 7" xfId="31338"/>
    <cellStyle name="Total 11 8" xfId="33102"/>
    <cellStyle name="Total 11 9" xfId="34821"/>
    <cellStyle name="Total 12" xfId="10065"/>
    <cellStyle name="Total 12 10" xfId="41090"/>
    <cellStyle name="Total 12 11" xfId="42150"/>
    <cellStyle name="Total 12 2" xfId="26607"/>
    <cellStyle name="Total 12 3" xfId="29936"/>
    <cellStyle name="Total 12 4" xfId="31711"/>
    <cellStyle name="Total 12 5" xfId="33469"/>
    <cellStyle name="Total 12 6" xfId="35183"/>
    <cellStyle name="Total 12 7" xfId="36830"/>
    <cellStyle name="Total 12 8" xfId="38393"/>
    <cellStyle name="Total 12 9" xfId="39835"/>
    <cellStyle name="Total 13" xfId="10132"/>
    <cellStyle name="Total 13 10" xfId="41167"/>
    <cellStyle name="Total 13 11" xfId="42227"/>
    <cellStyle name="Total 13 2" xfId="26686"/>
    <cellStyle name="Total 13 3" xfId="30015"/>
    <cellStyle name="Total 13 4" xfId="31790"/>
    <cellStyle name="Total 13 5" xfId="33548"/>
    <cellStyle name="Total 13 6" xfId="35262"/>
    <cellStyle name="Total 13 7" xfId="36909"/>
    <cellStyle name="Total 13 8" xfId="38472"/>
    <cellStyle name="Total 13 9" xfId="39913"/>
    <cellStyle name="Total 14" xfId="10179"/>
    <cellStyle name="Total 14 10" xfId="41028"/>
    <cellStyle name="Total 14 11" xfId="42099"/>
    <cellStyle name="Total 14 2" xfId="26519"/>
    <cellStyle name="Total 14 3" xfId="29850"/>
    <cellStyle name="Total 14 4" xfId="31625"/>
    <cellStyle name="Total 14 5" xfId="33384"/>
    <cellStyle name="Total 14 6" xfId="35098"/>
    <cellStyle name="Total 14 7" xfId="36748"/>
    <cellStyle name="Total 14 8" xfId="38316"/>
    <cellStyle name="Total 14 9" xfId="39762"/>
    <cellStyle name="Total 15" xfId="10234"/>
    <cellStyle name="Total 15 10" xfId="20472"/>
    <cellStyle name="Total 15 11" xfId="21308"/>
    <cellStyle name="Total 15 12" xfId="22105"/>
    <cellStyle name="Total 15 13" xfId="26644"/>
    <cellStyle name="Total 15 14" xfId="29973"/>
    <cellStyle name="Total 15 15" xfId="31748"/>
    <cellStyle name="Total 15 16" xfId="33506"/>
    <cellStyle name="Total 15 17" xfId="35220"/>
    <cellStyle name="Total 15 18" xfId="36867"/>
    <cellStyle name="Total 15 19" xfId="38430"/>
    <cellStyle name="Total 15 2" xfId="13022"/>
    <cellStyle name="Total 15 20" xfId="39872"/>
    <cellStyle name="Total 15 21" xfId="41126"/>
    <cellStyle name="Total 15 22" xfId="42186"/>
    <cellStyle name="Total 15 3" xfId="14148"/>
    <cellStyle name="Total 15 4" xfId="15078"/>
    <cellStyle name="Total 15 5" xfId="16005"/>
    <cellStyle name="Total 15 6" xfId="16935"/>
    <cellStyle name="Total 15 7" xfId="17843"/>
    <cellStyle name="Total 15 8" xfId="18733"/>
    <cellStyle name="Total 15 9" xfId="19611"/>
    <cellStyle name="Total 16" xfId="10632"/>
    <cellStyle name="Total 16 10" xfId="20552"/>
    <cellStyle name="Total 16 11" xfId="21388"/>
    <cellStyle name="Total 16 12" xfId="22182"/>
    <cellStyle name="Total 16 13" xfId="26630"/>
    <cellStyle name="Total 16 14" xfId="29959"/>
    <cellStyle name="Total 16 15" xfId="31734"/>
    <cellStyle name="Total 16 16" xfId="33492"/>
    <cellStyle name="Total 16 17" xfId="35206"/>
    <cellStyle name="Total 16 18" xfId="36853"/>
    <cellStyle name="Total 16 19" xfId="38416"/>
    <cellStyle name="Total 16 2" xfId="13102"/>
    <cellStyle name="Total 16 20" xfId="39858"/>
    <cellStyle name="Total 16 21" xfId="41112"/>
    <cellStyle name="Total 16 22" xfId="42172"/>
    <cellStyle name="Total 16 3" xfId="14228"/>
    <cellStyle name="Total 16 4" xfId="15157"/>
    <cellStyle name="Total 16 5" xfId="16085"/>
    <cellStyle name="Total 16 6" xfId="17015"/>
    <cellStyle name="Total 16 7" xfId="17923"/>
    <cellStyle name="Total 16 8" xfId="18813"/>
    <cellStyle name="Total 16 9" xfId="19691"/>
    <cellStyle name="Total 17" xfId="10492"/>
    <cellStyle name="Total 17 10" xfId="20631"/>
    <cellStyle name="Total 17 11" xfId="21468"/>
    <cellStyle name="Total 17 12" xfId="22259"/>
    <cellStyle name="Total 17 13" xfId="26664"/>
    <cellStyle name="Total 17 14" xfId="29993"/>
    <cellStyle name="Total 17 15" xfId="31768"/>
    <cellStyle name="Total 17 16" xfId="33526"/>
    <cellStyle name="Total 17 17" xfId="35240"/>
    <cellStyle name="Total 17 18" xfId="36887"/>
    <cellStyle name="Total 17 19" xfId="38450"/>
    <cellStyle name="Total 17 2" xfId="13182"/>
    <cellStyle name="Total 17 20" xfId="39892"/>
    <cellStyle name="Total 17 21" xfId="41146"/>
    <cellStyle name="Total 17 22" xfId="42206"/>
    <cellStyle name="Total 17 3" xfId="14308"/>
    <cellStyle name="Total 17 4" xfId="15236"/>
    <cellStyle name="Total 17 5" xfId="16165"/>
    <cellStyle name="Total 17 6" xfId="17095"/>
    <cellStyle name="Total 17 7" xfId="18003"/>
    <cellStyle name="Total 17 8" xfId="18893"/>
    <cellStyle name="Total 17 9" xfId="19771"/>
    <cellStyle name="Total 18" xfId="10604"/>
    <cellStyle name="Total 18 10" xfId="20710"/>
    <cellStyle name="Total 18 11" xfId="21548"/>
    <cellStyle name="Total 18 12" xfId="22336"/>
    <cellStyle name="Total 18 13" xfId="26603"/>
    <cellStyle name="Total 18 14" xfId="29932"/>
    <cellStyle name="Total 18 15" xfId="31707"/>
    <cellStyle name="Total 18 16" xfId="33466"/>
    <cellStyle name="Total 18 17" xfId="35180"/>
    <cellStyle name="Total 18 18" xfId="36827"/>
    <cellStyle name="Total 18 19" xfId="38390"/>
    <cellStyle name="Total 18 2" xfId="13262"/>
    <cellStyle name="Total 18 20" xfId="39832"/>
    <cellStyle name="Total 18 21" xfId="41088"/>
    <cellStyle name="Total 18 22" xfId="42149"/>
    <cellStyle name="Total 18 3" xfId="14387"/>
    <cellStyle name="Total 18 4" xfId="15315"/>
    <cellStyle name="Total 18 5" xfId="16245"/>
    <cellStyle name="Total 18 6" xfId="17175"/>
    <cellStyle name="Total 18 7" xfId="18083"/>
    <cellStyle name="Total 18 8" xfId="18973"/>
    <cellStyle name="Total 18 9" xfId="19850"/>
    <cellStyle name="Total 19" xfId="10804"/>
    <cellStyle name="Total 19 10" xfId="20789"/>
    <cellStyle name="Total 19 11" xfId="21627"/>
    <cellStyle name="Total 19 12" xfId="22413"/>
    <cellStyle name="Total 19 13" xfId="26777"/>
    <cellStyle name="Total 19 14" xfId="30107"/>
    <cellStyle name="Total 19 15" xfId="31882"/>
    <cellStyle name="Total 19 16" xfId="33638"/>
    <cellStyle name="Total 19 17" xfId="35351"/>
    <cellStyle name="Total 19 18" xfId="36997"/>
    <cellStyle name="Total 19 19" xfId="38558"/>
    <cellStyle name="Total 19 2" xfId="13342"/>
    <cellStyle name="Total 19 20" xfId="39997"/>
    <cellStyle name="Total 19 21" xfId="41249"/>
    <cellStyle name="Total 19 22" xfId="42305"/>
    <cellStyle name="Total 19 3" xfId="14466"/>
    <cellStyle name="Total 19 4" xfId="15395"/>
    <cellStyle name="Total 19 5" xfId="16324"/>
    <cellStyle name="Total 19 6" xfId="17254"/>
    <cellStyle name="Total 19 7" xfId="18162"/>
    <cellStyle name="Total 19 8" xfId="19052"/>
    <cellStyle name="Total 19 9" xfId="19929"/>
    <cellStyle name="Total 2" xfId="3906"/>
    <cellStyle name="Total 2 10" xfId="12302"/>
    <cellStyle name="Total 2 11" xfId="12432"/>
    <cellStyle name="Total 2 12" xfId="12242"/>
    <cellStyle name="Total 2 13" xfId="12840"/>
    <cellStyle name="Total 2 14" xfId="12797"/>
    <cellStyle name="Total 2 15" xfId="12138"/>
    <cellStyle name="Total 2 16" xfId="15802"/>
    <cellStyle name="Total 2 17" xfId="14956"/>
    <cellStyle name="Total 2 18" xfId="14726"/>
    <cellStyle name="Total 2 19" xfId="14723"/>
    <cellStyle name="Total 2 2" xfId="3907"/>
    <cellStyle name="Total 2 2 2" xfId="4084"/>
    <cellStyle name="Total 2 2 2 2" xfId="9624"/>
    <cellStyle name="Total 2 2 3" xfId="9492"/>
    <cellStyle name="Total 2 20" xfId="15801"/>
    <cellStyle name="Total 2 21" xfId="19417"/>
    <cellStyle name="Total 2 22" xfId="21162"/>
    <cellStyle name="Total 2 23" xfId="23112"/>
    <cellStyle name="Total 2 24" xfId="23549"/>
    <cellStyle name="Total 2 25" xfId="29429"/>
    <cellStyle name="Total 2 26" xfId="31206"/>
    <cellStyle name="Total 2 27" xfId="32971"/>
    <cellStyle name="Total 2 28" xfId="34694"/>
    <cellStyle name="Total 2 29" xfId="36357"/>
    <cellStyle name="Total 2 3" xfId="4083"/>
    <cellStyle name="Total 2 3 2" xfId="10420"/>
    <cellStyle name="Total 2 30" xfId="37942"/>
    <cellStyle name="Total 2 31" xfId="39412"/>
    <cellStyle name="Total 2 32" xfId="40712"/>
    <cellStyle name="Total 2 33" xfId="8816"/>
    <cellStyle name="Total 2 4" xfId="11130"/>
    <cellStyle name="Total 2 5" xfId="11324"/>
    <cellStyle name="Total 2 6" xfId="11516"/>
    <cellStyle name="Total 2 7" xfId="11698"/>
    <cellStyle name="Total 2 8" xfId="11882"/>
    <cellStyle name="Total 2 9" xfId="12066"/>
    <cellStyle name="Total 20" xfId="10902"/>
    <cellStyle name="Total 20 10" xfId="20868"/>
    <cellStyle name="Total 20 11" xfId="21707"/>
    <cellStyle name="Total 20 12" xfId="22491"/>
    <cellStyle name="Total 20 13" xfId="26515"/>
    <cellStyle name="Total 20 14" xfId="29846"/>
    <cellStyle name="Total 20 15" xfId="31621"/>
    <cellStyle name="Total 20 16" xfId="33380"/>
    <cellStyle name="Total 20 17" xfId="35094"/>
    <cellStyle name="Total 20 18" xfId="36744"/>
    <cellStyle name="Total 20 19" xfId="38313"/>
    <cellStyle name="Total 20 2" xfId="13422"/>
    <cellStyle name="Total 20 20" xfId="39761"/>
    <cellStyle name="Total 20 21" xfId="41027"/>
    <cellStyle name="Total 20 22" xfId="42098"/>
    <cellStyle name="Total 20 3" xfId="14546"/>
    <cellStyle name="Total 20 4" xfId="15473"/>
    <cellStyle name="Total 20 5" xfId="16404"/>
    <cellStyle name="Total 20 6" xfId="17334"/>
    <cellStyle name="Total 20 7" xfId="18242"/>
    <cellStyle name="Total 20 8" xfId="19132"/>
    <cellStyle name="Total 20 9" xfId="20009"/>
    <cellStyle name="Total 21" xfId="10791"/>
    <cellStyle name="Total 21 10" xfId="20946"/>
    <cellStyle name="Total 21 11" xfId="21787"/>
    <cellStyle name="Total 21 12" xfId="22569"/>
    <cellStyle name="Total 21 13" xfId="26889"/>
    <cellStyle name="Total 21 14" xfId="30217"/>
    <cellStyle name="Total 21 15" xfId="31992"/>
    <cellStyle name="Total 21 16" xfId="33747"/>
    <cellStyle name="Total 21 17" xfId="35460"/>
    <cellStyle name="Total 21 18" xfId="37104"/>
    <cellStyle name="Total 21 19" xfId="38660"/>
    <cellStyle name="Total 21 2" xfId="13502"/>
    <cellStyle name="Total 21 20" xfId="40094"/>
    <cellStyle name="Total 21 21" xfId="41341"/>
    <cellStyle name="Total 21 22" xfId="42392"/>
    <cellStyle name="Total 21 3" xfId="14625"/>
    <cellStyle name="Total 21 4" xfId="15553"/>
    <cellStyle name="Total 21 5" xfId="16484"/>
    <cellStyle name="Total 21 6" xfId="17414"/>
    <cellStyle name="Total 21 7" xfId="18322"/>
    <cellStyle name="Total 21 8" xfId="19212"/>
    <cellStyle name="Total 21 9" xfId="20088"/>
    <cellStyle name="Total 22" xfId="10896"/>
    <cellStyle name="Total 22 10" xfId="21019"/>
    <cellStyle name="Total 22 11" xfId="21858"/>
    <cellStyle name="Total 22 12" xfId="22639"/>
    <cellStyle name="Total 22 13" xfId="26624"/>
    <cellStyle name="Total 22 14" xfId="29953"/>
    <cellStyle name="Total 22 15" xfId="31728"/>
    <cellStyle name="Total 22 16" xfId="33486"/>
    <cellStyle name="Total 22 17" xfId="35200"/>
    <cellStyle name="Total 22 18" xfId="36847"/>
    <cellStyle name="Total 22 19" xfId="38410"/>
    <cellStyle name="Total 22 2" xfId="13582"/>
    <cellStyle name="Total 22 20" xfId="39852"/>
    <cellStyle name="Total 22 21" xfId="41106"/>
    <cellStyle name="Total 22 22" xfId="42166"/>
    <cellStyle name="Total 22 3" xfId="14701"/>
    <cellStyle name="Total 22 4" xfId="15630"/>
    <cellStyle name="Total 22 5" xfId="16561"/>
    <cellStyle name="Total 22 6" xfId="17489"/>
    <cellStyle name="Total 22 7" xfId="18396"/>
    <cellStyle name="Total 22 8" xfId="19284"/>
    <cellStyle name="Total 22 9" xfId="20158"/>
    <cellStyle name="Total 23" xfId="11890"/>
    <cellStyle name="Total 23 10" xfId="21083"/>
    <cellStyle name="Total 23 11" xfId="21918"/>
    <cellStyle name="Total 23 12" xfId="22699"/>
    <cellStyle name="Total 23 2" xfId="13662"/>
    <cellStyle name="Total 23 3" xfId="14778"/>
    <cellStyle name="Total 23 4" xfId="15703"/>
    <cellStyle name="Total 23 5" xfId="16633"/>
    <cellStyle name="Total 23 6" xfId="17564"/>
    <cellStyle name="Total 23 7" xfId="18467"/>
    <cellStyle name="Total 23 8" xfId="19351"/>
    <cellStyle name="Total 23 9" xfId="20228"/>
    <cellStyle name="Total 24" xfId="11707"/>
    <cellStyle name="Total 24 10" xfId="21126"/>
    <cellStyle name="Total 24 11" xfId="21956"/>
    <cellStyle name="Total 24 12" xfId="22735"/>
    <cellStyle name="Total 24 2" xfId="13734"/>
    <cellStyle name="Total 24 3" xfId="14833"/>
    <cellStyle name="Total 24 4" xfId="15763"/>
    <cellStyle name="Total 24 5" xfId="16695"/>
    <cellStyle name="Total 24 6" xfId="17619"/>
    <cellStyle name="Total 24 7" xfId="18523"/>
    <cellStyle name="Total 24 8" xfId="19403"/>
    <cellStyle name="Total 24 9" xfId="20272"/>
    <cellStyle name="Total 25" xfId="13796"/>
    <cellStyle name="Total 26" xfId="13834"/>
    <cellStyle name="Total 27" xfId="9487"/>
    <cellStyle name="Total 28" xfId="12344"/>
    <cellStyle name="Total 29" xfId="12679"/>
    <cellStyle name="Total 3" xfId="3908"/>
    <cellStyle name="Total 3 2" xfId="4085"/>
    <cellStyle name="Total 3 2 2" xfId="8903"/>
    <cellStyle name="Total 30" xfId="12089"/>
    <cellStyle name="Total 31" xfId="13850"/>
    <cellStyle name="Total 32" xfId="13876"/>
    <cellStyle name="Total 33" xfId="16752"/>
    <cellStyle name="Total 34" xfId="17646"/>
    <cellStyle name="Total 35" xfId="18548"/>
    <cellStyle name="Total 36" xfId="15844"/>
    <cellStyle name="Total 37" xfId="22917"/>
    <cellStyle name="Total 38" xfId="23573"/>
    <cellStyle name="Total 39" xfId="29459"/>
    <cellStyle name="Total 4" xfId="4082"/>
    <cellStyle name="Total 4 2" xfId="8981"/>
    <cellStyle name="Total 40" xfId="31236"/>
    <cellStyle name="Total 41" xfId="33001"/>
    <cellStyle name="Total 42" xfId="34722"/>
    <cellStyle name="Total 43" xfId="36382"/>
    <cellStyle name="Total 44" xfId="37967"/>
    <cellStyle name="Total 45" xfId="39437"/>
    <cellStyle name="Total 46" xfId="40737"/>
    <cellStyle name="Total 47" xfId="42689"/>
    <cellStyle name="Total 48" xfId="42732"/>
    <cellStyle name="Total 49" xfId="42774"/>
    <cellStyle name="Total 5" xfId="9056"/>
    <cellStyle name="Total 50" xfId="42815"/>
    <cellStyle name="Total 51" xfId="42856"/>
    <cellStyle name="Total 52" xfId="42897"/>
    <cellStyle name="Total 53" xfId="42937"/>
    <cellStyle name="Total 54" xfId="42974"/>
    <cellStyle name="Total 55" xfId="43011"/>
    <cellStyle name="Total 56" xfId="43045"/>
    <cellStyle name="Total 57" xfId="43078"/>
    <cellStyle name="Total 58" xfId="43103"/>
    <cellStyle name="Total 59" xfId="43118"/>
    <cellStyle name="Total 6" xfId="9117"/>
    <cellStyle name="Total 60" xfId="43191"/>
    <cellStyle name="Total 61" xfId="43204"/>
    <cellStyle name="Total 62" xfId="8665"/>
    <cellStyle name="Total 63" xfId="3905"/>
    <cellStyle name="Total 7" xfId="9154"/>
    <cellStyle name="Total 8" xfId="9316"/>
    <cellStyle name="Total 9" xfId="9818"/>
    <cellStyle name="TRB11" xfId="3909"/>
    <cellStyle name="TRB11 2" xfId="7789"/>
    <cellStyle name="Unit" xfId="3910"/>
    <cellStyle name="Valuta (0)_NEGS" xfId="3911"/>
    <cellStyle name="Valuta [0]_laroux" xfId="3912"/>
    <cellStyle name="Valuta_laroux" xfId="3913"/>
    <cellStyle name="Vertical" xfId="3914"/>
    <cellStyle name="Vertical 2" xfId="3915"/>
    <cellStyle name="Vertical 2 2" xfId="7791"/>
    <cellStyle name="Vertical 3" xfId="3916"/>
    <cellStyle name="Vertical 3 2" xfId="7792"/>
    <cellStyle name="Vertical 4" xfId="7790"/>
    <cellStyle name="Vertical_Cover" xfId="3917"/>
    <cellStyle name="Währung [0]_Products" xfId="3918"/>
    <cellStyle name="Wahrung [0]_RESULTS" xfId="3919"/>
    <cellStyle name="Wahrung_RESULTS" xfId="3920"/>
    <cellStyle name="Walutowy [0]_laroux" xfId="3921"/>
    <cellStyle name="Walutowy_laroux" xfId="3922"/>
    <cellStyle name="Warning Text" xfId="15" builtinId="11" customBuiltin="1"/>
    <cellStyle name="Warning Text 10" xfId="9907"/>
    <cellStyle name="Warning Text 11" xfId="9988"/>
    <cellStyle name="Warning Text 11 10" xfId="31295"/>
    <cellStyle name="Warning Text 11 11" xfId="33059"/>
    <cellStyle name="Warning Text 11 2" xfId="24863"/>
    <cellStyle name="Warning Text 11 3" xfId="28251"/>
    <cellStyle name="Warning Text 11 4" xfId="27525"/>
    <cellStyle name="Warning Text 11 5" xfId="23340"/>
    <cellStyle name="Warning Text 11 6" xfId="28437"/>
    <cellStyle name="Warning Text 11 7" xfId="27300"/>
    <cellStyle name="Warning Text 11 8" xfId="24858"/>
    <cellStyle name="Warning Text 11 9" xfId="29519"/>
    <cellStyle name="Warning Text 12" xfId="10068"/>
    <cellStyle name="Warning Text 12 10" xfId="41092"/>
    <cellStyle name="Warning Text 12 11" xfId="42152"/>
    <cellStyle name="Warning Text 12 2" xfId="26609"/>
    <cellStyle name="Warning Text 12 3" xfId="29938"/>
    <cellStyle name="Warning Text 12 4" xfId="31713"/>
    <cellStyle name="Warning Text 12 5" xfId="33471"/>
    <cellStyle name="Warning Text 12 6" xfId="35185"/>
    <cellStyle name="Warning Text 12 7" xfId="36832"/>
    <cellStyle name="Warning Text 12 8" xfId="38395"/>
    <cellStyle name="Warning Text 12 9" xfId="39837"/>
    <cellStyle name="Warning Text 13" xfId="10135"/>
    <cellStyle name="Warning Text 13 10" xfId="41166"/>
    <cellStyle name="Warning Text 13 11" xfId="42226"/>
    <cellStyle name="Warning Text 13 2" xfId="26685"/>
    <cellStyle name="Warning Text 13 3" xfId="30014"/>
    <cellStyle name="Warning Text 13 4" xfId="31789"/>
    <cellStyle name="Warning Text 13 5" xfId="33547"/>
    <cellStyle name="Warning Text 13 6" xfId="35261"/>
    <cellStyle name="Warning Text 13 7" xfId="36908"/>
    <cellStyle name="Warning Text 13 8" xfId="38471"/>
    <cellStyle name="Warning Text 13 9" xfId="39912"/>
    <cellStyle name="Warning Text 14" xfId="10180"/>
    <cellStyle name="Warning Text 14 10" xfId="41030"/>
    <cellStyle name="Warning Text 14 11" xfId="42101"/>
    <cellStyle name="Warning Text 14 2" xfId="26521"/>
    <cellStyle name="Warning Text 14 3" xfId="29852"/>
    <cellStyle name="Warning Text 14 4" xfId="31627"/>
    <cellStyle name="Warning Text 14 5" xfId="33386"/>
    <cellStyle name="Warning Text 14 6" xfId="35100"/>
    <cellStyle name="Warning Text 14 7" xfId="36750"/>
    <cellStyle name="Warning Text 14 8" xfId="38318"/>
    <cellStyle name="Warning Text 14 9" xfId="39764"/>
    <cellStyle name="Warning Text 15" xfId="10237"/>
    <cellStyle name="Warning Text 15 10" xfId="20475"/>
    <cellStyle name="Warning Text 15 11" xfId="21311"/>
    <cellStyle name="Warning Text 15 12" xfId="22108"/>
    <cellStyle name="Warning Text 15 13" xfId="26643"/>
    <cellStyle name="Warning Text 15 14" xfId="29972"/>
    <cellStyle name="Warning Text 15 15" xfId="31747"/>
    <cellStyle name="Warning Text 15 16" xfId="33505"/>
    <cellStyle name="Warning Text 15 17" xfId="35219"/>
    <cellStyle name="Warning Text 15 18" xfId="36866"/>
    <cellStyle name="Warning Text 15 19" xfId="38429"/>
    <cellStyle name="Warning Text 15 2" xfId="13025"/>
    <cellStyle name="Warning Text 15 20" xfId="39871"/>
    <cellStyle name="Warning Text 15 21" xfId="41125"/>
    <cellStyle name="Warning Text 15 22" xfId="42185"/>
    <cellStyle name="Warning Text 15 3" xfId="14151"/>
    <cellStyle name="Warning Text 15 4" xfId="15081"/>
    <cellStyle name="Warning Text 15 5" xfId="16008"/>
    <cellStyle name="Warning Text 15 6" xfId="16938"/>
    <cellStyle name="Warning Text 15 7" xfId="17846"/>
    <cellStyle name="Warning Text 15 8" xfId="18736"/>
    <cellStyle name="Warning Text 15 9" xfId="19614"/>
    <cellStyle name="Warning Text 16" xfId="11003"/>
    <cellStyle name="Warning Text 16 10" xfId="20555"/>
    <cellStyle name="Warning Text 16 11" xfId="21391"/>
    <cellStyle name="Warning Text 16 12" xfId="22185"/>
    <cellStyle name="Warning Text 16 13" xfId="26631"/>
    <cellStyle name="Warning Text 16 14" xfId="29960"/>
    <cellStyle name="Warning Text 16 15" xfId="31735"/>
    <cellStyle name="Warning Text 16 16" xfId="33493"/>
    <cellStyle name="Warning Text 16 17" xfId="35207"/>
    <cellStyle name="Warning Text 16 18" xfId="36854"/>
    <cellStyle name="Warning Text 16 19" xfId="38417"/>
    <cellStyle name="Warning Text 16 2" xfId="13105"/>
    <cellStyle name="Warning Text 16 20" xfId="39859"/>
    <cellStyle name="Warning Text 16 21" xfId="41113"/>
    <cellStyle name="Warning Text 16 22" xfId="42173"/>
    <cellStyle name="Warning Text 16 3" xfId="14231"/>
    <cellStyle name="Warning Text 16 4" xfId="15160"/>
    <cellStyle name="Warning Text 16 5" xfId="16088"/>
    <cellStyle name="Warning Text 16 6" xfId="17018"/>
    <cellStyle name="Warning Text 16 7" xfId="17926"/>
    <cellStyle name="Warning Text 16 8" xfId="18816"/>
    <cellStyle name="Warning Text 16 9" xfId="19694"/>
    <cellStyle name="Warning Text 17" xfId="9512"/>
    <cellStyle name="Warning Text 17 10" xfId="20634"/>
    <cellStyle name="Warning Text 17 11" xfId="21471"/>
    <cellStyle name="Warning Text 17 12" xfId="22262"/>
    <cellStyle name="Warning Text 17 13" xfId="26663"/>
    <cellStyle name="Warning Text 17 14" xfId="29992"/>
    <cellStyle name="Warning Text 17 15" xfId="31767"/>
    <cellStyle name="Warning Text 17 16" xfId="33525"/>
    <cellStyle name="Warning Text 17 17" xfId="35239"/>
    <cellStyle name="Warning Text 17 18" xfId="36886"/>
    <cellStyle name="Warning Text 17 19" xfId="38449"/>
    <cellStyle name="Warning Text 17 2" xfId="13185"/>
    <cellStyle name="Warning Text 17 20" xfId="39891"/>
    <cellStyle name="Warning Text 17 21" xfId="41145"/>
    <cellStyle name="Warning Text 17 22" xfId="42205"/>
    <cellStyle name="Warning Text 17 3" xfId="14311"/>
    <cellStyle name="Warning Text 17 4" xfId="15239"/>
    <cellStyle name="Warning Text 17 5" xfId="16168"/>
    <cellStyle name="Warning Text 17 6" xfId="17098"/>
    <cellStyle name="Warning Text 17 7" xfId="18006"/>
    <cellStyle name="Warning Text 17 8" xfId="18896"/>
    <cellStyle name="Warning Text 17 9" xfId="19774"/>
    <cellStyle name="Warning Text 18" xfId="10255"/>
    <cellStyle name="Warning Text 18 10" xfId="20713"/>
    <cellStyle name="Warning Text 18 11" xfId="21551"/>
    <cellStyle name="Warning Text 18 12" xfId="22339"/>
    <cellStyle name="Warning Text 18 13" xfId="26608"/>
    <cellStyle name="Warning Text 18 14" xfId="29937"/>
    <cellStyle name="Warning Text 18 15" xfId="31712"/>
    <cellStyle name="Warning Text 18 16" xfId="33470"/>
    <cellStyle name="Warning Text 18 17" xfId="35184"/>
    <cellStyle name="Warning Text 18 18" xfId="36831"/>
    <cellStyle name="Warning Text 18 19" xfId="38394"/>
    <cellStyle name="Warning Text 18 2" xfId="13265"/>
    <cellStyle name="Warning Text 18 20" xfId="39836"/>
    <cellStyle name="Warning Text 18 21" xfId="41091"/>
    <cellStyle name="Warning Text 18 22" xfId="42151"/>
    <cellStyle name="Warning Text 18 3" xfId="14390"/>
    <cellStyle name="Warning Text 18 4" xfId="15318"/>
    <cellStyle name="Warning Text 18 5" xfId="16248"/>
    <cellStyle name="Warning Text 18 6" xfId="17178"/>
    <cellStyle name="Warning Text 18 7" xfId="18086"/>
    <cellStyle name="Warning Text 18 8" xfId="18976"/>
    <cellStyle name="Warning Text 18 9" xfId="19853"/>
    <cellStyle name="Warning Text 19" xfId="10398"/>
    <cellStyle name="Warning Text 19 10" xfId="20792"/>
    <cellStyle name="Warning Text 19 11" xfId="21630"/>
    <cellStyle name="Warning Text 19 12" xfId="22416"/>
    <cellStyle name="Warning Text 19 13" xfId="26701"/>
    <cellStyle name="Warning Text 19 14" xfId="30030"/>
    <cellStyle name="Warning Text 19 15" xfId="31805"/>
    <cellStyle name="Warning Text 19 16" xfId="33561"/>
    <cellStyle name="Warning Text 19 17" xfId="35274"/>
    <cellStyle name="Warning Text 19 18" xfId="36920"/>
    <cellStyle name="Warning Text 19 19" xfId="38481"/>
    <cellStyle name="Warning Text 19 2" xfId="13345"/>
    <cellStyle name="Warning Text 19 20" xfId="39921"/>
    <cellStyle name="Warning Text 19 21" xfId="41174"/>
    <cellStyle name="Warning Text 19 22" xfId="42230"/>
    <cellStyle name="Warning Text 19 3" xfId="14469"/>
    <cellStyle name="Warning Text 19 4" xfId="15398"/>
    <cellStyle name="Warning Text 19 5" xfId="16327"/>
    <cellStyle name="Warning Text 19 6" xfId="17257"/>
    <cellStyle name="Warning Text 19 7" xfId="18165"/>
    <cellStyle name="Warning Text 19 8" xfId="19055"/>
    <cellStyle name="Warning Text 19 9" xfId="19932"/>
    <cellStyle name="Warning Text 2" xfId="4086"/>
    <cellStyle name="Warning Text 2 10" xfId="10652"/>
    <cellStyle name="Warning Text 2 11" xfId="11451"/>
    <cellStyle name="Warning Text 2 12" xfId="11122"/>
    <cellStyle name="Warning Text 2 13" xfId="12571"/>
    <cellStyle name="Warning Text 2 14" xfId="12040"/>
    <cellStyle name="Warning Text 2 15" xfId="12505"/>
    <cellStyle name="Warning Text 2 16" xfId="10894"/>
    <cellStyle name="Warning Text 2 17" xfId="12322"/>
    <cellStyle name="Warning Text 2 18" xfId="13871"/>
    <cellStyle name="Warning Text 2 19" xfId="14669"/>
    <cellStyle name="Warning Text 2 2" xfId="9495"/>
    <cellStyle name="Warning Text 2 2 2" xfId="9625"/>
    <cellStyle name="Warning Text 2 20" xfId="10612"/>
    <cellStyle name="Warning Text 2 21" xfId="17705"/>
    <cellStyle name="Warning Text 2 22" xfId="18487"/>
    <cellStyle name="Warning Text 2 23" xfId="23115"/>
    <cellStyle name="Warning Text 2 24" xfId="23307"/>
    <cellStyle name="Warning Text 2 25" xfId="29426"/>
    <cellStyle name="Warning Text 2 26" xfId="31203"/>
    <cellStyle name="Warning Text 2 27" xfId="32969"/>
    <cellStyle name="Warning Text 2 28" xfId="34692"/>
    <cellStyle name="Warning Text 2 29" xfId="36355"/>
    <cellStyle name="Warning Text 2 3" xfId="10423"/>
    <cellStyle name="Warning Text 2 30" xfId="37940"/>
    <cellStyle name="Warning Text 2 31" xfId="39410"/>
    <cellStyle name="Warning Text 2 32" xfId="40711"/>
    <cellStyle name="Warning Text 2 33" xfId="8819"/>
    <cellStyle name="Warning Text 2 4" xfId="10194"/>
    <cellStyle name="Warning Text 2 5" xfId="10224"/>
    <cellStyle name="Warning Text 2 6" xfId="10783"/>
    <cellStyle name="Warning Text 2 7" xfId="10602"/>
    <cellStyle name="Warning Text 2 8" xfId="10958"/>
    <cellStyle name="Warning Text 2 9" xfId="10877"/>
    <cellStyle name="Warning Text 20" xfId="11132"/>
    <cellStyle name="Warning Text 20 10" xfId="20871"/>
    <cellStyle name="Warning Text 20 11" xfId="21710"/>
    <cellStyle name="Warning Text 20 12" xfId="22494"/>
    <cellStyle name="Warning Text 20 13" xfId="26520"/>
    <cellStyle name="Warning Text 20 14" xfId="29851"/>
    <cellStyle name="Warning Text 20 15" xfId="31626"/>
    <cellStyle name="Warning Text 20 16" xfId="33385"/>
    <cellStyle name="Warning Text 20 17" xfId="35099"/>
    <cellStyle name="Warning Text 20 18" xfId="36749"/>
    <cellStyle name="Warning Text 20 19" xfId="38317"/>
    <cellStyle name="Warning Text 20 2" xfId="13425"/>
    <cellStyle name="Warning Text 20 20" xfId="39763"/>
    <cellStyle name="Warning Text 20 21" xfId="41029"/>
    <cellStyle name="Warning Text 20 22" xfId="42100"/>
    <cellStyle name="Warning Text 20 3" xfId="14549"/>
    <cellStyle name="Warning Text 20 4" xfId="15476"/>
    <cellStyle name="Warning Text 20 5" xfId="16407"/>
    <cellStyle name="Warning Text 20 6" xfId="17337"/>
    <cellStyle name="Warning Text 20 7" xfId="18245"/>
    <cellStyle name="Warning Text 20 8" xfId="19135"/>
    <cellStyle name="Warning Text 20 9" xfId="20012"/>
    <cellStyle name="Warning Text 21" xfId="11326"/>
    <cellStyle name="Warning Text 21 10" xfId="20949"/>
    <cellStyle name="Warning Text 21 11" xfId="21790"/>
    <cellStyle name="Warning Text 21 12" xfId="22572"/>
    <cellStyle name="Warning Text 21 13" xfId="26814"/>
    <cellStyle name="Warning Text 21 14" xfId="30142"/>
    <cellStyle name="Warning Text 21 15" xfId="31917"/>
    <cellStyle name="Warning Text 21 16" xfId="33672"/>
    <cellStyle name="Warning Text 21 17" xfId="35385"/>
    <cellStyle name="Warning Text 21 18" xfId="37030"/>
    <cellStyle name="Warning Text 21 19" xfId="38587"/>
    <cellStyle name="Warning Text 21 2" xfId="13505"/>
    <cellStyle name="Warning Text 21 20" xfId="40021"/>
    <cellStyle name="Warning Text 21 21" xfId="41269"/>
    <cellStyle name="Warning Text 21 22" xfId="42320"/>
    <cellStyle name="Warning Text 21 3" xfId="14628"/>
    <cellStyle name="Warning Text 21 4" xfId="15556"/>
    <cellStyle name="Warning Text 21 5" xfId="16487"/>
    <cellStyle name="Warning Text 21 6" xfId="17417"/>
    <cellStyle name="Warning Text 21 7" xfId="18325"/>
    <cellStyle name="Warning Text 21 8" xfId="19215"/>
    <cellStyle name="Warning Text 21 9" xfId="20091"/>
    <cellStyle name="Warning Text 22" xfId="10290"/>
    <cellStyle name="Warning Text 22 10" xfId="21022"/>
    <cellStyle name="Warning Text 22 11" xfId="21861"/>
    <cellStyle name="Warning Text 22 12" xfId="22642"/>
    <cellStyle name="Warning Text 22 13" xfId="26625"/>
    <cellStyle name="Warning Text 22 14" xfId="29954"/>
    <cellStyle name="Warning Text 22 15" xfId="31729"/>
    <cellStyle name="Warning Text 22 16" xfId="33487"/>
    <cellStyle name="Warning Text 22 17" xfId="35201"/>
    <cellStyle name="Warning Text 22 18" xfId="36848"/>
    <cellStyle name="Warning Text 22 19" xfId="38411"/>
    <cellStyle name="Warning Text 22 2" xfId="13585"/>
    <cellStyle name="Warning Text 22 20" xfId="39853"/>
    <cellStyle name="Warning Text 22 21" xfId="41107"/>
    <cellStyle name="Warning Text 22 22" xfId="42167"/>
    <cellStyle name="Warning Text 22 3" xfId="14704"/>
    <cellStyle name="Warning Text 22 4" xfId="15633"/>
    <cellStyle name="Warning Text 22 5" xfId="16564"/>
    <cellStyle name="Warning Text 22 6" xfId="17492"/>
    <cellStyle name="Warning Text 22 7" xfId="18399"/>
    <cellStyle name="Warning Text 22 8" xfId="19287"/>
    <cellStyle name="Warning Text 22 9" xfId="20161"/>
    <cellStyle name="Warning Text 23" xfId="12153"/>
    <cellStyle name="Warning Text 23 10" xfId="21085"/>
    <cellStyle name="Warning Text 23 11" xfId="21920"/>
    <cellStyle name="Warning Text 23 12" xfId="22701"/>
    <cellStyle name="Warning Text 23 2" xfId="13665"/>
    <cellStyle name="Warning Text 23 3" xfId="14780"/>
    <cellStyle name="Warning Text 23 4" xfId="15706"/>
    <cellStyle name="Warning Text 23 5" xfId="16636"/>
    <cellStyle name="Warning Text 23 6" xfId="17566"/>
    <cellStyle name="Warning Text 23 7" xfId="18469"/>
    <cellStyle name="Warning Text 23 8" xfId="19353"/>
    <cellStyle name="Warning Text 23 9" xfId="20231"/>
    <cellStyle name="Warning Text 24" xfId="11892"/>
    <cellStyle name="Warning Text 24 10" xfId="21127"/>
    <cellStyle name="Warning Text 24 11" xfId="21957"/>
    <cellStyle name="Warning Text 24 12" xfId="22736"/>
    <cellStyle name="Warning Text 24 2" xfId="13737"/>
    <cellStyle name="Warning Text 24 3" xfId="14836"/>
    <cellStyle name="Warning Text 24 4" xfId="15765"/>
    <cellStyle name="Warning Text 24 5" xfId="16697"/>
    <cellStyle name="Warning Text 24 6" xfId="17620"/>
    <cellStyle name="Warning Text 24 7" xfId="18524"/>
    <cellStyle name="Warning Text 24 8" xfId="19404"/>
    <cellStyle name="Warning Text 24 9" xfId="20273"/>
    <cellStyle name="Warning Text 25" xfId="13798"/>
    <cellStyle name="Warning Text 26" xfId="13835"/>
    <cellStyle name="Warning Text 27" xfId="12923"/>
    <cellStyle name="Warning Text 28" xfId="10406"/>
    <cellStyle name="Warning Text 29" xfId="11949"/>
    <cellStyle name="Warning Text 3" xfId="8906"/>
    <cellStyle name="Warning Text 30" xfId="10813"/>
    <cellStyle name="Warning Text 31" xfId="14892"/>
    <cellStyle name="Warning Text 32" xfId="15597"/>
    <cellStyle name="Warning Text 33" xfId="11759"/>
    <cellStyle name="Warning Text 34" xfId="18551"/>
    <cellStyle name="Warning Text 35" xfId="19427"/>
    <cellStyle name="Warning Text 36" xfId="17661"/>
    <cellStyle name="Warning Text 37" xfId="22920"/>
    <cellStyle name="Warning Text 38" xfId="26695"/>
    <cellStyle name="Warning Text 39" xfId="29455"/>
    <cellStyle name="Warning Text 4" xfId="8984"/>
    <cellStyle name="Warning Text 40" xfId="31232"/>
    <cellStyle name="Warning Text 41" xfId="32997"/>
    <cellStyle name="Warning Text 42" xfId="34719"/>
    <cellStyle name="Warning Text 43" xfId="36380"/>
    <cellStyle name="Warning Text 44" xfId="37965"/>
    <cellStyle name="Warning Text 45" xfId="39435"/>
    <cellStyle name="Warning Text 46" xfId="40735"/>
    <cellStyle name="Warning Text 47" xfId="42693"/>
    <cellStyle name="Warning Text 48" xfId="42737"/>
    <cellStyle name="Warning Text 49" xfId="42779"/>
    <cellStyle name="Warning Text 5" xfId="9059"/>
    <cellStyle name="Warning Text 50" xfId="42820"/>
    <cellStyle name="Warning Text 51" xfId="42861"/>
    <cellStyle name="Warning Text 52" xfId="42902"/>
    <cellStyle name="Warning Text 53" xfId="42942"/>
    <cellStyle name="Warning Text 54" xfId="42979"/>
    <cellStyle name="Warning Text 55" xfId="43016"/>
    <cellStyle name="Warning Text 56" xfId="43050"/>
    <cellStyle name="Warning Text 57" xfId="43083"/>
    <cellStyle name="Warning Text 58" xfId="43108"/>
    <cellStyle name="Warning Text 59" xfId="43119"/>
    <cellStyle name="Warning Text 6" xfId="9120"/>
    <cellStyle name="Warning Text 60" xfId="43194"/>
    <cellStyle name="Warning Text 61" xfId="43205"/>
    <cellStyle name="Warning Text 62" xfId="8666"/>
    <cellStyle name="Warning Text 63" xfId="7793"/>
    <cellStyle name="Warning Text 64" xfId="3923"/>
    <cellStyle name="Warning Text 7" xfId="9155"/>
    <cellStyle name="Warning Text 8" xfId="9317"/>
    <cellStyle name="Warning Text 9" xfId="9821"/>
    <cellStyle name="Акцент1" xfId="7881"/>
    <cellStyle name="Акцент2" xfId="7882"/>
    <cellStyle name="Акцент3" xfId="7883"/>
    <cellStyle name="Акцент4" xfId="7884"/>
    <cellStyle name="Акцент5" xfId="7885"/>
    <cellStyle name="Акцент6" xfId="7886"/>
    <cellStyle name="Ввод " xfId="7887"/>
    <cellStyle name="Вывод" xfId="7888"/>
    <cellStyle name="Вычисление" xfId="7889"/>
    <cellStyle name="Денежный [0]_RESULTS" xfId="3924"/>
    <cellStyle name="Денежный_RESULTS" xfId="3925"/>
    <cellStyle name="Заголовок 1" xfId="7890"/>
    <cellStyle name="Заголовок 2" xfId="7891"/>
    <cellStyle name="Заголовок 3" xfId="7892"/>
    <cellStyle name="Заголовок 4" xfId="7893"/>
    <cellStyle name="Итог" xfId="7894"/>
    <cellStyle name="Контрольная ячейка" xfId="7895"/>
    <cellStyle name="Название" xfId="7896"/>
    <cellStyle name="Название 2" xfId="43317"/>
    <cellStyle name="Нейтральный" xfId="7897"/>
    <cellStyle name="Обычный_ETA by WEEK" xfId="3926"/>
    <cellStyle name="Плохой" xfId="7898"/>
    <cellStyle name="Пояснение" xfId="7899"/>
    <cellStyle name="Примечание" xfId="7900"/>
    <cellStyle name="Примечание 10" xfId="9320"/>
    <cellStyle name="Примечание 11" xfId="9321"/>
    <cellStyle name="Примечание 12" xfId="9322"/>
    <cellStyle name="Примечание 13" xfId="9323"/>
    <cellStyle name="Примечание 14" xfId="9324"/>
    <cellStyle name="Примечание 15" xfId="9325"/>
    <cellStyle name="Примечание 16" xfId="9326"/>
    <cellStyle name="Примечание 17" xfId="9328"/>
    <cellStyle name="Примечание 18" xfId="9327"/>
    <cellStyle name="Примечание 19" xfId="9329"/>
    <cellStyle name="Примечание 2" xfId="8836"/>
    <cellStyle name="Примечание 2 10" xfId="13363"/>
    <cellStyle name="Примечание 2 11" xfId="13443"/>
    <cellStyle name="Примечание 2 12" xfId="13523"/>
    <cellStyle name="Примечание 2 13" xfId="13603"/>
    <cellStyle name="Примечание 2 14" xfId="13683"/>
    <cellStyle name="Примечание 2 15" xfId="13751"/>
    <cellStyle name="Примечание 2 16" xfId="13806"/>
    <cellStyle name="Примечание 2 17" xfId="13837"/>
    <cellStyle name="Примечание 2 2" xfId="12760"/>
    <cellStyle name="Примечание 2 3" xfId="12827"/>
    <cellStyle name="Примечание 2 4" xfId="12888"/>
    <cellStyle name="Примечание 2 5" xfId="12963"/>
    <cellStyle name="Примечание 2 6" xfId="13043"/>
    <cellStyle name="Примечание 2 7" xfId="13123"/>
    <cellStyle name="Примечание 2 8" xfId="13203"/>
    <cellStyle name="Примечание 2 9" xfId="13283"/>
    <cellStyle name="Примечание 20" xfId="9515"/>
    <cellStyle name="Примечание 20 10" xfId="20809"/>
    <cellStyle name="Примечание 20 11" xfId="21647"/>
    <cellStyle name="Примечание 20 12" xfId="22433"/>
    <cellStyle name="Примечание 20 13" xfId="26675"/>
    <cellStyle name="Примечание 20 14" xfId="30004"/>
    <cellStyle name="Примечание 20 15" xfId="31779"/>
    <cellStyle name="Примечание 20 16" xfId="33537"/>
    <cellStyle name="Примечание 20 17" xfId="35251"/>
    <cellStyle name="Примечание 20 18" xfId="36898"/>
    <cellStyle name="Примечание 20 19" xfId="38461"/>
    <cellStyle name="Примечание 20 2" xfId="13362"/>
    <cellStyle name="Примечание 20 20" xfId="39902"/>
    <cellStyle name="Примечание 20 21" xfId="41156"/>
    <cellStyle name="Примечание 20 22" xfId="42216"/>
    <cellStyle name="Примечание 20 3" xfId="14486"/>
    <cellStyle name="Примечание 20 4" xfId="15415"/>
    <cellStyle name="Примечание 20 5" xfId="16344"/>
    <cellStyle name="Примечание 20 6" xfId="17274"/>
    <cellStyle name="Примечание 20 7" xfId="18182"/>
    <cellStyle name="Примечание 20 8" xfId="19072"/>
    <cellStyle name="Примечание 20 9" xfId="19949"/>
    <cellStyle name="Примечание 21" xfId="10256"/>
    <cellStyle name="Примечание 21 10" xfId="20888"/>
    <cellStyle name="Примечание 21 11" xfId="21727"/>
    <cellStyle name="Примечание 21 12" xfId="22511"/>
    <cellStyle name="Примечание 21 13" xfId="26421"/>
    <cellStyle name="Примечание 21 14" xfId="29752"/>
    <cellStyle name="Примечание 21 15" xfId="31527"/>
    <cellStyle name="Примечание 21 16" xfId="33286"/>
    <cellStyle name="Примечание 21 17" xfId="35003"/>
    <cellStyle name="Примечание 21 18" xfId="36654"/>
    <cellStyle name="Примечание 21 19" xfId="38223"/>
    <cellStyle name="Примечание 21 2" xfId="13442"/>
    <cellStyle name="Примечание 21 20" xfId="39673"/>
    <cellStyle name="Примечание 21 21" xfId="40941"/>
    <cellStyle name="Примечание 21 22" xfId="42015"/>
    <cellStyle name="Примечание 21 3" xfId="14566"/>
    <cellStyle name="Примечание 21 4" xfId="15493"/>
    <cellStyle name="Примечание 21 5" xfId="16424"/>
    <cellStyle name="Примечание 21 6" xfId="17354"/>
    <cellStyle name="Примечание 21 7" xfId="18262"/>
    <cellStyle name="Примечание 21 8" xfId="19152"/>
    <cellStyle name="Примечание 21 9" xfId="20029"/>
    <cellStyle name="Примечание 22" xfId="11258"/>
    <cellStyle name="Примечание 22 10" xfId="20966"/>
    <cellStyle name="Примечание 22 11" xfId="21807"/>
    <cellStyle name="Примечание 22 12" xfId="22589"/>
    <cellStyle name="Примечание 22 13" xfId="26940"/>
    <cellStyle name="Примечание 22 14" xfId="30268"/>
    <cellStyle name="Примечание 22 15" xfId="32043"/>
    <cellStyle name="Примечание 22 16" xfId="33798"/>
    <cellStyle name="Примечание 22 17" xfId="35511"/>
    <cellStyle name="Примечание 22 18" xfId="37155"/>
    <cellStyle name="Примечание 22 19" xfId="38711"/>
    <cellStyle name="Примечание 22 2" xfId="13522"/>
    <cellStyle name="Примечание 22 20" xfId="40145"/>
    <cellStyle name="Примечание 22 21" xfId="41390"/>
    <cellStyle name="Примечание 22 22" xfId="42440"/>
    <cellStyle name="Примечание 22 3" xfId="14645"/>
    <cellStyle name="Примечание 22 4" xfId="15573"/>
    <cellStyle name="Примечание 22 5" xfId="16504"/>
    <cellStyle name="Примечание 22 6" xfId="17434"/>
    <cellStyle name="Примечание 22 7" xfId="18342"/>
    <cellStyle name="Примечание 22 8" xfId="19232"/>
    <cellStyle name="Примечание 22 9" xfId="20108"/>
    <cellStyle name="Примечание 23" xfId="11449"/>
    <cellStyle name="Примечание 23 10" xfId="21037"/>
    <cellStyle name="Примечание 23 11" xfId="21874"/>
    <cellStyle name="Примечание 23 12" xfId="22655"/>
    <cellStyle name="Примечание 23 13" xfId="26301"/>
    <cellStyle name="Примечание 23 14" xfId="29632"/>
    <cellStyle name="Примечание 23 15" xfId="31407"/>
    <cellStyle name="Примечание 23 16" xfId="33170"/>
    <cellStyle name="Примечание 23 17" xfId="34888"/>
    <cellStyle name="Примечание 23 18" xfId="36541"/>
    <cellStyle name="Примечание 23 19" xfId="38115"/>
    <cellStyle name="Примечание 23 2" xfId="13602"/>
    <cellStyle name="Примечание 23 20" xfId="39568"/>
    <cellStyle name="Примечание 23 21" xfId="40841"/>
    <cellStyle name="Примечание 23 22" xfId="41920"/>
    <cellStyle name="Примечание 23 3" xfId="14721"/>
    <cellStyle name="Примечание 23 4" xfId="15650"/>
    <cellStyle name="Примечание 23 5" xfId="16580"/>
    <cellStyle name="Примечание 23 6" xfId="17508"/>
    <cellStyle name="Примечание 23 7" xfId="18413"/>
    <cellStyle name="Примечание 23 8" xfId="19301"/>
    <cellStyle name="Примечание 23 9" xfId="20177"/>
    <cellStyle name="Примечание 24" xfId="11636"/>
    <cellStyle name="Примечание 24 10" xfId="21093"/>
    <cellStyle name="Примечание 24 11" xfId="21927"/>
    <cellStyle name="Примечание 24 12" xfId="22708"/>
    <cellStyle name="Примечание 24 2" xfId="13682"/>
    <cellStyle name="Примечание 24 3" xfId="14792"/>
    <cellStyle name="Примечание 24 4" xfId="15720"/>
    <cellStyle name="Примечание 24 5" xfId="16651"/>
    <cellStyle name="Примечание 24 6" xfId="17579"/>
    <cellStyle name="Примечание 24 7" xfId="18481"/>
    <cellStyle name="Примечание 24 8" xfId="19365"/>
    <cellStyle name="Примечание 24 9" xfId="20240"/>
    <cellStyle name="Примечание 25" xfId="11820"/>
    <cellStyle name="Примечание 25 10" xfId="21131"/>
    <cellStyle name="Примечание 25 11" xfId="21960"/>
    <cellStyle name="Примечание 25 12" xfId="22737"/>
    <cellStyle name="Примечание 25 2" xfId="13750"/>
    <cellStyle name="Примечание 25 3" xfId="14845"/>
    <cellStyle name="Примечание 25 4" xfId="15773"/>
    <cellStyle name="Примечание 25 5" xfId="16707"/>
    <cellStyle name="Примечание 25 6" xfId="17628"/>
    <cellStyle name="Примечание 25 7" xfId="18529"/>
    <cellStyle name="Примечание 25 8" xfId="19409"/>
    <cellStyle name="Примечание 25 9" xfId="20275"/>
    <cellStyle name="Примечание 26" xfId="12002"/>
    <cellStyle name="Примечание 26 10" xfId="21151"/>
    <cellStyle name="Примечание 26 11" xfId="21970"/>
    <cellStyle name="Примечание 26 12" xfId="22738"/>
    <cellStyle name="Примечание 26 2" xfId="13805"/>
    <cellStyle name="Примечание 26 3" xfId="14888"/>
    <cellStyle name="Примечание 26 4" xfId="15812"/>
    <cellStyle name="Примечание 26 5" xfId="16746"/>
    <cellStyle name="Примечание 26 6" xfId="17660"/>
    <cellStyle name="Примечание 26 7" xfId="18561"/>
    <cellStyle name="Примечание 26 8" xfId="19438"/>
    <cellStyle name="Примечание 26 9" xfId="20303"/>
    <cellStyle name="Примечание 27" xfId="12176"/>
    <cellStyle name="Примечание 27 10" xfId="21167"/>
    <cellStyle name="Примечание 27 11" xfId="21982"/>
    <cellStyle name="Примечание 27 12" xfId="22739"/>
    <cellStyle name="Примечание 27 2" xfId="13836"/>
    <cellStyle name="Примечание 27 3" xfId="14913"/>
    <cellStyle name="Примечание 27 4" xfId="15840"/>
    <cellStyle name="Примечание 27 5" xfId="16771"/>
    <cellStyle name="Примечание 27 6" xfId="17681"/>
    <cellStyle name="Примечание 27 7" xfId="18581"/>
    <cellStyle name="Примечание 27 8" xfId="19459"/>
    <cellStyle name="Примечание 27 9" xfId="20320"/>
    <cellStyle name="Примечание 28" xfId="11506"/>
    <cellStyle name="Примечание 29" xfId="12547"/>
    <cellStyle name="Примечание 3" xfId="8923"/>
    <cellStyle name="Примечание 3 10" xfId="13364"/>
    <cellStyle name="Примечание 3 11" xfId="13444"/>
    <cellStyle name="Примечание 3 12" xfId="13524"/>
    <cellStyle name="Примечание 3 13" xfId="13604"/>
    <cellStyle name="Примечание 3 14" xfId="13684"/>
    <cellStyle name="Примечание 3 15" xfId="13752"/>
    <cellStyle name="Примечание 3 16" xfId="13807"/>
    <cellStyle name="Примечание 3 17" xfId="13838"/>
    <cellStyle name="Примечание 3 2" xfId="12761"/>
    <cellStyle name="Примечание 3 3" xfId="12828"/>
    <cellStyle name="Примечание 3 4" xfId="12889"/>
    <cellStyle name="Примечание 3 5" xfId="12964"/>
    <cellStyle name="Примечание 3 6" xfId="13044"/>
    <cellStyle name="Примечание 3 7" xfId="13124"/>
    <cellStyle name="Примечание 3 8" xfId="13204"/>
    <cellStyle name="Примечание 3 9" xfId="13284"/>
    <cellStyle name="Примечание 30" xfId="12624"/>
    <cellStyle name="Примечание 31" xfId="12033"/>
    <cellStyle name="Примечание 32" xfId="12818"/>
    <cellStyle name="Примечание 33" xfId="15833"/>
    <cellStyle name="Примечание 34" xfId="12404"/>
    <cellStyle name="Примечание 35" xfId="11623"/>
    <cellStyle name="Примечание 36" xfId="11308"/>
    <cellStyle name="Примечание 37" xfId="13980"/>
    <cellStyle name="Примечание 38" xfId="18528"/>
    <cellStyle name="Примечание 39" xfId="18485"/>
    <cellStyle name="Примечание 4" xfId="9001"/>
    <cellStyle name="Примечание 40" xfId="17627"/>
    <cellStyle name="Примечание 41" xfId="22740"/>
    <cellStyle name="Примечание 42" xfId="22741"/>
    <cellStyle name="Примечание 43" xfId="22745"/>
    <cellStyle name="Примечание 44" xfId="22743"/>
    <cellStyle name="Примечание 45" xfId="22742"/>
    <cellStyle name="Примечание 46" xfId="22744"/>
    <cellStyle name="Примечание 47" xfId="22746"/>
    <cellStyle name="Примечание 48" xfId="22747"/>
    <cellStyle name="Примечание 49" xfId="22748"/>
    <cellStyle name="Примечание 5" xfId="9073"/>
    <cellStyle name="Примечание 50" xfId="22750"/>
    <cellStyle name="Примечание 51" xfId="22754"/>
    <cellStyle name="Примечание 52" xfId="22756"/>
    <cellStyle name="Примечание 53" xfId="22755"/>
    <cellStyle name="Примечание 54" xfId="22752"/>
    <cellStyle name="Примечание 55" xfId="22749"/>
    <cellStyle name="Примечание 56" xfId="22751"/>
    <cellStyle name="Примечание 57" xfId="22753"/>
    <cellStyle name="Примечание 58" xfId="22939"/>
    <cellStyle name="Примечание 59" xfId="26504"/>
    <cellStyle name="Примечание 6" xfId="9130"/>
    <cellStyle name="Примечание 60" xfId="28840"/>
    <cellStyle name="Примечание 61" xfId="30626"/>
    <cellStyle name="Примечание 62" xfId="32400"/>
    <cellStyle name="Примечание 63" xfId="34151"/>
    <cellStyle name="Примечание 64" xfId="35857"/>
    <cellStyle name="Примечание 65" xfId="37488"/>
    <cellStyle name="Примечание 66" xfId="39035"/>
    <cellStyle name="Примечание 67" xfId="40448"/>
    <cellStyle name="Примечание 68" xfId="42710"/>
    <cellStyle name="Примечание 69" xfId="42752"/>
    <cellStyle name="Примечание 7" xfId="9156"/>
    <cellStyle name="Примечание 70" xfId="42794"/>
    <cellStyle name="Примечание 71" xfId="42835"/>
    <cellStyle name="Примечание 72" xfId="42876"/>
    <cellStyle name="Примечание 73" xfId="42916"/>
    <cellStyle name="Примечание 74" xfId="42956"/>
    <cellStyle name="Примечание 75" xfId="42993"/>
    <cellStyle name="Примечание 76" xfId="43029"/>
    <cellStyle name="Примечание 77" xfId="43063"/>
    <cellStyle name="Примечание 78" xfId="43092"/>
    <cellStyle name="Примечание 79" xfId="43115"/>
    <cellStyle name="Примечание 8" xfId="9318"/>
    <cellStyle name="Примечание 80" xfId="43120"/>
    <cellStyle name="Примечание 81" xfId="43201"/>
    <cellStyle name="Примечание 82" xfId="43206"/>
    <cellStyle name="Примечание 9" xfId="9319"/>
    <cellStyle name="Процентный_RESULTS" xfId="3927"/>
    <cellStyle name="Связанная ячейка" xfId="7901"/>
    <cellStyle name="Стиль 1" xfId="7902"/>
    <cellStyle name="Текст предупреждения" xfId="7903"/>
    <cellStyle name="Финансовый [0]_RESULTS" xfId="3928"/>
    <cellStyle name="Финансовый_laroux_1" xfId="3929"/>
    <cellStyle name="Хороший" xfId="7904"/>
    <cellStyle name="표준 2 4" xfId="7794"/>
    <cellStyle name="一般 10" xfId="7905"/>
    <cellStyle name="一般 11" xfId="26463"/>
    <cellStyle name="一般 12" xfId="26875"/>
    <cellStyle name="一般 13" xfId="26326"/>
    <cellStyle name="一般 14" xfId="24875"/>
    <cellStyle name="一般 15" xfId="8611"/>
    <cellStyle name="一般 16" xfId="7981"/>
    <cellStyle name="一般 17" xfId="43303"/>
    <cellStyle name="一般 18" xfId="7938"/>
    <cellStyle name="一般 2" xfId="8023"/>
    <cellStyle name="一般 2 2" xfId="23707"/>
    <cellStyle name="一般 2 5" xfId="24876"/>
    <cellStyle name="一般 23" xfId="24877"/>
    <cellStyle name="一般 25" xfId="24878"/>
    <cellStyle name="一般 26" xfId="24879"/>
    <cellStyle name="一般 27" xfId="24880"/>
    <cellStyle name="一般 28" xfId="24881"/>
    <cellStyle name="一般 29" xfId="24882"/>
    <cellStyle name="一般 3" xfId="8840"/>
    <cellStyle name="一般 3 2" xfId="25492"/>
    <cellStyle name="一般 30" xfId="24883"/>
    <cellStyle name="一般 31" xfId="24884"/>
    <cellStyle name="一般 32" xfId="24885"/>
    <cellStyle name="一般 33" xfId="24886"/>
    <cellStyle name="一般 35" xfId="24887"/>
    <cellStyle name="一般 36" xfId="24888"/>
    <cellStyle name="一般 37" xfId="24889"/>
    <cellStyle name="一般 4" xfId="8928"/>
    <cellStyle name="一般 4 2" xfId="26852"/>
    <cellStyle name="一般 5" xfId="9006"/>
    <cellStyle name="一般 5 2" xfId="26355"/>
    <cellStyle name="一般 59" xfId="24890"/>
    <cellStyle name="一般 6" xfId="9075"/>
    <cellStyle name="一般 6 2" xfId="26746"/>
    <cellStyle name="一般 60" xfId="24891"/>
    <cellStyle name="一般 7" xfId="9131"/>
    <cellStyle name="一般 7 2" xfId="26470"/>
    <cellStyle name="一般 8" xfId="9157"/>
    <cellStyle name="一般 8 2" xfId="26862"/>
    <cellStyle name="一般 9" xfId="9199"/>
    <cellStyle name="一般 9 2" xfId="26345"/>
    <cellStyle name="一般_August" xfId="3930"/>
    <cellStyle name="中等 10" xfId="11694"/>
    <cellStyle name="中等 10 10" xfId="32647"/>
    <cellStyle name="中等 10 11" xfId="34387"/>
    <cellStyle name="中等 10 2" xfId="24892"/>
    <cellStyle name="中等 10 3" xfId="28278"/>
    <cellStyle name="中等 10 4" xfId="23227"/>
    <cellStyle name="中等 10 5" xfId="28585"/>
    <cellStyle name="中等 10 6" xfId="23124"/>
    <cellStyle name="中等 10 7" xfId="22758"/>
    <cellStyle name="中等 10 8" xfId="29091"/>
    <cellStyle name="中等 10 9" xfId="30876"/>
    <cellStyle name="中等 11" xfId="11160"/>
    <cellStyle name="中等 11 10" xfId="27116"/>
    <cellStyle name="中等 11 11" xfId="28248"/>
    <cellStyle name="中等 11 2" xfId="24893"/>
    <cellStyle name="中等 11 3" xfId="28279"/>
    <cellStyle name="中等 11 4" xfId="27081"/>
    <cellStyle name="中等 11 5" xfId="23122"/>
    <cellStyle name="中等 11 6" xfId="28270"/>
    <cellStyle name="中等 11 7" xfId="22923"/>
    <cellStyle name="中等 11 8" xfId="28504"/>
    <cellStyle name="中等 11 9" xfId="27190"/>
    <cellStyle name="中等 12" xfId="11864"/>
    <cellStyle name="中等 12 10" xfId="31612"/>
    <cellStyle name="中等 12 11" xfId="33371"/>
    <cellStyle name="中等 12 2" xfId="24894"/>
    <cellStyle name="中等 12 3" xfId="28280"/>
    <cellStyle name="中等 12 4" xfId="23532"/>
    <cellStyle name="中等 12 5" xfId="28269"/>
    <cellStyle name="中等 12 6" xfId="22922"/>
    <cellStyle name="中等 12 7" xfId="28503"/>
    <cellStyle name="中等 12 8" xfId="27209"/>
    <cellStyle name="中等 12 9" xfId="29837"/>
    <cellStyle name="中等 13" xfId="12237"/>
    <cellStyle name="中等 13 10" xfId="32670"/>
    <cellStyle name="中等 13 11" xfId="34409"/>
    <cellStyle name="中等 13 2" xfId="24895"/>
    <cellStyle name="中等 13 3" xfId="28281"/>
    <cellStyle name="中等 13 4" xfId="23650"/>
    <cellStyle name="中等 13 5" xfId="28433"/>
    <cellStyle name="中等 13 6" xfId="27304"/>
    <cellStyle name="中等 13 7" xfId="23010"/>
    <cellStyle name="中等 13 8" xfId="29115"/>
    <cellStyle name="中等 13 9" xfId="30899"/>
    <cellStyle name="中等 14" xfId="11477"/>
    <cellStyle name="中等 14 10" xfId="37591"/>
    <cellStyle name="中等 14 11" xfId="39122"/>
    <cellStyle name="中等 14 2" xfId="24896"/>
    <cellStyle name="中等 14 3" xfId="28282"/>
    <cellStyle name="中等 14 4" xfId="23484"/>
    <cellStyle name="中等 14 5" xfId="28968"/>
    <cellStyle name="中等 14 6" xfId="30754"/>
    <cellStyle name="中等 14 7" xfId="32527"/>
    <cellStyle name="中等 14 8" xfId="34270"/>
    <cellStyle name="中等 14 9" xfId="35966"/>
    <cellStyle name="中等 15" xfId="10853"/>
    <cellStyle name="中等 15 10" xfId="37615"/>
    <cellStyle name="中等 15 11" xfId="39144"/>
    <cellStyle name="中等 15 2" xfId="24897"/>
    <cellStyle name="中等 15 3" xfId="28283"/>
    <cellStyle name="中等 15 4" xfId="23288"/>
    <cellStyle name="中等 15 5" xfId="28998"/>
    <cellStyle name="中等 15 6" xfId="30784"/>
    <cellStyle name="中等 15 7" xfId="32557"/>
    <cellStyle name="中等 15 8" xfId="34299"/>
    <cellStyle name="中等 15 9" xfId="35992"/>
    <cellStyle name="中等 16" xfId="13935"/>
    <cellStyle name="中等 16 10" xfId="37757"/>
    <cellStyle name="中等 16 11" xfId="39262"/>
    <cellStyle name="中等 16 2" xfId="24898"/>
    <cellStyle name="中等 16 3" xfId="28284"/>
    <cellStyle name="中等 16 4" xfId="23490"/>
    <cellStyle name="中等 16 5" xfId="29174"/>
    <cellStyle name="中等 16 6" xfId="30958"/>
    <cellStyle name="中等 16 7" xfId="32729"/>
    <cellStyle name="中等 16 8" xfId="34465"/>
    <cellStyle name="中等 16 9" xfId="36147"/>
    <cellStyle name="中等 17" xfId="16734"/>
    <cellStyle name="中等 17 10" xfId="37849"/>
    <cellStyle name="中等 17 11" xfId="39338"/>
    <cellStyle name="中等 17 2" xfId="24899"/>
    <cellStyle name="中等 17 3" xfId="28285"/>
    <cellStyle name="中等 17 4" xfId="22972"/>
    <cellStyle name="中等 17 5" xfId="29298"/>
    <cellStyle name="中等 17 6" xfId="31080"/>
    <cellStyle name="中等 17 7" xfId="32849"/>
    <cellStyle name="中等 17 8" xfId="34578"/>
    <cellStyle name="中等 17 9" xfId="36250"/>
    <cellStyle name="中等 18" xfId="17648"/>
    <cellStyle name="中等 18 10" xfId="32534"/>
    <cellStyle name="中等 18 11" xfId="34277"/>
    <cellStyle name="中等 18 2" xfId="24900"/>
    <cellStyle name="中等 18 3" xfId="28286"/>
    <cellStyle name="中等 18 4" xfId="23148"/>
    <cellStyle name="中等 18 5" xfId="28584"/>
    <cellStyle name="中等 18 6" xfId="27089"/>
    <cellStyle name="中等 18 7" xfId="23221"/>
    <cellStyle name="中等 18 8" xfId="28975"/>
    <cellStyle name="中等 18 9" xfId="30761"/>
    <cellStyle name="中等 19" xfId="18550"/>
    <cellStyle name="中等 19 10" xfId="23208"/>
    <cellStyle name="中等 19 11" xfId="29300"/>
    <cellStyle name="中等 19 2" xfId="24901"/>
    <cellStyle name="中等 19 3" xfId="28287"/>
    <cellStyle name="中等 19 4" xfId="27082"/>
    <cellStyle name="中等 19 5" xfId="23426"/>
    <cellStyle name="中等 19 6" xfId="28438"/>
    <cellStyle name="中等 19 7" xfId="27299"/>
    <cellStyle name="中等 19 8" xfId="27106"/>
    <cellStyle name="中等 19 9" xfId="27076"/>
    <cellStyle name="中等 2" xfId="8587"/>
    <cellStyle name="中等 2 10" xfId="31799"/>
    <cellStyle name="中等 2 11" xfId="33555"/>
    <cellStyle name="中等 2 12" xfId="9165"/>
    <cellStyle name="中等 2 2" xfId="9520"/>
    <cellStyle name="中等 2 2 2" xfId="24902"/>
    <cellStyle name="中等 2 3" xfId="28288"/>
    <cellStyle name="中等 2 4" xfId="23452"/>
    <cellStyle name="中等 2 5" xfId="28268"/>
    <cellStyle name="中等 2 6" xfId="22921"/>
    <cellStyle name="中等 2 7" xfId="28502"/>
    <cellStyle name="中等 2 8" xfId="27210"/>
    <cellStyle name="中等 2 9" xfId="30024"/>
    <cellStyle name="中等 20" xfId="11352"/>
    <cellStyle name="中等 20 10" xfId="32788"/>
    <cellStyle name="中等 20 11" xfId="34522"/>
    <cellStyle name="中等 20 2" xfId="24903"/>
    <cellStyle name="中等 20 3" xfId="28289"/>
    <cellStyle name="中等 20 4" xfId="23581"/>
    <cellStyle name="中等 20 5" xfId="28432"/>
    <cellStyle name="中等 20 6" xfId="27305"/>
    <cellStyle name="中等 20 7" xfId="26797"/>
    <cellStyle name="中等 20 8" xfId="29237"/>
    <cellStyle name="中等 20 9" xfId="31019"/>
    <cellStyle name="中等 21" xfId="12276"/>
    <cellStyle name="中等 21 10" xfId="37590"/>
    <cellStyle name="中等 21 11" xfId="39121"/>
    <cellStyle name="中等 21 2" xfId="24904"/>
    <cellStyle name="中等 21 3" xfId="28290"/>
    <cellStyle name="中等 21 4" xfId="23403"/>
    <cellStyle name="中等 21 5" xfId="28967"/>
    <cellStyle name="中等 21 6" xfId="30753"/>
    <cellStyle name="中等 21 7" xfId="32526"/>
    <cellStyle name="中等 21 8" xfId="34269"/>
    <cellStyle name="中等 21 9" xfId="35965"/>
    <cellStyle name="中等 22" xfId="20328"/>
    <cellStyle name="中等 22 10" xfId="37614"/>
    <cellStyle name="中等 22 11" xfId="39143"/>
    <cellStyle name="中等 22 2" xfId="24905"/>
    <cellStyle name="中等 22 3" xfId="28291"/>
    <cellStyle name="中等 22 4" xfId="23119"/>
    <cellStyle name="中等 22 5" xfId="28996"/>
    <cellStyle name="中等 22 6" xfId="30782"/>
    <cellStyle name="中等 22 7" xfId="32555"/>
    <cellStyle name="中等 22 8" xfId="34297"/>
    <cellStyle name="中等 22 9" xfId="35991"/>
    <cellStyle name="中等 23" xfId="22944"/>
    <cellStyle name="中等 23 10" xfId="37756"/>
    <cellStyle name="中等 23 11" xfId="39261"/>
    <cellStyle name="中等 23 2" xfId="24906"/>
    <cellStyle name="中等 23 3" xfId="28292"/>
    <cellStyle name="中等 23 4" xfId="23408"/>
    <cellStyle name="中等 23 5" xfId="29173"/>
    <cellStyle name="中等 23 6" xfId="30957"/>
    <cellStyle name="中等 23 7" xfId="32728"/>
    <cellStyle name="中等 23 8" xfId="34464"/>
    <cellStyle name="中等 23 9" xfId="36146"/>
    <cellStyle name="中等 24" xfId="24907"/>
    <cellStyle name="中等 25" xfId="24908"/>
    <cellStyle name="中等 26" xfId="24909"/>
    <cellStyle name="中等 27" xfId="24910"/>
    <cellStyle name="中等 28" xfId="24911"/>
    <cellStyle name="中等 29" xfId="24912"/>
    <cellStyle name="中等 3" xfId="9207"/>
    <cellStyle name="中等 3 10" xfId="37613"/>
    <cellStyle name="中等 3 11" xfId="39142"/>
    <cellStyle name="中等 3 2" xfId="10262"/>
    <cellStyle name="中等 3 2 2" xfId="24913"/>
    <cellStyle name="中等 3 3" xfId="28299"/>
    <cellStyle name="中等 3 4" xfId="22974"/>
    <cellStyle name="中等 3 5" xfId="28995"/>
    <cellStyle name="中等 3 6" xfId="30781"/>
    <cellStyle name="中等 3 7" xfId="32554"/>
    <cellStyle name="中等 3 8" xfId="34296"/>
    <cellStyle name="中等 3 9" xfId="35990"/>
    <cellStyle name="中等 30" xfId="24914"/>
    <cellStyle name="中等 31" xfId="24915"/>
    <cellStyle name="中等 32" xfId="24916"/>
    <cellStyle name="中等 33" xfId="24917"/>
    <cellStyle name="中等 34" xfId="24918"/>
    <cellStyle name="中等 35" xfId="24919"/>
    <cellStyle name="中等 36" xfId="24920"/>
    <cellStyle name="中等 37" xfId="24921"/>
    <cellStyle name="中等 38" xfId="24922"/>
    <cellStyle name="中等 39" xfId="24923"/>
    <cellStyle name="中等 4" xfId="10779"/>
    <cellStyle name="中等 4 10" xfId="37941"/>
    <cellStyle name="中等 4 11" xfId="39411"/>
    <cellStyle name="中等 4 2" xfId="24924"/>
    <cellStyle name="中等 4 3" xfId="28310"/>
    <cellStyle name="中等 4 4" xfId="23470"/>
    <cellStyle name="中等 4 5" xfId="29428"/>
    <cellStyle name="中等 4 6" xfId="31205"/>
    <cellStyle name="中等 4 7" xfId="32970"/>
    <cellStyle name="中等 4 8" xfId="34693"/>
    <cellStyle name="中等 4 9" xfId="36356"/>
    <cellStyle name="中等 40" xfId="24925"/>
    <cellStyle name="中等 41" xfId="24926"/>
    <cellStyle name="中等 42" xfId="24927"/>
    <cellStyle name="中等 43" xfId="24928"/>
    <cellStyle name="中等 44" xfId="24929"/>
    <cellStyle name="中等 45" xfId="24930"/>
    <cellStyle name="中等 46" xfId="24931"/>
    <cellStyle name="中等 47" xfId="24932"/>
    <cellStyle name="中等 48" xfId="24933"/>
    <cellStyle name="中等 49" xfId="24934"/>
    <cellStyle name="中等 5" xfId="10826"/>
    <cellStyle name="中等 5 10" xfId="36218"/>
    <cellStyle name="中等 5 11" xfId="37820"/>
    <cellStyle name="中等 5 2" xfId="24935"/>
    <cellStyle name="中等 5 3" xfId="28319"/>
    <cellStyle name="中等 5 4" xfId="27483"/>
    <cellStyle name="中等 5 5" xfId="23116"/>
    <cellStyle name="中等 5 6" xfId="29262"/>
    <cellStyle name="中等 5 7" xfId="31044"/>
    <cellStyle name="中等 5 8" xfId="32813"/>
    <cellStyle name="中等 5 9" xfId="34545"/>
    <cellStyle name="中等 50" xfId="24936"/>
    <cellStyle name="中等 51" xfId="24937"/>
    <cellStyle name="中等 52" xfId="24938"/>
    <cellStyle name="中等 53" xfId="24939"/>
    <cellStyle name="中等 54" xfId="24940"/>
    <cellStyle name="中等 55" xfId="24941"/>
    <cellStyle name="中等 56" xfId="24942"/>
    <cellStyle name="中等 57" xfId="24943"/>
    <cellStyle name="中等 58" xfId="24944"/>
    <cellStyle name="中等 59" xfId="24945"/>
    <cellStyle name="中等 6" xfId="10611"/>
    <cellStyle name="中等 6 10" xfId="34149"/>
    <cellStyle name="中等 6 11" xfId="35855"/>
    <cellStyle name="中等 6 2" xfId="24946"/>
    <cellStyle name="中等 6 3" xfId="28330"/>
    <cellStyle name="中等 6 4" xfId="27471"/>
    <cellStyle name="中等 6 5" xfId="23534"/>
    <cellStyle name="中等 6 6" xfId="26592"/>
    <cellStyle name="中等 6 7" xfId="28838"/>
    <cellStyle name="中等 6 8" xfId="30624"/>
    <cellStyle name="中等 6 9" xfId="32398"/>
    <cellStyle name="中等 60" xfId="24947"/>
    <cellStyle name="中等 61" xfId="24948"/>
    <cellStyle name="中等 62" xfId="23413"/>
    <cellStyle name="中等 63" xfId="28830"/>
    <cellStyle name="中等 64" xfId="30616"/>
    <cellStyle name="中等 65" xfId="32390"/>
    <cellStyle name="中等 66" xfId="34142"/>
    <cellStyle name="中等 67" xfId="35849"/>
    <cellStyle name="中等 68" xfId="37483"/>
    <cellStyle name="中等 69" xfId="39030"/>
    <cellStyle name="中等 7" xfId="11177"/>
    <cellStyle name="中等 7 10" xfId="36216"/>
    <cellStyle name="中等 7 11" xfId="37818"/>
    <cellStyle name="中等 7 2" xfId="24949"/>
    <cellStyle name="中等 7 3" xfId="28333"/>
    <cellStyle name="中等 7 4" xfId="27468"/>
    <cellStyle name="中等 7 5" xfId="23600"/>
    <cellStyle name="中等 7 6" xfId="29260"/>
    <cellStyle name="中等 7 7" xfId="31042"/>
    <cellStyle name="中等 7 8" xfId="32811"/>
    <cellStyle name="中等 7 9" xfId="34543"/>
    <cellStyle name="中等 70" xfId="40443"/>
    <cellStyle name="中等 71" xfId="7989"/>
    <cellStyle name="中等 72" xfId="7957"/>
    <cellStyle name="中等 8" xfId="11370"/>
    <cellStyle name="中等 8 10" xfId="36214"/>
    <cellStyle name="中等 8 11" xfId="37816"/>
    <cellStyle name="中等 8 2" xfId="24950"/>
    <cellStyle name="中等 8 3" xfId="28334"/>
    <cellStyle name="中等 8 4" xfId="27467"/>
    <cellStyle name="中等 8 5" xfId="23518"/>
    <cellStyle name="中等 8 6" xfId="29258"/>
    <cellStyle name="中等 8 7" xfId="31040"/>
    <cellStyle name="中等 8 8" xfId="32809"/>
    <cellStyle name="中等 8 9" xfId="34541"/>
    <cellStyle name="中等 9" xfId="11560"/>
    <cellStyle name="中等 9 10" xfId="30722"/>
    <cellStyle name="中等 9 11" xfId="32495"/>
    <cellStyle name="中等 9 2" xfId="24951"/>
    <cellStyle name="中等 9 3" xfId="28335"/>
    <cellStyle name="中等 9 4" xfId="27466"/>
    <cellStyle name="中等 9 5" xfId="26548"/>
    <cellStyle name="中等 9 6" xfId="28375"/>
    <cellStyle name="中等 9 7" xfId="27405"/>
    <cellStyle name="中等 9 8" xfId="23635"/>
    <cellStyle name="中等 9 9" xfId="28936"/>
    <cellStyle name="備註 10" xfId="12313"/>
    <cellStyle name="備註 10 10" xfId="35950"/>
    <cellStyle name="備註 10 11" xfId="37577"/>
    <cellStyle name="備註 10 2" xfId="24952"/>
    <cellStyle name="備註 10 3" xfId="28336"/>
    <cellStyle name="備註 10 4" xfId="27465"/>
    <cellStyle name="備註 10 5" xfId="23162"/>
    <cellStyle name="備註 10 6" xfId="28947"/>
    <cellStyle name="備註 10 7" xfId="30733"/>
    <cellStyle name="備註 10 8" xfId="32506"/>
    <cellStyle name="備註 10 9" xfId="34251"/>
    <cellStyle name="備註 11" xfId="12504"/>
    <cellStyle name="備註 11 10" xfId="33639"/>
    <cellStyle name="備註 11 11" xfId="35352"/>
    <cellStyle name="備註 11 2" xfId="24953"/>
    <cellStyle name="備註 11 3" xfId="28337"/>
    <cellStyle name="備註 11 4" xfId="27464"/>
    <cellStyle name="備註 11 5" xfId="23104"/>
    <cellStyle name="備註 11 6" xfId="28411"/>
    <cellStyle name="備註 11 7" xfId="27347"/>
    <cellStyle name="備註 11 8" xfId="30108"/>
    <cellStyle name="備註 11 9" xfId="31883"/>
    <cellStyle name="備註 12" xfId="12219"/>
    <cellStyle name="備註 12 10" xfId="35889"/>
    <cellStyle name="備註 12 11" xfId="37516"/>
    <cellStyle name="備註 12 2" xfId="24954"/>
    <cellStyle name="備註 12 3" xfId="28338"/>
    <cellStyle name="備註 12 4" xfId="27463"/>
    <cellStyle name="備註 12 5" xfId="23506"/>
    <cellStyle name="備註 12 6" xfId="28878"/>
    <cellStyle name="備註 12 7" xfId="30664"/>
    <cellStyle name="備註 12 8" xfId="32437"/>
    <cellStyle name="備註 12 9" xfId="34188"/>
    <cellStyle name="備註 13" xfId="12856"/>
    <cellStyle name="備註 13 10" xfId="36457"/>
    <cellStyle name="備註 13 11" xfId="38040"/>
    <cellStyle name="備註 13 2" xfId="24955"/>
    <cellStyle name="備註 13 3" xfId="28339"/>
    <cellStyle name="備註 13 4" xfId="27462"/>
    <cellStyle name="備註 13 5" xfId="23427"/>
    <cellStyle name="備註 13 6" xfId="29543"/>
    <cellStyle name="備註 13 7" xfId="31319"/>
    <cellStyle name="備註 13 8" xfId="33083"/>
    <cellStyle name="備註 13 9" xfId="34802"/>
    <cellStyle name="備註 14" xfId="10943"/>
    <cellStyle name="備註 14 10" xfId="36454"/>
    <cellStyle name="備註 14 11" xfId="38037"/>
    <cellStyle name="備註 14 2" xfId="24956"/>
    <cellStyle name="備註 14 3" xfId="28340"/>
    <cellStyle name="備註 14 4" xfId="27460"/>
    <cellStyle name="備註 14 5" xfId="23263"/>
    <cellStyle name="備註 14 6" xfId="29540"/>
    <cellStyle name="備註 14 7" xfId="31316"/>
    <cellStyle name="備註 14 8" xfId="33080"/>
    <cellStyle name="備註 14 9" xfId="34799"/>
    <cellStyle name="備註 15" xfId="15832"/>
    <cellStyle name="備註 15 10" xfId="36453"/>
    <cellStyle name="備註 15 11" xfId="38036"/>
    <cellStyle name="備註 15 2" xfId="24957"/>
    <cellStyle name="備註 15 3" xfId="28341"/>
    <cellStyle name="備註 15 4" xfId="27459"/>
    <cellStyle name="備註 15 5" xfId="23184"/>
    <cellStyle name="備註 15 6" xfId="29539"/>
    <cellStyle name="備註 15 7" xfId="31315"/>
    <cellStyle name="備註 15 8" xfId="33079"/>
    <cellStyle name="備註 15 9" xfId="34798"/>
    <cellStyle name="備註 16" xfId="10567"/>
    <cellStyle name="備註 16 10" xfId="36451"/>
    <cellStyle name="備註 16 11" xfId="38034"/>
    <cellStyle name="備註 16 2" xfId="24958"/>
    <cellStyle name="備註 16 3" xfId="28342"/>
    <cellStyle name="備註 16 4" xfId="27458"/>
    <cellStyle name="備註 16 5" xfId="26690"/>
    <cellStyle name="備註 16 6" xfId="29537"/>
    <cellStyle name="備註 16 7" xfId="31313"/>
    <cellStyle name="備註 16 8" xfId="33077"/>
    <cellStyle name="備註 16 9" xfId="34796"/>
    <cellStyle name="備註 17" xfId="14940"/>
    <cellStyle name="備註 17 10" xfId="34150"/>
    <cellStyle name="備註 17 11" xfId="35856"/>
    <cellStyle name="備註 17 2" xfId="24959"/>
    <cellStyle name="備註 17 3" xfId="28343"/>
    <cellStyle name="備註 17 4" xfId="27457"/>
    <cellStyle name="備註 17 5" xfId="23454"/>
    <cellStyle name="備註 17 6" xfId="26696"/>
    <cellStyle name="備註 17 7" xfId="28839"/>
    <cellStyle name="備註 17 8" xfId="30625"/>
    <cellStyle name="備註 17 9" xfId="32399"/>
    <cellStyle name="備註 18" xfId="13893"/>
    <cellStyle name="備註 18 10" xfId="36334"/>
    <cellStyle name="備註 18 11" xfId="37920"/>
    <cellStyle name="備註 18 2" xfId="24960"/>
    <cellStyle name="備註 18 3" xfId="28344"/>
    <cellStyle name="備註 18 4" xfId="27456"/>
    <cellStyle name="備註 18 5" xfId="26578"/>
    <cellStyle name="備註 18 6" xfId="29397"/>
    <cellStyle name="備註 18 7" xfId="31174"/>
    <cellStyle name="備註 18 8" xfId="32941"/>
    <cellStyle name="備註 18 9" xfId="34668"/>
    <cellStyle name="備註 19" xfId="13915"/>
    <cellStyle name="備註 19 10" xfId="36342"/>
    <cellStyle name="備註 19 11" xfId="37928"/>
    <cellStyle name="備註 19 2" xfId="24961"/>
    <cellStyle name="備註 19 3" xfId="28345"/>
    <cellStyle name="備註 19 4" xfId="27455"/>
    <cellStyle name="備註 19 5" xfId="23616"/>
    <cellStyle name="備註 19 6" xfId="29407"/>
    <cellStyle name="備註 19 7" xfId="31184"/>
    <cellStyle name="備註 19 8" xfId="32951"/>
    <cellStyle name="備註 19 9" xfId="34676"/>
    <cellStyle name="備註 2" xfId="8593"/>
    <cellStyle name="備註 2 10" xfId="36212"/>
    <cellStyle name="備註 2 11" xfId="37814"/>
    <cellStyle name="備註 2 12" xfId="9172"/>
    <cellStyle name="備註 2 2" xfId="9525"/>
    <cellStyle name="備註 2 2 2" xfId="24962"/>
    <cellStyle name="備註 2 3" xfId="28346"/>
    <cellStyle name="備註 2 4" xfId="27454"/>
    <cellStyle name="備註 2 5" xfId="23195"/>
    <cellStyle name="備註 2 6" xfId="29254"/>
    <cellStyle name="備註 2 7" xfId="31036"/>
    <cellStyle name="備註 2 8" xfId="32805"/>
    <cellStyle name="備註 2 9" xfId="34539"/>
    <cellStyle name="備註 20" xfId="12466"/>
    <cellStyle name="備註 20 10" xfId="30723"/>
    <cellStyle name="備註 20 11" xfId="32496"/>
    <cellStyle name="備註 20 2" xfId="24963"/>
    <cellStyle name="備註 20 3" xfId="28347"/>
    <cellStyle name="備註 20 4" xfId="27453"/>
    <cellStyle name="備註 20 5" xfId="26380"/>
    <cellStyle name="備註 20 6" xfId="28364"/>
    <cellStyle name="備註 20 7" xfId="27417"/>
    <cellStyle name="備註 20 8" xfId="23057"/>
    <cellStyle name="備註 20 9" xfId="28937"/>
    <cellStyle name="備註 21" xfId="13856"/>
    <cellStyle name="備註 21 10" xfId="33279"/>
    <cellStyle name="備註 21 11" xfId="34997"/>
    <cellStyle name="備註 21 2" xfId="24964"/>
    <cellStyle name="備註 21 3" xfId="28348"/>
    <cellStyle name="備註 21 4" xfId="27452"/>
    <cellStyle name="備註 21 5" xfId="23299"/>
    <cellStyle name="備註 21 6" xfId="28370"/>
    <cellStyle name="備註 21 7" xfId="27410"/>
    <cellStyle name="備註 21 8" xfId="29744"/>
    <cellStyle name="備註 21 9" xfId="31519"/>
    <cellStyle name="備註 22" xfId="12785"/>
    <cellStyle name="備註 22 10" xfId="35948"/>
    <cellStyle name="備註 22 11" xfId="37575"/>
    <cellStyle name="備註 22 2" xfId="24965"/>
    <cellStyle name="備註 22 3" xfId="28349"/>
    <cellStyle name="備註 22 4" xfId="27451"/>
    <cellStyle name="備註 22 5" xfId="23406"/>
    <cellStyle name="備註 22 6" xfId="28941"/>
    <cellStyle name="備註 22 7" xfId="30727"/>
    <cellStyle name="備註 22 8" xfId="32500"/>
    <cellStyle name="備註 22 9" xfId="34248"/>
    <cellStyle name="備註 23" xfId="22950"/>
    <cellStyle name="備註 23 10" xfId="34582"/>
    <cellStyle name="備註 23 11" xfId="36254"/>
    <cellStyle name="備註 23 2" xfId="24966"/>
    <cellStyle name="備註 23 3" xfId="28350"/>
    <cellStyle name="備註 23 4" xfId="27449"/>
    <cellStyle name="備註 23 5" xfId="27092"/>
    <cellStyle name="備註 23 6" xfId="23538"/>
    <cellStyle name="備註 23 7" xfId="29303"/>
    <cellStyle name="備註 23 8" xfId="31084"/>
    <cellStyle name="備註 23 9" xfId="32853"/>
    <cellStyle name="備註 24" xfId="24967"/>
    <cellStyle name="備註 25" xfId="24968"/>
    <cellStyle name="備註 26" xfId="24969"/>
    <cellStyle name="備註 27" xfId="24970"/>
    <cellStyle name="備註 28" xfId="24971"/>
    <cellStyle name="備註 29" xfId="24972"/>
    <cellStyle name="備註 3" xfId="9214"/>
    <cellStyle name="備註 3 10" xfId="34977"/>
    <cellStyle name="備註 3 11" xfId="36630"/>
    <cellStyle name="備註 3 2" xfId="10268"/>
    <cellStyle name="備註 3 2 2" xfId="24973"/>
    <cellStyle name="備註 3 3" xfId="28357"/>
    <cellStyle name="備註 3 4" xfId="27424"/>
    <cellStyle name="備註 3 5" xfId="28228"/>
    <cellStyle name="備註 3 6" xfId="27567"/>
    <cellStyle name="備註 3 7" xfId="29723"/>
    <cellStyle name="備註 3 8" xfId="31498"/>
    <cellStyle name="備註 3 9" xfId="33259"/>
    <cellStyle name="備註 30" xfId="24974"/>
    <cellStyle name="備註 31" xfId="24975"/>
    <cellStyle name="備註 32" xfId="24976"/>
    <cellStyle name="備註 33" xfId="24977"/>
    <cellStyle name="備註 34" xfId="24978"/>
    <cellStyle name="備註 35" xfId="24979"/>
    <cellStyle name="備註 36" xfId="24980"/>
    <cellStyle name="備註 37" xfId="24981"/>
    <cellStyle name="備註 38" xfId="24982"/>
    <cellStyle name="備註 39" xfId="24983"/>
    <cellStyle name="備註 4" xfId="11207"/>
    <cellStyle name="備註 4 10" xfId="38371"/>
    <cellStyle name="備註 4 11" xfId="39814"/>
    <cellStyle name="備註 4 2" xfId="24984"/>
    <cellStyle name="備註 4 3" xfId="28368"/>
    <cellStyle name="備註 4 4" xfId="27412"/>
    <cellStyle name="備註 4 5" xfId="29910"/>
    <cellStyle name="備註 4 6" xfId="31685"/>
    <cellStyle name="備註 4 7" xfId="33444"/>
    <cellStyle name="備註 4 8" xfId="35158"/>
    <cellStyle name="備註 4 9" xfId="36807"/>
    <cellStyle name="備註 40" xfId="24985"/>
    <cellStyle name="備註 41" xfId="24986"/>
    <cellStyle name="備註 42" xfId="24987"/>
    <cellStyle name="備註 43" xfId="24988"/>
    <cellStyle name="備註 44" xfId="24989"/>
    <cellStyle name="備註 45" xfId="24990"/>
    <cellStyle name="備註 46" xfId="24991"/>
    <cellStyle name="備註 47" xfId="24992"/>
    <cellStyle name="備註 48" xfId="24993"/>
    <cellStyle name="備註 49" xfId="24994"/>
    <cellStyle name="備註 5" xfId="11399"/>
    <cellStyle name="備註 5 10" xfId="38372"/>
    <cellStyle name="備註 5 11" xfId="39815"/>
    <cellStyle name="備註 5 2" xfId="24995"/>
    <cellStyle name="備註 5 3" xfId="28379"/>
    <cellStyle name="備註 5 4" xfId="27400"/>
    <cellStyle name="備註 5 5" xfId="29911"/>
    <cellStyle name="備註 5 6" xfId="31686"/>
    <cellStyle name="備註 5 7" xfId="33445"/>
    <cellStyle name="備註 5 8" xfId="35159"/>
    <cellStyle name="備註 5 9" xfId="36808"/>
    <cellStyle name="備註 50" xfId="24996"/>
    <cellStyle name="備註 51" xfId="24997"/>
    <cellStyle name="備註 52" xfId="24998"/>
    <cellStyle name="備註 53" xfId="24999"/>
    <cellStyle name="備註 54" xfId="25000"/>
    <cellStyle name="備註 55" xfId="25001"/>
    <cellStyle name="備註 56" xfId="25002"/>
    <cellStyle name="備註 57" xfId="25003"/>
    <cellStyle name="備註 58" xfId="25004"/>
    <cellStyle name="備註 59" xfId="25005"/>
    <cellStyle name="備註 6" xfId="11588"/>
    <cellStyle name="備註 6 10" xfId="38373"/>
    <cellStyle name="備註 6 11" xfId="39816"/>
    <cellStyle name="備註 6 2" xfId="25006"/>
    <cellStyle name="備註 6 3" xfId="28389"/>
    <cellStyle name="備註 6 4" xfId="27389"/>
    <cellStyle name="備註 6 5" xfId="29912"/>
    <cellStyle name="備註 6 6" xfId="31687"/>
    <cellStyle name="備註 6 7" xfId="33446"/>
    <cellStyle name="備註 6 8" xfId="35160"/>
    <cellStyle name="備註 6 9" xfId="36809"/>
    <cellStyle name="備註 60" xfId="25007"/>
    <cellStyle name="備註 61" xfId="25008"/>
    <cellStyle name="備註 62" xfId="26591"/>
    <cellStyle name="備註 63" xfId="28824"/>
    <cellStyle name="備註 64" xfId="30610"/>
    <cellStyle name="備註 65" xfId="32384"/>
    <cellStyle name="備註 66" xfId="34136"/>
    <cellStyle name="備註 67" xfId="35843"/>
    <cellStyle name="備註 68" xfId="37478"/>
    <cellStyle name="備註 69" xfId="39025"/>
    <cellStyle name="備註 7" xfId="11769"/>
    <cellStyle name="備註 7 10" xfId="36312"/>
    <cellStyle name="備註 7 11" xfId="37898"/>
    <cellStyle name="備註 7 2" xfId="25009"/>
    <cellStyle name="備註 7 3" xfId="28392"/>
    <cellStyle name="備註 7 4" xfId="27386"/>
    <cellStyle name="備註 7 5" xfId="23304"/>
    <cellStyle name="備註 7 6" xfId="29371"/>
    <cellStyle name="備註 7 7" xfId="31149"/>
    <cellStyle name="備註 7 8" xfId="32917"/>
    <cellStyle name="備註 7 9" xfId="34645"/>
    <cellStyle name="備註 70" xfId="40438"/>
    <cellStyle name="備註 71" xfId="7996"/>
    <cellStyle name="備註 72" xfId="43304"/>
    <cellStyle name="備註 73" xfId="7963"/>
    <cellStyle name="備註 8" xfId="11952"/>
    <cellStyle name="備註 8 10" xfId="38220"/>
    <cellStyle name="備註 8 11" xfId="39670"/>
    <cellStyle name="備註 8 2" xfId="25010"/>
    <cellStyle name="備註 8 3" xfId="28393"/>
    <cellStyle name="備註 8 4" xfId="27367"/>
    <cellStyle name="備註 8 5" xfId="29748"/>
    <cellStyle name="備註 8 6" xfId="31523"/>
    <cellStyle name="備註 8 7" xfId="33282"/>
    <cellStyle name="備註 8 8" xfId="34999"/>
    <cellStyle name="備註 8 9" xfId="36650"/>
    <cellStyle name="備註 9" xfId="12131"/>
    <cellStyle name="備註 9 10" xfId="36310"/>
    <cellStyle name="備註 9 11" xfId="37896"/>
    <cellStyle name="備註 9 2" xfId="25011"/>
    <cellStyle name="備註 9 3" xfId="28394"/>
    <cellStyle name="備註 9 4" xfId="27366"/>
    <cellStyle name="備註 9 5" xfId="23144"/>
    <cellStyle name="備註 9 6" xfId="29369"/>
    <cellStyle name="備註 9 7" xfId="31147"/>
    <cellStyle name="備註 9 8" xfId="32915"/>
    <cellStyle name="備註 9 9" xfId="34643"/>
    <cellStyle name="千分位[0]_PLDT" xfId="3931"/>
    <cellStyle name="千分位_PLDT" xfId="3932"/>
    <cellStyle name="合計 10" xfId="11751"/>
    <cellStyle name="合計 10 10" xfId="36101"/>
    <cellStyle name="合計 10 11" xfId="37715"/>
    <cellStyle name="合計 10 2" xfId="25012"/>
    <cellStyle name="合計 10 3" xfId="28395"/>
    <cellStyle name="合計 10 4" xfId="27364"/>
    <cellStyle name="合計 10 5" xfId="23499"/>
    <cellStyle name="合計 10 6" xfId="29123"/>
    <cellStyle name="合計 10 7" xfId="30907"/>
    <cellStyle name="合計 10 8" xfId="32678"/>
    <cellStyle name="合計 10 9" xfId="34416"/>
    <cellStyle name="合計 11" xfId="11816"/>
    <cellStyle name="合計 11 10" xfId="33276"/>
    <cellStyle name="合計 11 11" xfId="34994"/>
    <cellStyle name="合計 11 2" xfId="25013"/>
    <cellStyle name="合計 11 3" xfId="28396"/>
    <cellStyle name="合計 11 4" xfId="27363"/>
    <cellStyle name="合計 11 5" xfId="23136"/>
    <cellStyle name="合計 11 6" xfId="28354"/>
    <cellStyle name="合計 11 7" xfId="27445"/>
    <cellStyle name="合計 11 8" xfId="29740"/>
    <cellStyle name="合計 11 9" xfId="31515"/>
    <cellStyle name="合計 12" xfId="11410"/>
    <cellStyle name="合計 12 10" xfId="33733"/>
    <cellStyle name="合計 12 11" xfId="35446"/>
    <cellStyle name="合計 12 2" xfId="25014"/>
    <cellStyle name="合計 12 3" xfId="28397"/>
    <cellStyle name="合計 12 4" xfId="27362"/>
    <cellStyle name="合計 12 5" xfId="23323"/>
    <cellStyle name="合計 12 6" xfId="28561"/>
    <cellStyle name="合計 12 7" xfId="23369"/>
    <cellStyle name="合計 12 8" xfId="30203"/>
    <cellStyle name="合計 12 9" xfId="31978"/>
    <cellStyle name="合計 13" xfId="11903"/>
    <cellStyle name="合計 13 10" xfId="30735"/>
    <cellStyle name="合計 13 11" xfId="32508"/>
    <cellStyle name="合計 13 2" xfId="25015"/>
    <cellStyle name="合計 13 3" xfId="28398"/>
    <cellStyle name="合計 13 4" xfId="27361"/>
    <cellStyle name="合計 13 5" xfId="23443"/>
    <cellStyle name="合計 13 6" xfId="28321"/>
    <cellStyle name="合計 13 7" xfId="27480"/>
    <cellStyle name="合計 13 8" xfId="23321"/>
    <cellStyle name="合計 13 9" xfId="28949"/>
    <cellStyle name="合計 14" xfId="11396"/>
    <cellStyle name="合計 14 10" xfId="37197"/>
    <cellStyle name="合計 14 11" xfId="38753"/>
    <cellStyle name="合計 14 2" xfId="25016"/>
    <cellStyle name="合計 14 3" xfId="28399"/>
    <cellStyle name="合計 14 4" xfId="27360"/>
    <cellStyle name="合計 14 5" xfId="23293"/>
    <cellStyle name="合計 14 6" xfId="30310"/>
    <cellStyle name="合計 14 7" xfId="32085"/>
    <cellStyle name="合計 14 8" xfId="33840"/>
    <cellStyle name="合計 14 9" xfId="35553"/>
    <cellStyle name="合計 15" xfId="10730"/>
    <cellStyle name="合計 15 10" xfId="36441"/>
    <cellStyle name="合計 15 11" xfId="38024"/>
    <cellStyle name="合計 15 2" xfId="25017"/>
    <cellStyle name="合計 15 3" xfId="28400"/>
    <cellStyle name="合計 15 4" xfId="27359"/>
    <cellStyle name="合計 15 5" xfId="23419"/>
    <cellStyle name="合計 15 6" xfId="29527"/>
    <cellStyle name="合計 15 7" xfId="31303"/>
    <cellStyle name="合計 15 8" xfId="33067"/>
    <cellStyle name="合計 15 9" xfId="34786"/>
    <cellStyle name="合計 16" xfId="11863"/>
    <cellStyle name="合計 16 10" xfId="34583"/>
    <cellStyle name="合計 16 11" xfId="36255"/>
    <cellStyle name="合計 16 2" xfId="25018"/>
    <cellStyle name="合計 16 3" xfId="28401"/>
    <cellStyle name="合計 16 4" xfId="27358"/>
    <cellStyle name="合計 16 5" xfId="27100"/>
    <cellStyle name="合計 16 6" xfId="23613"/>
    <cellStyle name="合計 16 7" xfId="29304"/>
    <cellStyle name="合計 16 8" xfId="31085"/>
    <cellStyle name="合計 16 9" xfId="32854"/>
    <cellStyle name="合計 17" xfId="12290"/>
    <cellStyle name="合計 17 10" xfId="36308"/>
    <cellStyle name="合計 17 11" xfId="37894"/>
    <cellStyle name="合計 17 2" xfId="25019"/>
    <cellStyle name="合計 17 3" xfId="28402"/>
    <cellStyle name="合計 17 4" xfId="27357"/>
    <cellStyle name="合計 17 5" xfId="26789"/>
    <cellStyle name="合計 17 6" xfId="29367"/>
    <cellStyle name="合計 17 7" xfId="31145"/>
    <cellStyle name="合計 17 8" xfId="32913"/>
    <cellStyle name="合計 17 9" xfId="34641"/>
    <cellStyle name="合計 18" xfId="12903"/>
    <cellStyle name="合計 18 10" xfId="36203"/>
    <cellStyle name="合計 18 11" xfId="37805"/>
    <cellStyle name="合計 18 2" xfId="25020"/>
    <cellStyle name="合計 18 3" xfId="28403"/>
    <cellStyle name="合計 18 4" xfId="27356"/>
    <cellStyle name="合計 18 5" xfId="23275"/>
    <cellStyle name="合計 18 6" xfId="29243"/>
    <cellStyle name="合計 18 7" xfId="31025"/>
    <cellStyle name="合計 18 8" xfId="32794"/>
    <cellStyle name="合計 18 9" xfId="34528"/>
    <cellStyle name="合計 19" xfId="14744"/>
    <cellStyle name="合計 19 10" xfId="36100"/>
    <cellStyle name="合計 19 11" xfId="37714"/>
    <cellStyle name="合計 19 2" xfId="25021"/>
    <cellStyle name="合計 19 3" xfId="28404"/>
    <cellStyle name="合計 19 4" xfId="27355"/>
    <cellStyle name="合計 19 5" xfId="23334"/>
    <cellStyle name="合計 19 6" xfId="29121"/>
    <cellStyle name="合計 19 7" xfId="30905"/>
    <cellStyle name="合計 19 8" xfId="32676"/>
    <cellStyle name="合計 19 9" xfId="34415"/>
    <cellStyle name="合計 2" xfId="8588"/>
    <cellStyle name="合計 2 10" xfId="32961"/>
    <cellStyle name="合計 2 11" xfId="34684"/>
    <cellStyle name="合計 2 12" xfId="9174"/>
    <cellStyle name="合計 2 2" xfId="9521"/>
    <cellStyle name="合計 2 2 2" xfId="25022"/>
    <cellStyle name="合計 2 3" xfId="28405"/>
    <cellStyle name="合計 2 4" xfId="27353"/>
    <cellStyle name="合計 2 5" xfId="23164"/>
    <cellStyle name="合計 2 6" xfId="28559"/>
    <cellStyle name="合計 2 7" xfId="23617"/>
    <cellStyle name="合計 2 8" xfId="29418"/>
    <cellStyle name="合計 2 9" xfId="31195"/>
    <cellStyle name="合計 20" xfId="14793"/>
    <cellStyle name="合計 20 10" xfId="31190"/>
    <cellStyle name="合計 20 11" xfId="32957"/>
    <cellStyle name="合計 20 2" xfId="25023"/>
    <cellStyle name="合計 20 3" xfId="28406"/>
    <cellStyle name="合計 20 4" xfId="27352"/>
    <cellStyle name="合計 20 5" xfId="23279"/>
    <cellStyle name="合計 20 6" xfId="28318"/>
    <cellStyle name="合計 20 7" xfId="27484"/>
    <cellStyle name="合計 20 8" xfId="23226"/>
    <cellStyle name="合計 20 9" xfId="29413"/>
    <cellStyle name="合計 21" xfId="15836"/>
    <cellStyle name="合計 21 10" xfId="37009"/>
    <cellStyle name="合計 21 11" xfId="38568"/>
    <cellStyle name="合計 21 2" xfId="25024"/>
    <cellStyle name="合計 21 3" xfId="28407"/>
    <cellStyle name="合計 21 4" xfId="27351"/>
    <cellStyle name="合計 21 5" xfId="23126"/>
    <cellStyle name="合計 21 6" xfId="30121"/>
    <cellStyle name="合計 21 7" xfId="31896"/>
    <cellStyle name="合計 21 8" xfId="33651"/>
    <cellStyle name="合計 21 9" xfId="35364"/>
    <cellStyle name="合計 22" xfId="12618"/>
    <cellStyle name="合計 22 10" xfId="36747"/>
    <cellStyle name="合計 22 11" xfId="38315"/>
    <cellStyle name="合計 22 2" xfId="25025"/>
    <cellStyle name="合計 22 3" xfId="28408"/>
    <cellStyle name="合計 22 4" xfId="27350"/>
    <cellStyle name="合計 22 5" xfId="27101"/>
    <cellStyle name="合計 22 6" xfId="29849"/>
    <cellStyle name="合計 22 7" xfId="31624"/>
    <cellStyle name="合計 22 8" xfId="33383"/>
    <cellStyle name="合計 22 9" xfId="35097"/>
    <cellStyle name="合計 23" xfId="22945"/>
    <cellStyle name="合計 23 10" xfId="29414"/>
    <cellStyle name="合計 23 11" xfId="31191"/>
    <cellStyle name="合計 23 2" xfId="25026"/>
    <cellStyle name="合計 23 3" xfId="28409"/>
    <cellStyle name="合計 23 4" xfId="27349"/>
    <cellStyle name="合計 23 5" xfId="28235"/>
    <cellStyle name="合計 23 6" xfId="27541"/>
    <cellStyle name="合計 23 7" xfId="23619"/>
    <cellStyle name="合計 23 8" xfId="28591"/>
    <cellStyle name="合計 23 9" xfId="23306"/>
    <cellStyle name="合計 24" xfId="25027"/>
    <cellStyle name="合計 25" xfId="25028"/>
    <cellStyle name="合計 26" xfId="25029"/>
    <cellStyle name="合計 27" xfId="25030"/>
    <cellStyle name="合計 28" xfId="25031"/>
    <cellStyle name="合計 29" xfId="25032"/>
    <cellStyle name="合計 3" xfId="9216"/>
    <cellStyle name="合計 3 10" xfId="32836"/>
    <cellStyle name="合計 3 11" xfId="34568"/>
    <cellStyle name="合計 3 2" xfId="10263"/>
    <cellStyle name="合計 3 2 2" xfId="25033"/>
    <cellStyle name="合計 3 3" xfId="28416"/>
    <cellStyle name="合計 3 4" xfId="27341"/>
    <cellStyle name="合計 3 5" xfId="23058"/>
    <cellStyle name="合計 3 6" xfId="28558"/>
    <cellStyle name="合計 3 7" xfId="23601"/>
    <cellStyle name="合計 3 8" xfId="29285"/>
    <cellStyle name="合計 3 9" xfId="31067"/>
    <cellStyle name="合計 30" xfId="25034"/>
    <cellStyle name="合計 31" xfId="25035"/>
    <cellStyle name="合計 32" xfId="25036"/>
    <cellStyle name="合計 33" xfId="25037"/>
    <cellStyle name="合計 34" xfId="25038"/>
    <cellStyle name="合計 35" xfId="25039"/>
    <cellStyle name="合計 36" xfId="25040"/>
    <cellStyle name="合計 37" xfId="25041"/>
    <cellStyle name="合計 38" xfId="25042"/>
    <cellStyle name="合計 39" xfId="25043"/>
    <cellStyle name="合計 4" xfId="10703"/>
    <cellStyle name="合計 4 10" xfId="36892"/>
    <cellStyle name="合計 4 11" xfId="38455"/>
    <cellStyle name="合計 4 2" xfId="25044"/>
    <cellStyle name="合計 4 3" xfId="28426"/>
    <cellStyle name="合計 4 4" xfId="27330"/>
    <cellStyle name="合計 4 5" xfId="23608"/>
    <cellStyle name="合計 4 6" xfId="29998"/>
    <cellStyle name="合計 4 7" xfId="31773"/>
    <cellStyle name="合計 4 8" xfId="33531"/>
    <cellStyle name="合計 4 9" xfId="35245"/>
    <cellStyle name="合計 40" xfId="25045"/>
    <cellStyle name="合計 41" xfId="25046"/>
    <cellStyle name="合計 42" xfId="25047"/>
    <cellStyle name="合計 43" xfId="25048"/>
    <cellStyle name="合計 44" xfId="25049"/>
    <cellStyle name="合計 45" xfId="25050"/>
    <cellStyle name="合計 46" xfId="25051"/>
    <cellStyle name="合計 47" xfId="25052"/>
    <cellStyle name="合計 48" xfId="25053"/>
    <cellStyle name="合計 49" xfId="25054"/>
    <cellStyle name="合計 5" xfId="10441"/>
    <cellStyle name="合計 5 10" xfId="32859"/>
    <cellStyle name="合計 5 11" xfId="34588"/>
    <cellStyle name="合計 5 2" xfId="25055"/>
    <cellStyle name="合計 5 3" xfId="28436"/>
    <cellStyle name="合計 5 4" xfId="27301"/>
    <cellStyle name="合計 5 5" xfId="23372"/>
    <cellStyle name="合計 5 6" xfId="27126"/>
    <cellStyle name="合計 5 7" xfId="23297"/>
    <cellStyle name="合計 5 8" xfId="29309"/>
    <cellStyle name="合計 5 9" xfId="31090"/>
    <cellStyle name="合計 50" xfId="25056"/>
    <cellStyle name="合計 51" xfId="25057"/>
    <cellStyle name="合計 52" xfId="25058"/>
    <cellStyle name="合計 53" xfId="25059"/>
    <cellStyle name="合計 54" xfId="25060"/>
    <cellStyle name="合計 55" xfId="25061"/>
    <cellStyle name="合計 56" xfId="25062"/>
    <cellStyle name="合計 57" xfId="25063"/>
    <cellStyle name="合計 58" xfId="25064"/>
    <cellStyle name="合計 59" xfId="25065"/>
    <cellStyle name="合計 6" xfId="10456"/>
    <cellStyle name="合計 6 10" xfId="27303"/>
    <cellStyle name="合計 6 11" xfId="23542"/>
    <cellStyle name="合計 6 2" xfId="25066"/>
    <cellStyle name="合計 6 3" xfId="28446"/>
    <cellStyle name="合計 6 4" xfId="27290"/>
    <cellStyle name="合計 6 5" xfId="27107"/>
    <cellStyle name="合計 6 6" xfId="23367"/>
    <cellStyle name="合計 6 7" xfId="28273"/>
    <cellStyle name="合計 6 8" xfId="23095"/>
    <cellStyle name="合計 6 9" xfId="28434"/>
    <cellStyle name="合計 60" xfId="25067"/>
    <cellStyle name="合計 61" xfId="25068"/>
    <cellStyle name="合計 62" xfId="23329"/>
    <cellStyle name="合計 63" xfId="28829"/>
    <cellStyle name="合計 64" xfId="30615"/>
    <cellStyle name="合計 65" xfId="32389"/>
    <cellStyle name="合計 66" xfId="34141"/>
    <cellStyle name="合計 67" xfId="35848"/>
    <cellStyle name="合計 68" xfId="37482"/>
    <cellStyle name="合計 69" xfId="39029"/>
    <cellStyle name="合計 7" xfId="10833"/>
    <cellStyle name="合計 7 10" xfId="36198"/>
    <cellStyle name="合計 7 11" xfId="37800"/>
    <cellStyle name="合計 7 2" xfId="25069"/>
    <cellStyle name="合計 7 3" xfId="28449"/>
    <cellStyle name="合計 7 4" xfId="27287"/>
    <cellStyle name="合計 7 5" xfId="24834"/>
    <cellStyle name="合計 7 6" xfId="29235"/>
    <cellStyle name="合計 7 7" xfId="31017"/>
    <cellStyle name="合計 7 8" xfId="32786"/>
    <cellStyle name="合計 7 9" xfId="34520"/>
    <cellStyle name="合計 70" xfId="40442"/>
    <cellStyle name="合計 71" xfId="8667"/>
    <cellStyle name="合計 72" xfId="7998"/>
    <cellStyle name="合計 73" xfId="7958"/>
    <cellStyle name="合計 8" xfId="10919"/>
    <cellStyle name="合計 8 10" xfId="36505"/>
    <cellStyle name="合計 8 11" xfId="38079"/>
    <cellStyle name="合計 8 2" xfId="25070"/>
    <cellStyle name="合計 8 3" xfId="28450"/>
    <cellStyle name="合計 8 4" xfId="27285"/>
    <cellStyle name="合計 8 5" xfId="23377"/>
    <cellStyle name="合計 8 6" xfId="29596"/>
    <cellStyle name="合計 8 7" xfId="31371"/>
    <cellStyle name="合計 8 8" xfId="33134"/>
    <cellStyle name="合計 8 9" xfId="34852"/>
    <cellStyle name="合計 9" xfId="11154"/>
    <cellStyle name="合計 9 10" xfId="32962"/>
    <cellStyle name="合計 9 11" xfId="34685"/>
    <cellStyle name="合計 9 2" xfId="25071"/>
    <cellStyle name="合計 9 3" xfId="28451"/>
    <cellStyle name="合計 9 4" xfId="27284"/>
    <cellStyle name="合計 9 5" xfId="22811"/>
    <cellStyle name="合計 9 6" xfId="28552"/>
    <cellStyle name="合計 9 7" xfId="23675"/>
    <cellStyle name="合計 9 8" xfId="29419"/>
    <cellStyle name="合計 9 9" xfId="31196"/>
    <cellStyle name="壞 10" xfId="10777"/>
    <cellStyle name="壞 10 10" xfId="23151"/>
    <cellStyle name="壞 10 11" xfId="28619"/>
    <cellStyle name="壞 10 2" xfId="25072"/>
    <cellStyle name="壞 10 3" xfId="28452"/>
    <cellStyle name="壞 10 4" xfId="27283"/>
    <cellStyle name="壞 10 5" xfId="23358"/>
    <cellStyle name="壞 10 6" xfId="28313"/>
    <cellStyle name="壞 10 7" xfId="23341"/>
    <cellStyle name="壞 10 8" xfId="28429"/>
    <cellStyle name="壞 10 9" xfId="27327"/>
    <cellStyle name="壞 11" xfId="11720"/>
    <cellStyle name="壞 11 10" xfId="34152"/>
    <cellStyle name="壞 11 11" xfId="35858"/>
    <cellStyle name="壞 11 2" xfId="25073"/>
    <cellStyle name="壞 11 3" xfId="28453"/>
    <cellStyle name="壞 11 4" xfId="27282"/>
    <cellStyle name="壞 11 5" xfId="23213"/>
    <cellStyle name="壞 11 6" xfId="23171"/>
    <cellStyle name="壞 11 7" xfId="28841"/>
    <cellStyle name="壞 11 8" xfId="30627"/>
    <cellStyle name="壞 11 9" xfId="32401"/>
    <cellStyle name="壞 12" xfId="11405"/>
    <cellStyle name="壞 12 10" xfId="36435"/>
    <cellStyle name="壞 12 11" xfId="38018"/>
    <cellStyle name="壞 12 2" xfId="25074"/>
    <cellStyle name="壞 12 3" xfId="28454"/>
    <cellStyle name="壞 12 4" xfId="27281"/>
    <cellStyle name="壞 12 5" xfId="23645"/>
    <cellStyle name="壞 12 6" xfId="29517"/>
    <cellStyle name="壞 12 7" xfId="31294"/>
    <cellStyle name="壞 12 8" xfId="33058"/>
    <cellStyle name="壞 12 9" xfId="34778"/>
    <cellStyle name="壞 13" xfId="12025"/>
    <cellStyle name="壞 13 10" xfId="36434"/>
    <cellStyle name="壞 13 11" xfId="38017"/>
    <cellStyle name="壞 13 2" xfId="25075"/>
    <cellStyle name="壞 13 3" xfId="28455"/>
    <cellStyle name="壞 13 4" xfId="27280"/>
    <cellStyle name="壞 13 5" xfId="23576"/>
    <cellStyle name="壞 13 6" xfId="29516"/>
    <cellStyle name="壞 13 7" xfId="31293"/>
    <cellStyle name="壞 13 8" xfId="33057"/>
    <cellStyle name="壞 13 9" xfId="34777"/>
    <cellStyle name="壞 14" xfId="14903"/>
    <cellStyle name="壞 14 10" xfId="36432"/>
    <cellStyle name="壞 14 11" xfId="38015"/>
    <cellStyle name="壞 14 2" xfId="25076"/>
    <cellStyle name="壞 14 3" xfId="28456"/>
    <cellStyle name="壞 14 4" xfId="27279"/>
    <cellStyle name="壞 14 5" xfId="23498"/>
    <cellStyle name="壞 14 6" xfId="29514"/>
    <cellStyle name="壞 14 7" xfId="31291"/>
    <cellStyle name="壞 14 8" xfId="33055"/>
    <cellStyle name="壞 14 9" xfId="34775"/>
    <cellStyle name="壞 15" xfId="14980"/>
    <cellStyle name="壞 15 10" xfId="36431"/>
    <cellStyle name="壞 15 11" xfId="38014"/>
    <cellStyle name="壞 15 2" xfId="25077"/>
    <cellStyle name="壞 15 3" xfId="28457"/>
    <cellStyle name="壞 15 4" xfId="27278"/>
    <cellStyle name="壞 15 5" xfId="23418"/>
    <cellStyle name="壞 15 6" xfId="29513"/>
    <cellStyle name="壞 15 7" xfId="31290"/>
    <cellStyle name="壞 15 8" xfId="33054"/>
    <cellStyle name="壞 15 9" xfId="34774"/>
    <cellStyle name="壞 16" xfId="12842"/>
    <cellStyle name="壞 16 10" xfId="36430"/>
    <cellStyle name="壞 16 11" xfId="38013"/>
    <cellStyle name="壞 16 2" xfId="25078"/>
    <cellStyle name="壞 16 3" xfId="28458"/>
    <cellStyle name="壞 16 4" xfId="27277"/>
    <cellStyle name="壞 16 5" xfId="23254"/>
    <cellStyle name="壞 16 6" xfId="29512"/>
    <cellStyle name="壞 16 7" xfId="31289"/>
    <cellStyle name="壞 16 8" xfId="33053"/>
    <cellStyle name="壞 16 9" xfId="34773"/>
    <cellStyle name="壞 17" xfId="13975"/>
    <cellStyle name="壞 17 10" xfId="36429"/>
    <cellStyle name="壞 17 11" xfId="38012"/>
    <cellStyle name="壞 17 2" xfId="25079"/>
    <cellStyle name="壞 17 3" xfId="28459"/>
    <cellStyle name="壞 17 4" xfId="27276"/>
    <cellStyle name="壞 17 5" xfId="23176"/>
    <cellStyle name="壞 17 6" xfId="29511"/>
    <cellStyle name="壞 17 7" xfId="31288"/>
    <cellStyle name="壞 17 8" xfId="33052"/>
    <cellStyle name="壞 17 9" xfId="34772"/>
    <cellStyle name="壞 18" xfId="14960"/>
    <cellStyle name="壞 18 10" xfId="36298"/>
    <cellStyle name="壞 18 11" xfId="37886"/>
    <cellStyle name="壞 18 2" xfId="25080"/>
    <cellStyle name="壞 18 3" xfId="28460"/>
    <cellStyle name="壞 18 4" xfId="27274"/>
    <cellStyle name="壞 18 5" xfId="22864"/>
    <cellStyle name="壞 18 6" xfId="29351"/>
    <cellStyle name="壞 18 7" xfId="31132"/>
    <cellStyle name="壞 18 8" xfId="32900"/>
    <cellStyle name="壞 18 9" xfId="34629"/>
    <cellStyle name="壞 19" xfId="14033"/>
    <cellStyle name="壞 19 10" xfId="36193"/>
    <cellStyle name="壞 19 11" xfId="37796"/>
    <cellStyle name="壞 19 2" xfId="25081"/>
    <cellStyle name="壞 19 3" xfId="28461"/>
    <cellStyle name="壞 19 4" xfId="27273"/>
    <cellStyle name="壞 19 5" xfId="22986"/>
    <cellStyle name="壞 19 6" xfId="29226"/>
    <cellStyle name="壞 19 7" xfId="31009"/>
    <cellStyle name="壞 19 8" xfId="32779"/>
    <cellStyle name="壞 19 9" xfId="34514"/>
    <cellStyle name="壞 2" xfId="8609"/>
    <cellStyle name="壞 2 10" xfId="36022"/>
    <cellStyle name="壞 2 11" xfId="37640"/>
    <cellStyle name="壞 2 12" xfId="9164"/>
    <cellStyle name="壞 2 2" xfId="9541"/>
    <cellStyle name="壞 2 2 2" xfId="25082"/>
    <cellStyle name="壞 2 3" xfId="28462"/>
    <cellStyle name="壞 2 4" xfId="27272"/>
    <cellStyle name="壞 2 5" xfId="23011"/>
    <cellStyle name="壞 2 6" xfId="29032"/>
    <cellStyle name="壞 2 7" xfId="30817"/>
    <cellStyle name="壞 2 8" xfId="32590"/>
    <cellStyle name="壞 2 9" xfId="34332"/>
    <cellStyle name="壞 20" xfId="20313"/>
    <cellStyle name="壞 20 10" xfId="36497"/>
    <cellStyle name="壞 20 11" xfId="38075"/>
    <cellStyle name="壞 20 2" xfId="25083"/>
    <cellStyle name="壞 20 3" xfId="28463"/>
    <cellStyle name="壞 20 4" xfId="27271"/>
    <cellStyle name="壞 20 5" xfId="26545"/>
    <cellStyle name="壞 20 6" xfId="29587"/>
    <cellStyle name="壞 20 7" xfId="31363"/>
    <cellStyle name="壞 20 8" xfId="33126"/>
    <cellStyle name="壞 20 9" xfId="34844"/>
    <cellStyle name="壞 21" xfId="21139"/>
    <cellStyle name="壞 21 10" xfId="32627"/>
    <cellStyle name="壞 21 11" xfId="34368"/>
    <cellStyle name="壞 21 2" xfId="25084"/>
    <cellStyle name="壞 21 3" xfId="28464"/>
    <cellStyle name="壞 21 4" xfId="27270"/>
    <cellStyle name="壞 21 5" xfId="23080"/>
    <cellStyle name="壞 21 6" xfId="28544"/>
    <cellStyle name="壞 21 7" xfId="24874"/>
    <cellStyle name="壞 21 8" xfId="29069"/>
    <cellStyle name="壞 21 9" xfId="30854"/>
    <cellStyle name="壞 22" xfId="12332"/>
    <cellStyle name="壞 22 10" xfId="32524"/>
    <cellStyle name="壞 22 11" xfId="34267"/>
    <cellStyle name="壞 22 2" xfId="25085"/>
    <cellStyle name="壞 22 3" xfId="28465"/>
    <cellStyle name="壞 22 4" xfId="27269"/>
    <cellStyle name="壞 22 5" xfId="23524"/>
    <cellStyle name="壞 22 6" xfId="28306"/>
    <cellStyle name="壞 22 7" xfId="23239"/>
    <cellStyle name="壞 22 8" xfId="28965"/>
    <cellStyle name="壞 22 9" xfId="30751"/>
    <cellStyle name="壞 23" xfId="22966"/>
    <cellStyle name="壞 23 10" xfId="32624"/>
    <cellStyle name="壞 23 11" xfId="34365"/>
    <cellStyle name="壞 23 2" xfId="25086"/>
    <cellStyle name="壞 23 3" xfId="28466"/>
    <cellStyle name="壞 23 4" xfId="27250"/>
    <cellStyle name="壞 23 5" xfId="23578"/>
    <cellStyle name="壞 23 6" xfId="28541"/>
    <cellStyle name="壞 23 7" xfId="22938"/>
    <cellStyle name="壞 23 8" xfId="29066"/>
    <cellStyle name="壞 23 9" xfId="30851"/>
    <cellStyle name="壞 24" xfId="25087"/>
    <cellStyle name="壞 25" xfId="25088"/>
    <cellStyle name="壞 26" xfId="25089"/>
    <cellStyle name="壞 27" xfId="25090"/>
    <cellStyle name="壞 28" xfId="25091"/>
    <cellStyle name="壞 29" xfId="25092"/>
    <cellStyle name="壞 3" xfId="9206"/>
    <cellStyle name="壞 3 10" xfId="36295"/>
    <cellStyle name="壞 3 11" xfId="37883"/>
    <cellStyle name="壞 3 2" xfId="10284"/>
    <cellStyle name="壞 3 2 2" xfId="25093"/>
    <cellStyle name="壞 3 3" xfId="28473"/>
    <cellStyle name="壞 3 4" xfId="27242"/>
    <cellStyle name="壞 3 5" xfId="23541"/>
    <cellStyle name="壞 3 6" xfId="29348"/>
    <cellStyle name="壞 3 7" xfId="31129"/>
    <cellStyle name="壞 3 8" xfId="32897"/>
    <cellStyle name="壞 3 9" xfId="34626"/>
    <cellStyle name="壞 30" xfId="25094"/>
    <cellStyle name="壞 31" xfId="25095"/>
    <cellStyle name="壞 32" xfId="25096"/>
    <cellStyle name="壞 33" xfId="25097"/>
    <cellStyle name="壞 34" xfId="25098"/>
    <cellStyle name="壞 35" xfId="25099"/>
    <cellStyle name="壞 36" xfId="25100"/>
    <cellStyle name="壞 37" xfId="25101"/>
    <cellStyle name="壞 38" xfId="25102"/>
    <cellStyle name="壞 39" xfId="25103"/>
    <cellStyle name="壞 4" xfId="10926"/>
    <cellStyle name="壞 4 10" xfId="36294"/>
    <cellStyle name="壞 4 11" xfId="37882"/>
    <cellStyle name="壞 4 2" xfId="25104"/>
    <cellStyle name="壞 4 3" xfId="28484"/>
    <cellStyle name="壞 4 4" xfId="27230"/>
    <cellStyle name="壞 4 5" xfId="23460"/>
    <cellStyle name="壞 4 6" xfId="29347"/>
    <cellStyle name="壞 4 7" xfId="31128"/>
    <cellStyle name="壞 4 8" xfId="32896"/>
    <cellStyle name="壞 4 9" xfId="34625"/>
    <cellStyle name="壞 40" xfId="25105"/>
    <cellStyle name="壞 41" xfId="25106"/>
    <cellStyle name="壞 42" xfId="25107"/>
    <cellStyle name="壞 43" xfId="25108"/>
    <cellStyle name="壞 44" xfId="25109"/>
    <cellStyle name="壞 45" xfId="25110"/>
    <cellStyle name="壞 46" xfId="25111"/>
    <cellStyle name="壞 47" xfId="25112"/>
    <cellStyle name="壞 48" xfId="25113"/>
    <cellStyle name="壞 49" xfId="25114"/>
    <cellStyle name="壞 5" xfId="10565"/>
    <cellStyle name="壞 5 10" xfId="36018"/>
    <cellStyle name="壞 5 11" xfId="37637"/>
    <cellStyle name="壞 5 2" xfId="25115"/>
    <cellStyle name="壞 5 3" xfId="28495"/>
    <cellStyle name="壞 5 4" xfId="27218"/>
    <cellStyle name="壞 5 5" xfId="23508"/>
    <cellStyle name="壞 5 6" xfId="29028"/>
    <cellStyle name="壞 5 7" xfId="30813"/>
    <cellStyle name="壞 5 8" xfId="32586"/>
    <cellStyle name="壞 5 9" xfId="34328"/>
    <cellStyle name="壞 50" xfId="25116"/>
    <cellStyle name="壞 51" xfId="25117"/>
    <cellStyle name="壞 52" xfId="25118"/>
    <cellStyle name="壞 53" xfId="25119"/>
    <cellStyle name="壞 54" xfId="25120"/>
    <cellStyle name="壞 55" xfId="25121"/>
    <cellStyle name="壞 56" xfId="25122"/>
    <cellStyle name="壞 57" xfId="25123"/>
    <cellStyle name="壞 58" xfId="25124"/>
    <cellStyle name="壞 59" xfId="25125"/>
    <cellStyle name="壞 6" xfId="10971"/>
    <cellStyle name="壞 6 10" xfId="38384"/>
    <cellStyle name="壞 6 11" xfId="39826"/>
    <cellStyle name="壞 6 2" xfId="25126"/>
    <cellStyle name="壞 6 3" xfId="28505"/>
    <cellStyle name="壞 6 4" xfId="27188"/>
    <cellStyle name="壞 6 5" xfId="29925"/>
    <cellStyle name="壞 6 6" xfId="31700"/>
    <cellStyle name="壞 6 7" xfId="33459"/>
    <cellStyle name="壞 6 8" xfId="35173"/>
    <cellStyle name="壞 6 9" xfId="36820"/>
    <cellStyle name="壞 60" xfId="25127"/>
    <cellStyle name="壞 61" xfId="25128"/>
    <cellStyle name="壞 62" xfId="23569"/>
    <cellStyle name="壞 63" xfId="28806"/>
    <cellStyle name="壞 64" xfId="30592"/>
    <cellStyle name="壞 65" xfId="32366"/>
    <cellStyle name="壞 66" xfId="34118"/>
    <cellStyle name="壞 67" xfId="35825"/>
    <cellStyle name="壞 68" xfId="37460"/>
    <cellStyle name="壞 69" xfId="39007"/>
    <cellStyle name="壞 7" xfId="10656"/>
    <cellStyle name="壞 7 10" xfId="36289"/>
    <cellStyle name="壞 7 11" xfId="37878"/>
    <cellStyle name="壞 7 2" xfId="25129"/>
    <cellStyle name="壞 7 3" xfId="28508"/>
    <cellStyle name="壞 7 4" xfId="27185"/>
    <cellStyle name="壞 7 5" xfId="23130"/>
    <cellStyle name="壞 7 6" xfId="29342"/>
    <cellStyle name="壞 7 7" xfId="31123"/>
    <cellStyle name="壞 7 8" xfId="32891"/>
    <cellStyle name="壞 7 9" xfId="34620"/>
    <cellStyle name="壞 70" xfId="40420"/>
    <cellStyle name="壞 71" xfId="7988"/>
    <cellStyle name="壞 72" xfId="7979"/>
    <cellStyle name="壞 8" xfId="10373"/>
    <cellStyle name="壞 8 10" xfId="36167"/>
    <cellStyle name="壞 8 11" xfId="37772"/>
    <cellStyle name="壞 8 2" xfId="25130"/>
    <cellStyle name="壞 8 3" xfId="28509"/>
    <cellStyle name="壞 8 4" xfId="27184"/>
    <cellStyle name="壞 8 5" xfId="23344"/>
    <cellStyle name="壞 8 6" xfId="29199"/>
    <cellStyle name="壞 8 7" xfId="30982"/>
    <cellStyle name="壞 8 8" xfId="32752"/>
    <cellStyle name="壞 8 9" xfId="34488"/>
    <cellStyle name="壞 9" xfId="11061"/>
    <cellStyle name="壞 9 10" xfId="36015"/>
    <cellStyle name="壞 9 11" xfId="37634"/>
    <cellStyle name="壞 9 2" xfId="25131"/>
    <cellStyle name="壞 9 3" xfId="28510"/>
    <cellStyle name="壞 9 4" xfId="27183"/>
    <cellStyle name="壞 9 5" xfId="23284"/>
    <cellStyle name="壞 9 6" xfId="29025"/>
    <cellStyle name="壞 9 7" xfId="30810"/>
    <cellStyle name="壞 9 8" xfId="32583"/>
    <cellStyle name="壞 9 9" xfId="34325"/>
    <cellStyle name="好 10" xfId="8372"/>
    <cellStyle name="好 10 10" xfId="36490"/>
    <cellStyle name="好 10 11" xfId="38070"/>
    <cellStyle name="好 10 12" xfId="10686"/>
    <cellStyle name="好 10 2" xfId="25132"/>
    <cellStyle name="好 10 3" xfId="28511"/>
    <cellStyle name="好 10 4" xfId="27182"/>
    <cellStyle name="好 10 5" xfId="23133"/>
    <cellStyle name="好 10 6" xfId="29579"/>
    <cellStyle name="好 10 7" xfId="31355"/>
    <cellStyle name="好 10 8" xfId="33119"/>
    <cellStyle name="好 10 9" xfId="34837"/>
    <cellStyle name="好 11" xfId="8414"/>
    <cellStyle name="好 11 10" xfId="31257"/>
    <cellStyle name="好 11 11" xfId="33021"/>
    <cellStyle name="好 11 12" xfId="11464"/>
    <cellStyle name="好 11 2" xfId="25133"/>
    <cellStyle name="好 11 3" xfId="28512"/>
    <cellStyle name="好 11 4" xfId="27181"/>
    <cellStyle name="好 11 5" xfId="23081"/>
    <cellStyle name="好 11 6" xfId="28535"/>
    <cellStyle name="好 11 7" xfId="27155"/>
    <cellStyle name="好 11 8" xfId="23175"/>
    <cellStyle name="好 11 9" xfId="29480"/>
    <cellStyle name="好 12" xfId="8456"/>
    <cellStyle name="好 12 10" xfId="26781"/>
    <cellStyle name="好 12 11" xfId="28617"/>
    <cellStyle name="好 12 12" xfId="11321"/>
    <cellStyle name="好 12 2" xfId="25134"/>
    <cellStyle name="好 12 3" xfId="28513"/>
    <cellStyle name="好 12 4" xfId="27180"/>
    <cellStyle name="好 12 5" xfId="23525"/>
    <cellStyle name="好 12 6" xfId="28297"/>
    <cellStyle name="好 12 7" xfId="23507"/>
    <cellStyle name="好 12 8" xfId="28431"/>
    <cellStyle name="好 12 9" xfId="27307"/>
    <cellStyle name="好 13" xfId="8498"/>
    <cellStyle name="好 13 10" xfId="34166"/>
    <cellStyle name="好 13 11" xfId="35868"/>
    <cellStyle name="好 13 12" xfId="12346"/>
    <cellStyle name="好 13 2" xfId="25135"/>
    <cellStyle name="好 13 3" xfId="28514"/>
    <cellStyle name="好 13 4" xfId="27179"/>
    <cellStyle name="好 13 5" xfId="27066"/>
    <cellStyle name="好 13 6" xfId="23572"/>
    <cellStyle name="好 13 7" xfId="28855"/>
    <cellStyle name="好 13 8" xfId="30641"/>
    <cellStyle name="好 13 9" xfId="32415"/>
    <cellStyle name="好 14" xfId="8540"/>
    <cellStyle name="好 14 10" xfId="34980"/>
    <cellStyle name="好 14 11" xfId="36633"/>
    <cellStyle name="好 14 12" xfId="12600"/>
    <cellStyle name="好 14 2" xfId="25136"/>
    <cellStyle name="好 14 3" xfId="28515"/>
    <cellStyle name="好 14 4" xfId="27177"/>
    <cellStyle name="好 14 5" xfId="28244"/>
    <cellStyle name="好 14 6" xfId="27531"/>
    <cellStyle name="好 14 7" xfId="29726"/>
    <cellStyle name="好 14 8" xfId="31501"/>
    <cellStyle name="好 14 9" xfId="33262"/>
    <cellStyle name="好 15" xfId="8589"/>
    <cellStyle name="好 15 10" xfId="38385"/>
    <cellStyle name="好 15 11" xfId="39827"/>
    <cellStyle name="好 15 12" xfId="43225"/>
    <cellStyle name="好 15 2" xfId="25137"/>
    <cellStyle name="好 15 3" xfId="28516"/>
    <cellStyle name="好 15 4" xfId="27176"/>
    <cellStyle name="好 15 5" xfId="29926"/>
    <cellStyle name="好 15 6" xfId="31701"/>
    <cellStyle name="好 15 7" xfId="33460"/>
    <cellStyle name="好 15 8" xfId="35174"/>
    <cellStyle name="好 15 9" xfId="36821"/>
    <cellStyle name="好 16" xfId="12063"/>
    <cellStyle name="好 16 10" xfId="38475"/>
    <cellStyle name="好 16 11" xfId="39916"/>
    <cellStyle name="好 16 12" xfId="43267"/>
    <cellStyle name="好 16 2" xfId="25138"/>
    <cellStyle name="好 16 3" xfId="28517"/>
    <cellStyle name="好 16 4" xfId="27175"/>
    <cellStyle name="好 16 5" xfId="30021"/>
    <cellStyle name="好 16 6" xfId="31796"/>
    <cellStyle name="好 16 7" xfId="33553"/>
    <cellStyle name="好 16 8" xfId="35267"/>
    <cellStyle name="好 16 9" xfId="36914"/>
    <cellStyle name="好 17" xfId="15635"/>
    <cellStyle name="好 17 10" xfId="38308"/>
    <cellStyle name="好 17 11" xfId="39756"/>
    <cellStyle name="好 17 2" xfId="25139"/>
    <cellStyle name="好 17 3" xfId="28518"/>
    <cellStyle name="好 17 4" xfId="27174"/>
    <cellStyle name="好 17 5" xfId="29840"/>
    <cellStyle name="好 17 6" xfId="31615"/>
    <cellStyle name="好 17 7" xfId="33374"/>
    <cellStyle name="好 17 8" xfId="35089"/>
    <cellStyle name="好 17 9" xfId="36739"/>
    <cellStyle name="好 18" xfId="12215"/>
    <cellStyle name="好 18 10" xfId="36288"/>
    <cellStyle name="好 18 11" xfId="37877"/>
    <cellStyle name="好 18 2" xfId="25140"/>
    <cellStyle name="好 18 3" xfId="28519"/>
    <cellStyle name="好 18 4" xfId="27173"/>
    <cellStyle name="好 18 5" xfId="22969"/>
    <cellStyle name="好 18 6" xfId="29341"/>
    <cellStyle name="好 18 7" xfId="31122"/>
    <cellStyle name="好 18 8" xfId="32890"/>
    <cellStyle name="好 18 9" xfId="34619"/>
    <cellStyle name="好 19" xfId="12405"/>
    <cellStyle name="好 19 10" xfId="36166"/>
    <cellStyle name="好 19 11" xfId="37771"/>
    <cellStyle name="好 19 2" xfId="25141"/>
    <cellStyle name="好 19 3" xfId="28520"/>
    <cellStyle name="好 19 4" xfId="27172"/>
    <cellStyle name="好 19 5" xfId="23269"/>
    <cellStyle name="好 19 6" xfId="29198"/>
    <cellStyle name="好 19 7" xfId="30981"/>
    <cellStyle name="好 19 8" xfId="32751"/>
    <cellStyle name="好 19 9" xfId="34487"/>
    <cellStyle name="好 2" xfId="8037"/>
    <cellStyle name="好 2 10" xfId="36014"/>
    <cellStyle name="好 2 11" xfId="37633"/>
    <cellStyle name="好 2 12" xfId="9163"/>
    <cellStyle name="好 2 2" xfId="9522"/>
    <cellStyle name="好 2 2 2" xfId="25142"/>
    <cellStyle name="好 2 3" xfId="28521"/>
    <cellStyle name="好 2 4" xfId="27171"/>
    <cellStyle name="好 2 5" xfId="23178"/>
    <cellStyle name="好 2 6" xfId="29024"/>
    <cellStyle name="好 2 7" xfId="30809"/>
    <cellStyle name="好 2 8" xfId="32582"/>
    <cellStyle name="好 2 9" xfId="34324"/>
    <cellStyle name="好 20" xfId="18415"/>
    <cellStyle name="好 20 10" xfId="36488"/>
    <cellStyle name="好 20 11" xfId="38068"/>
    <cellStyle name="好 20 2" xfId="25143"/>
    <cellStyle name="好 20 3" xfId="28522"/>
    <cellStyle name="好 20 4" xfId="27170"/>
    <cellStyle name="好 20 5" xfId="23141"/>
    <cellStyle name="好 20 6" xfId="29577"/>
    <cellStyle name="好 20 7" xfId="31353"/>
    <cellStyle name="好 20 8" xfId="33117"/>
    <cellStyle name="好 20 9" xfId="34835"/>
    <cellStyle name="好 21" xfId="19443"/>
    <cellStyle name="好 21 10" xfId="28857"/>
    <cellStyle name="好 21 11" xfId="30643"/>
    <cellStyle name="好 21 2" xfId="25144"/>
    <cellStyle name="好 21 3" xfId="28523"/>
    <cellStyle name="好 21 4" xfId="27169"/>
    <cellStyle name="好 21 5" xfId="23647"/>
    <cellStyle name="好 21 6" xfId="28534"/>
    <cellStyle name="好 21 7" xfId="27156"/>
    <cellStyle name="好 21 8" xfId="27068"/>
    <cellStyle name="好 21 9" xfId="23694"/>
    <cellStyle name="好 22" xfId="20217"/>
    <cellStyle name="好 22 10" xfId="28501"/>
    <cellStyle name="好 22 11" xfId="27211"/>
    <cellStyle name="好 22 2" xfId="25145"/>
    <cellStyle name="好 22 3" xfId="28524"/>
    <cellStyle name="好 22 4" xfId="27168"/>
    <cellStyle name="好 22 5" xfId="23445"/>
    <cellStyle name="好 22 6" xfId="28296"/>
    <cellStyle name="好 22 7" xfId="23368"/>
    <cellStyle name="好 22 8" xfId="28267"/>
    <cellStyle name="好 22 9" xfId="23658"/>
    <cellStyle name="好 23" xfId="22946"/>
    <cellStyle name="好 23 10" xfId="34726"/>
    <cellStyle name="好 23 11" xfId="36386"/>
    <cellStyle name="好 23 2" xfId="25146"/>
    <cellStyle name="好 23 3" xfId="28525"/>
    <cellStyle name="好 23 4" xfId="27166"/>
    <cellStyle name="好 23 5" xfId="27118"/>
    <cellStyle name="好 23 6" xfId="26595"/>
    <cellStyle name="好 23 7" xfId="29463"/>
    <cellStyle name="好 23 8" xfId="31240"/>
    <cellStyle name="好 23 9" xfId="33005"/>
    <cellStyle name="好 24" xfId="25147"/>
    <cellStyle name="好 25" xfId="25148"/>
    <cellStyle name="好 26" xfId="25149"/>
    <cellStyle name="好 27" xfId="25150"/>
    <cellStyle name="好 28" xfId="25151"/>
    <cellStyle name="好 29" xfId="25152"/>
    <cellStyle name="好 3" xfId="8079"/>
    <cellStyle name="好 3 10" xfId="36012"/>
    <cellStyle name="好 3 11" xfId="37631"/>
    <cellStyle name="好 3 12" xfId="9205"/>
    <cellStyle name="好 3 2" xfId="10264"/>
    <cellStyle name="好 3 2 2" xfId="25153"/>
    <cellStyle name="好 3 3" xfId="28532"/>
    <cellStyle name="好 3 4" xfId="27159"/>
    <cellStyle name="好 3 5" xfId="23103"/>
    <cellStyle name="好 3 6" xfId="29022"/>
    <cellStyle name="好 3 7" xfId="30807"/>
    <cellStyle name="好 3 8" xfId="32580"/>
    <cellStyle name="好 3 9" xfId="34322"/>
    <cellStyle name="好 30" xfId="25154"/>
    <cellStyle name="好 31" xfId="25155"/>
    <cellStyle name="好 32" xfId="25156"/>
    <cellStyle name="好 33" xfId="25157"/>
    <cellStyle name="好 34" xfId="25158"/>
    <cellStyle name="好 35" xfId="25159"/>
    <cellStyle name="好 36" xfId="25160"/>
    <cellStyle name="好 37" xfId="25161"/>
    <cellStyle name="好 38" xfId="25162"/>
    <cellStyle name="好 39" xfId="25163"/>
    <cellStyle name="好 4" xfId="8121"/>
    <cellStyle name="好 4 10" xfId="37673"/>
    <cellStyle name="好 4 11" xfId="39191"/>
    <cellStyle name="好 4 12" xfId="10629"/>
    <cellStyle name="好 4 2" xfId="25164"/>
    <cellStyle name="好 4 3" xfId="28542"/>
    <cellStyle name="好 4 4" xfId="23671"/>
    <cellStyle name="好 4 5" xfId="29067"/>
    <cellStyle name="好 4 6" xfId="30852"/>
    <cellStyle name="好 4 7" xfId="32625"/>
    <cellStyle name="好 4 8" xfId="34366"/>
    <cellStyle name="好 4 9" xfId="36055"/>
    <cellStyle name="好 40" xfId="25165"/>
    <cellStyle name="好 41" xfId="25166"/>
    <cellStyle name="好 42" xfId="25167"/>
    <cellStyle name="好 43" xfId="25168"/>
    <cellStyle name="好 44" xfId="25169"/>
    <cellStyle name="好 45" xfId="25170"/>
    <cellStyle name="好 46" xfId="25171"/>
    <cellStyle name="好 47" xfId="25172"/>
    <cellStyle name="好 48" xfId="25173"/>
    <cellStyle name="好 49" xfId="25174"/>
    <cellStyle name="好 5" xfId="8163"/>
    <cellStyle name="好 5 10" xfId="34307"/>
    <cellStyle name="好 5 11" xfId="35998"/>
    <cellStyle name="好 5 12" xfId="10718"/>
    <cellStyle name="好 5 2" xfId="25175"/>
    <cellStyle name="好 5 3" xfId="28553"/>
    <cellStyle name="好 5 4" xfId="27085"/>
    <cellStyle name="好 5 5" xfId="27124"/>
    <cellStyle name="好 5 6" xfId="23032"/>
    <cellStyle name="好 5 7" xfId="29007"/>
    <cellStyle name="好 5 8" xfId="30792"/>
    <cellStyle name="好 5 9" xfId="32565"/>
    <cellStyle name="好 50" xfId="25176"/>
    <cellStyle name="好 51" xfId="25177"/>
    <cellStyle name="好 52" xfId="25178"/>
    <cellStyle name="好 53" xfId="25179"/>
    <cellStyle name="好 54" xfId="25180"/>
    <cellStyle name="好 55" xfId="25181"/>
    <cellStyle name="好 56" xfId="25182"/>
    <cellStyle name="好 57" xfId="25183"/>
    <cellStyle name="好 58" xfId="25184"/>
    <cellStyle name="好 59" xfId="25185"/>
    <cellStyle name="好 6" xfId="8204"/>
    <cellStyle name="好 6 10" xfId="37583"/>
    <cellStyle name="好 6 11" xfId="39114"/>
    <cellStyle name="好 6 12" xfId="10483"/>
    <cellStyle name="好 6 2" xfId="25186"/>
    <cellStyle name="好 6 3" xfId="28563"/>
    <cellStyle name="好 6 4" xfId="23055"/>
    <cellStyle name="好 6 5" xfId="28955"/>
    <cellStyle name="好 6 6" xfId="30741"/>
    <cellStyle name="好 6 7" xfId="32514"/>
    <cellStyle name="好 6 8" xfId="34258"/>
    <cellStyle name="好 6 9" xfId="35956"/>
    <cellStyle name="好 60" xfId="25187"/>
    <cellStyle name="好 61" xfId="25188"/>
    <cellStyle name="好 62" xfId="23249"/>
    <cellStyle name="好 63" xfId="28828"/>
    <cellStyle name="好 64" xfId="30614"/>
    <cellStyle name="好 65" xfId="32388"/>
    <cellStyle name="好 66" xfId="34140"/>
    <cellStyle name="好 67" xfId="35847"/>
    <cellStyle name="好 68" xfId="37481"/>
    <cellStyle name="好 69" xfId="39028"/>
    <cellStyle name="好 7" xfId="8246"/>
    <cellStyle name="好 7 10" xfId="37842"/>
    <cellStyle name="好 7 11" xfId="39331"/>
    <cellStyle name="好 7 12" xfId="11241"/>
    <cellStyle name="好 7 2" xfId="25189"/>
    <cellStyle name="好 7 3" xfId="28566"/>
    <cellStyle name="好 7 4" xfId="23527"/>
    <cellStyle name="好 7 5" xfId="29284"/>
    <cellStyle name="好 7 6" xfId="31066"/>
    <cellStyle name="好 7 7" xfId="32835"/>
    <cellStyle name="好 7 8" xfId="34567"/>
    <cellStyle name="好 7 9" xfId="36240"/>
    <cellStyle name="好 70" xfId="40441"/>
    <cellStyle name="好 71" xfId="42714"/>
    <cellStyle name="好 72" xfId="42757"/>
    <cellStyle name="好 73" xfId="42799"/>
    <cellStyle name="好 74" xfId="42840"/>
    <cellStyle name="好 75" xfId="42881"/>
    <cellStyle name="好 76" xfId="42921"/>
    <cellStyle name="好 77" xfId="42961"/>
    <cellStyle name="好 78" xfId="42998"/>
    <cellStyle name="好 79" xfId="43033"/>
    <cellStyle name="好 8" xfId="8288"/>
    <cellStyle name="好 8 10" xfId="37935"/>
    <cellStyle name="好 8 11" xfId="39405"/>
    <cellStyle name="好 8 12" xfId="11432"/>
    <cellStyle name="好 8 2" xfId="25190"/>
    <cellStyle name="好 8 3" xfId="28567"/>
    <cellStyle name="好 8 4" xfId="23548"/>
    <cellStyle name="好 8 5" xfId="29417"/>
    <cellStyle name="好 8 6" xfId="31194"/>
    <cellStyle name="好 8 7" xfId="32960"/>
    <cellStyle name="好 8 8" xfId="34683"/>
    <cellStyle name="好 8 9" xfId="36349"/>
    <cellStyle name="好 80" xfId="43067"/>
    <cellStyle name="好 81" xfId="43093"/>
    <cellStyle name="好 82" xfId="43116"/>
    <cellStyle name="好 83" xfId="43121"/>
    <cellStyle name="好 84" xfId="43202"/>
    <cellStyle name="好 85" xfId="43207"/>
    <cellStyle name="好 86" xfId="43208"/>
    <cellStyle name="好 87" xfId="43209"/>
    <cellStyle name="好 88" xfId="43210"/>
    <cellStyle name="好 89" xfId="43211"/>
    <cellStyle name="好 9" xfId="8330"/>
    <cellStyle name="好 9 10" xfId="30022"/>
    <cellStyle name="好 9 11" xfId="31797"/>
    <cellStyle name="好 9 12" xfId="11620"/>
    <cellStyle name="好 9 2" xfId="25191"/>
    <cellStyle name="好 9 3" xfId="28568"/>
    <cellStyle name="好 9 4" xfId="27087"/>
    <cellStyle name="好 9 5" xfId="23209"/>
    <cellStyle name="好 9 6" xfId="28271"/>
    <cellStyle name="好 9 7" xfId="22924"/>
    <cellStyle name="好 9 8" xfId="28506"/>
    <cellStyle name="好 9 9" xfId="27187"/>
    <cellStyle name="好 90" xfId="43212"/>
    <cellStyle name="好 91" xfId="43213"/>
    <cellStyle name="好 92" xfId="43214"/>
    <cellStyle name="好 93" xfId="43215"/>
    <cellStyle name="好 94" xfId="43216"/>
    <cellStyle name="好 95" xfId="43217"/>
    <cellStyle name="好 96" xfId="43218"/>
    <cellStyle name="好 97" xfId="7987"/>
    <cellStyle name="好 98" xfId="7959"/>
    <cellStyle name="差 10" xfId="8373"/>
    <cellStyle name="差 11" xfId="8415"/>
    <cellStyle name="差 12" xfId="8457"/>
    <cellStyle name="差 13" xfId="8499"/>
    <cellStyle name="差 14" xfId="8541"/>
    <cellStyle name="差 15" xfId="43226"/>
    <cellStyle name="差 16" xfId="43268"/>
    <cellStyle name="差 2" xfId="8038"/>
    <cellStyle name="差 3" xfId="8080"/>
    <cellStyle name="差 4" xfId="8122"/>
    <cellStyle name="差 5" xfId="8164"/>
    <cellStyle name="差 6" xfId="8205"/>
    <cellStyle name="差 7" xfId="8247"/>
    <cellStyle name="差 8" xfId="8289"/>
    <cellStyle name="差 9" xfId="8331"/>
    <cellStyle name="常规 10" xfId="8408"/>
    <cellStyle name="常规 11" xfId="8450"/>
    <cellStyle name="常规 12" xfId="8492"/>
    <cellStyle name="常规 13" xfId="8534"/>
    <cellStyle name="常规 14" xfId="43219"/>
    <cellStyle name="常规 15" xfId="43261"/>
    <cellStyle name="常规 2" xfId="8031"/>
    <cellStyle name="常规 3" xfId="8073"/>
    <cellStyle name="常规 37" xfId="7932"/>
    <cellStyle name="常规 38" xfId="7933"/>
    <cellStyle name="常规 4" xfId="8115"/>
    <cellStyle name="常规 5" xfId="8157"/>
    <cellStyle name="常规 6" xfId="8282"/>
    <cellStyle name="常规 7" xfId="8240"/>
    <cellStyle name="常规 8" xfId="8324"/>
    <cellStyle name="常规 9" xfId="8366"/>
    <cellStyle name="强调文字颜色 1 10" xfId="8384"/>
    <cellStyle name="强调文字颜色 1 11" xfId="8426"/>
    <cellStyle name="强调文字颜色 1 12" xfId="8468"/>
    <cellStyle name="强调文字颜色 1 13" xfId="8510"/>
    <cellStyle name="强调文字颜色 1 14" xfId="8552"/>
    <cellStyle name="强调文字颜色 1 15" xfId="43237"/>
    <cellStyle name="强调文字颜色 1 16" xfId="43279"/>
    <cellStyle name="强调文字颜色 1 2" xfId="8049"/>
    <cellStyle name="强调文字颜色 1 3" xfId="8091"/>
    <cellStyle name="强调文字颜色 1 4" xfId="8133"/>
    <cellStyle name="强调文字颜色 1 5" xfId="8175"/>
    <cellStyle name="强调文字颜色 1 6" xfId="8216"/>
    <cellStyle name="强调文字颜色 1 7" xfId="8258"/>
    <cellStyle name="强调文字颜色 1 8" xfId="8300"/>
    <cellStyle name="强调文字颜色 1 9" xfId="8342"/>
    <cellStyle name="强调文字颜色 2 10" xfId="8388"/>
    <cellStyle name="强调文字颜色 2 11" xfId="8430"/>
    <cellStyle name="强调文字颜色 2 12" xfId="8472"/>
    <cellStyle name="强调文字颜色 2 13" xfId="8514"/>
    <cellStyle name="强调文字颜色 2 14" xfId="8556"/>
    <cellStyle name="强调文字颜色 2 15" xfId="43241"/>
    <cellStyle name="强调文字颜色 2 16" xfId="43283"/>
    <cellStyle name="强调文字颜色 2 2" xfId="8053"/>
    <cellStyle name="强调文字颜色 2 3" xfId="8095"/>
    <cellStyle name="强调文字颜色 2 4" xfId="8137"/>
    <cellStyle name="强调文字颜色 2 5" xfId="8179"/>
    <cellStyle name="强调文字颜色 2 6" xfId="8220"/>
    <cellStyle name="强调文字颜色 2 7" xfId="8262"/>
    <cellStyle name="强调文字颜色 2 8" xfId="8304"/>
    <cellStyle name="强调文字颜色 2 9" xfId="8346"/>
    <cellStyle name="强调文字颜色 3 10" xfId="8392"/>
    <cellStyle name="强调文字颜色 3 11" xfId="8434"/>
    <cellStyle name="强调文字颜色 3 12" xfId="8476"/>
    <cellStyle name="强调文字颜色 3 13" xfId="8518"/>
    <cellStyle name="强调文字颜色 3 14" xfId="8560"/>
    <cellStyle name="强调文字颜色 3 15" xfId="43245"/>
    <cellStyle name="强调文字颜色 3 16" xfId="43287"/>
    <cellStyle name="强调文字颜色 3 2" xfId="8057"/>
    <cellStyle name="强调文字颜色 3 3" xfId="8099"/>
    <cellStyle name="强调文字颜色 3 4" xfId="8141"/>
    <cellStyle name="强调文字颜色 3 5" xfId="8183"/>
    <cellStyle name="强调文字颜色 3 6" xfId="8224"/>
    <cellStyle name="强调文字颜色 3 7" xfId="8266"/>
    <cellStyle name="强调文字颜色 3 8" xfId="8308"/>
    <cellStyle name="强调文字颜色 3 9" xfId="8350"/>
    <cellStyle name="强调文字颜色 4 10" xfId="8396"/>
    <cellStyle name="强调文字颜色 4 11" xfId="8438"/>
    <cellStyle name="强调文字颜色 4 12" xfId="8480"/>
    <cellStyle name="强调文字颜色 4 13" xfId="8522"/>
    <cellStyle name="强调文字颜色 4 14" xfId="8564"/>
    <cellStyle name="强调文字颜色 4 15" xfId="43249"/>
    <cellStyle name="强调文字颜色 4 16" xfId="43291"/>
    <cellStyle name="强调文字颜色 4 2" xfId="8061"/>
    <cellStyle name="强调文字颜色 4 3" xfId="8103"/>
    <cellStyle name="强调文字颜色 4 4" xfId="8145"/>
    <cellStyle name="强调文字颜色 4 5" xfId="8187"/>
    <cellStyle name="强调文字颜色 4 6" xfId="8228"/>
    <cellStyle name="强调文字颜色 4 7" xfId="8270"/>
    <cellStyle name="强调文字颜色 4 8" xfId="8312"/>
    <cellStyle name="强调文字颜色 4 9" xfId="8354"/>
    <cellStyle name="强调文字颜色 5 10" xfId="8400"/>
    <cellStyle name="强调文字颜色 5 11" xfId="8442"/>
    <cellStyle name="强调文字颜色 5 12" xfId="8484"/>
    <cellStyle name="强调文字颜色 5 13" xfId="8526"/>
    <cellStyle name="强调文字颜色 5 14" xfId="8568"/>
    <cellStyle name="强调文字颜色 5 15" xfId="43253"/>
    <cellStyle name="强调文字颜色 5 16" xfId="43295"/>
    <cellStyle name="强调文字颜色 5 2" xfId="8065"/>
    <cellStyle name="强调文字颜色 5 3" xfId="8107"/>
    <cellStyle name="强调文字颜色 5 4" xfId="8149"/>
    <cellStyle name="强调文字颜色 5 5" xfId="8191"/>
    <cellStyle name="强调文字颜色 5 6" xfId="8232"/>
    <cellStyle name="强调文字颜色 5 7" xfId="8274"/>
    <cellStyle name="强调文字颜色 5 8" xfId="8316"/>
    <cellStyle name="强调文字颜色 5 9" xfId="8358"/>
    <cellStyle name="强调文字颜色 6 10" xfId="8404"/>
    <cellStyle name="强调文字颜色 6 11" xfId="8446"/>
    <cellStyle name="强调文字颜色 6 12" xfId="8488"/>
    <cellStyle name="强调文字颜色 6 13" xfId="8530"/>
    <cellStyle name="强调文字颜色 6 14" xfId="8572"/>
    <cellStyle name="强调文字颜色 6 15" xfId="43257"/>
    <cellStyle name="强调文字颜色 6 16" xfId="43299"/>
    <cellStyle name="强调文字颜色 6 2" xfId="8069"/>
    <cellStyle name="强调文字颜色 6 3" xfId="8111"/>
    <cellStyle name="强调文字颜色 6 4" xfId="8153"/>
    <cellStyle name="强调文字颜色 6 5" xfId="8195"/>
    <cellStyle name="强调文字颜色 6 6" xfId="8236"/>
    <cellStyle name="强调文字颜色 6 7" xfId="8278"/>
    <cellStyle name="强调文字颜色 6 8" xfId="8320"/>
    <cellStyle name="强调文字颜色 6 9" xfId="8362"/>
    <cellStyle name="标题 1 10" xfId="8368"/>
    <cellStyle name="标题 1 11" xfId="8410"/>
    <cellStyle name="标题 1 12" xfId="8452"/>
    <cellStyle name="标题 1 13" xfId="8494"/>
    <cellStyle name="标题 1 14" xfId="8536"/>
    <cellStyle name="标题 1 15" xfId="43221"/>
    <cellStyle name="标题 1 16" xfId="43263"/>
    <cellStyle name="标题 1 2" xfId="8033"/>
    <cellStyle name="标题 1 3" xfId="8075"/>
    <cellStyle name="标题 1 4" xfId="8117"/>
    <cellStyle name="标题 1 5" xfId="8159"/>
    <cellStyle name="标题 1 6" xfId="8200"/>
    <cellStyle name="标题 1 7" xfId="8242"/>
    <cellStyle name="标题 1 8" xfId="8284"/>
    <cellStyle name="标题 1 9" xfId="8326"/>
    <cellStyle name="标题 10" xfId="8241"/>
    <cellStyle name="标题 11" xfId="8283"/>
    <cellStyle name="标题 12" xfId="8325"/>
    <cellStyle name="标题 13" xfId="8367"/>
    <cellStyle name="标题 14" xfId="8409"/>
    <cellStyle name="标题 15" xfId="8451"/>
    <cellStyle name="标题 16" xfId="8493"/>
    <cellStyle name="标题 17" xfId="8535"/>
    <cellStyle name="标题 18" xfId="43220"/>
    <cellStyle name="标题 19" xfId="43262"/>
    <cellStyle name="标题 2 10" xfId="8369"/>
    <cellStyle name="标题 2 11" xfId="8411"/>
    <cellStyle name="标题 2 12" xfId="8453"/>
    <cellStyle name="标题 2 13" xfId="8495"/>
    <cellStyle name="标题 2 14" xfId="8537"/>
    <cellStyle name="标题 2 15" xfId="43222"/>
    <cellStyle name="标题 2 16" xfId="43264"/>
    <cellStyle name="标题 2 2" xfId="8034"/>
    <cellStyle name="标题 2 3" xfId="8076"/>
    <cellStyle name="标题 2 4" xfId="8118"/>
    <cellStyle name="标题 2 5" xfId="8160"/>
    <cellStyle name="标题 2 6" xfId="8201"/>
    <cellStyle name="标题 2 7" xfId="8243"/>
    <cellStyle name="标题 2 8" xfId="8285"/>
    <cellStyle name="标题 2 9" xfId="8327"/>
    <cellStyle name="标题 3 10" xfId="8370"/>
    <cellStyle name="标题 3 11" xfId="8412"/>
    <cellStyle name="标题 3 12" xfId="8454"/>
    <cellStyle name="标题 3 13" xfId="8496"/>
    <cellStyle name="标题 3 14" xfId="8538"/>
    <cellStyle name="标题 3 15" xfId="43223"/>
    <cellStyle name="标题 3 16" xfId="43265"/>
    <cellStyle name="标题 3 2" xfId="8035"/>
    <cellStyle name="标题 3 3" xfId="8077"/>
    <cellStyle name="标题 3 4" xfId="8119"/>
    <cellStyle name="标题 3 5" xfId="8161"/>
    <cellStyle name="标题 3 6" xfId="8202"/>
    <cellStyle name="标题 3 7" xfId="8244"/>
    <cellStyle name="标题 3 8" xfId="8286"/>
    <cellStyle name="标题 3 9" xfId="8328"/>
    <cellStyle name="标题 4 10" xfId="8371"/>
    <cellStyle name="标题 4 11" xfId="8413"/>
    <cellStyle name="标题 4 12" xfId="8455"/>
    <cellStyle name="标题 4 13" xfId="8497"/>
    <cellStyle name="标题 4 14" xfId="8539"/>
    <cellStyle name="标题 4 15" xfId="43224"/>
    <cellStyle name="标题 4 16" xfId="43266"/>
    <cellStyle name="标题 4 2" xfId="8036"/>
    <cellStyle name="标题 4 3" xfId="8078"/>
    <cellStyle name="标题 4 4" xfId="8120"/>
    <cellStyle name="标题 4 5" xfId="8162"/>
    <cellStyle name="标题 4 6" xfId="8203"/>
    <cellStyle name="标题 4 7" xfId="8245"/>
    <cellStyle name="标题 4 8" xfId="8287"/>
    <cellStyle name="标题 4 9" xfId="8329"/>
    <cellStyle name="标题 5" xfId="8032"/>
    <cellStyle name="标题 6" xfId="8074"/>
    <cellStyle name="标题 7" xfId="8116"/>
    <cellStyle name="标题 8" xfId="8158"/>
    <cellStyle name="标题 9" xfId="8199"/>
    <cellStyle name="检查单元格 10" xfId="8379"/>
    <cellStyle name="检查单元格 11" xfId="8421"/>
    <cellStyle name="检查单元格 12" xfId="8463"/>
    <cellStyle name="检查单元格 13" xfId="8505"/>
    <cellStyle name="检查单元格 14" xfId="8547"/>
    <cellStyle name="检查单元格 15" xfId="43232"/>
    <cellStyle name="检查单元格 16" xfId="43274"/>
    <cellStyle name="检查单元格 2" xfId="8044"/>
    <cellStyle name="检查单元格 3" xfId="8086"/>
    <cellStyle name="检查单元格 4" xfId="8128"/>
    <cellStyle name="检查单元格 5" xfId="8170"/>
    <cellStyle name="检查单元格 6" xfId="8211"/>
    <cellStyle name="检查单元格 7" xfId="8253"/>
    <cellStyle name="检查单元格 8" xfId="8295"/>
    <cellStyle name="检查单元格 9" xfId="8337"/>
    <cellStyle name="標題 1 10" xfId="10857"/>
    <cellStyle name="標題 1 10 10" xfId="38265"/>
    <cellStyle name="標題 1 10 11" xfId="39715"/>
    <cellStyle name="標題 1 10 2" xfId="25192"/>
    <cellStyle name="標題 1 10 3" xfId="28569"/>
    <cellStyle name="標題 1 10 4" xfId="23291"/>
    <cellStyle name="標題 1 10 5" xfId="29794"/>
    <cellStyle name="標題 1 10 6" xfId="31569"/>
    <cellStyle name="標題 1 10 7" xfId="33328"/>
    <cellStyle name="標題 1 10 8" xfId="35045"/>
    <cellStyle name="標題 1 10 9" xfId="36696"/>
    <cellStyle name="標題 1 11" xfId="11867"/>
    <cellStyle name="標題 1 11 10" xfId="33063"/>
    <cellStyle name="標題 1 11 11" xfId="34782"/>
    <cellStyle name="標題 1 11 2" xfId="25193"/>
    <cellStyle name="標題 1 11 3" xfId="28570"/>
    <cellStyle name="標題 1 11 4" xfId="22793"/>
    <cellStyle name="標題 1 11 5" xfId="28419"/>
    <cellStyle name="標題 1 11 6" xfId="27338"/>
    <cellStyle name="標題 1 11 7" xfId="23177"/>
    <cellStyle name="標題 1 11 8" xfId="29523"/>
    <cellStyle name="標題 1 11 9" xfId="31299"/>
    <cellStyle name="標題 1 12" xfId="12717"/>
    <cellStyle name="標題 1 12 10" xfId="37582"/>
    <cellStyle name="標題 1 12 11" xfId="39113"/>
    <cellStyle name="標題 1 12 2" xfId="25194"/>
    <cellStyle name="標題 1 12 3" xfId="28571"/>
    <cellStyle name="標題 1 12 4" xfId="23633"/>
    <cellStyle name="標題 1 12 5" xfId="28954"/>
    <cellStyle name="標題 1 12 6" xfId="30740"/>
    <cellStyle name="標題 1 12 7" xfId="32513"/>
    <cellStyle name="標題 1 12 8" xfId="34257"/>
    <cellStyle name="標題 1 12 9" xfId="35955"/>
    <cellStyle name="標題 1 13" xfId="10738"/>
    <cellStyle name="標題 1 13 10" xfId="35357"/>
    <cellStyle name="標題 1 13 11" xfId="37002"/>
    <cellStyle name="標題 1 13 2" xfId="25195"/>
    <cellStyle name="標題 1 13 3" xfId="28572"/>
    <cellStyle name="標題 1 13 4" xfId="22973"/>
    <cellStyle name="標題 1 13 5" xfId="28380"/>
    <cellStyle name="標題 1 13 6" xfId="27399"/>
    <cellStyle name="標題 1 13 7" xfId="30113"/>
    <cellStyle name="標題 1 13 8" xfId="31888"/>
    <cellStyle name="標題 1 13 9" xfId="33644"/>
    <cellStyle name="標題 1 14" xfId="10238"/>
    <cellStyle name="標題 1 14 10" xfId="37730"/>
    <cellStyle name="標題 1 14 11" xfId="39238"/>
    <cellStyle name="標題 1 14 2" xfId="25196"/>
    <cellStyle name="標題 1 14 3" xfId="28573"/>
    <cellStyle name="標題 1 14 4" xfId="22841"/>
    <cellStyle name="標題 1 14 5" xfId="29143"/>
    <cellStyle name="標題 1 14 6" xfId="30927"/>
    <cellStyle name="標題 1 14 7" xfId="32698"/>
    <cellStyle name="標題 1 14 8" xfId="34435"/>
    <cellStyle name="標題 1 14 9" xfId="36117"/>
    <cellStyle name="標題 1 15" xfId="12817"/>
    <cellStyle name="標題 1 15 10" xfId="37841"/>
    <cellStyle name="標題 1 15 11" xfId="39330"/>
    <cellStyle name="標題 1 15 2" xfId="25197"/>
    <cellStyle name="標題 1 15 3" xfId="28574"/>
    <cellStyle name="標題 1 15 4" xfId="23446"/>
    <cellStyle name="標題 1 15 5" xfId="29283"/>
    <cellStyle name="標題 1 15 6" xfId="31065"/>
    <cellStyle name="標題 1 15 7" xfId="32834"/>
    <cellStyle name="標題 1 15 8" xfId="34566"/>
    <cellStyle name="標題 1 15 9" xfId="36239"/>
    <cellStyle name="標題 1 16" xfId="12039"/>
    <cellStyle name="標題 1 16 10" xfId="37934"/>
    <cellStyle name="標題 1 16 11" xfId="39404"/>
    <cellStyle name="標題 1 16 2" xfId="25198"/>
    <cellStyle name="標題 1 16 3" xfId="28575"/>
    <cellStyle name="標題 1 16 4" xfId="23469"/>
    <cellStyle name="標題 1 16 5" xfId="29416"/>
    <cellStyle name="標題 1 16 6" xfId="31193"/>
    <cellStyle name="標題 1 16 7" xfId="32959"/>
    <cellStyle name="標題 1 16 8" xfId="34682"/>
    <cellStyle name="標題 1 16 9" xfId="36348"/>
    <cellStyle name="標題 1 17" xfId="12192"/>
    <cellStyle name="標題 1 17 10" xfId="30408"/>
    <cellStyle name="標題 1 17 11" xfId="32183"/>
    <cellStyle name="標題 1 17 2" xfId="25199"/>
    <cellStyle name="標題 1 17 3" xfId="28576"/>
    <cellStyle name="標題 1 17 4" xfId="27088"/>
    <cellStyle name="標題 1 17 5" xfId="23505"/>
    <cellStyle name="標題 1 17 6" xfId="28439"/>
    <cellStyle name="標題 1 17 7" xfId="27298"/>
    <cellStyle name="標題 1 17 8" xfId="26584"/>
    <cellStyle name="標題 1 17 9" xfId="28616"/>
    <cellStyle name="標題 1 18" xfId="15646"/>
    <cellStyle name="標題 1 18 10" xfId="38539"/>
    <cellStyle name="標題 1 18 11" xfId="39978"/>
    <cellStyle name="標題 1 18 2" xfId="25200"/>
    <cellStyle name="標題 1 18 3" xfId="28577"/>
    <cellStyle name="標題 1 18 4" xfId="23210"/>
    <cellStyle name="標題 1 18 5" xfId="30088"/>
    <cellStyle name="標題 1 18 6" xfId="31863"/>
    <cellStyle name="標題 1 18 7" xfId="33619"/>
    <cellStyle name="標題 1 18 8" xfId="35332"/>
    <cellStyle name="標題 1 18 9" xfId="36978"/>
    <cellStyle name="標題 1 19" xfId="10925"/>
    <cellStyle name="標題 1 19 10" xfId="33430"/>
    <cellStyle name="標題 1 19 11" xfId="35144"/>
    <cellStyle name="標題 1 19 2" xfId="25201"/>
    <cellStyle name="標題 1 19 3" xfId="28578"/>
    <cellStyle name="標題 1 19 4" xfId="23593"/>
    <cellStyle name="標題 1 19 5" xfId="28418"/>
    <cellStyle name="標題 1 19 6" xfId="27339"/>
    <cellStyle name="標題 1 19 7" xfId="23669"/>
    <cellStyle name="標題 1 19 8" xfId="29896"/>
    <cellStyle name="標題 1 19 9" xfId="31671"/>
    <cellStyle name="標題 1 2" xfId="8602"/>
    <cellStyle name="標題 1 2 10" xfId="37580"/>
    <cellStyle name="標題 1 2 11" xfId="39111"/>
    <cellStyle name="標題 1 2 12" xfId="9159"/>
    <cellStyle name="標題 1 2 2" xfId="9534"/>
    <cellStyle name="標題 1 2 2 2" xfId="25202"/>
    <cellStyle name="標題 1 2 3" xfId="28579"/>
    <cellStyle name="標題 1 2 4" xfId="23564"/>
    <cellStyle name="標題 1 2 5" xfId="28952"/>
    <cellStyle name="標題 1 2 6" xfId="30738"/>
    <cellStyle name="標題 1 2 7" xfId="32511"/>
    <cellStyle name="標題 1 2 8" xfId="34255"/>
    <cellStyle name="標題 1 2 9" xfId="35953"/>
    <cellStyle name="標題 1 20" xfId="16832"/>
    <cellStyle name="標題 1 20 10" xfId="29686"/>
    <cellStyle name="標題 1 20 11" xfId="31461"/>
    <cellStyle name="標題 1 20 2" xfId="25203"/>
    <cellStyle name="標題 1 20 3" xfId="28580"/>
    <cellStyle name="標題 1 20 4" xfId="23034"/>
    <cellStyle name="標題 1 20 5" xfId="28378"/>
    <cellStyle name="標題 1 20 6" xfId="27401"/>
    <cellStyle name="標題 1 20 7" xfId="28230"/>
    <cellStyle name="標題 1 20 8" xfId="27547"/>
    <cellStyle name="標題 1 20 9" xfId="22775"/>
    <cellStyle name="標題 1 21" xfId="19304"/>
    <cellStyle name="標題 1 21 10" xfId="37729"/>
    <cellStyle name="標題 1 21 11" xfId="39237"/>
    <cellStyle name="標題 1 21 2" xfId="25204"/>
    <cellStyle name="標題 1 21 3" xfId="28581"/>
    <cellStyle name="標題 1 21 4" xfId="23244"/>
    <cellStyle name="標題 1 21 5" xfId="29142"/>
    <cellStyle name="標題 1 21 6" xfId="30926"/>
    <cellStyle name="標題 1 21 7" xfId="32697"/>
    <cellStyle name="標題 1 21 8" xfId="34434"/>
    <cellStyle name="標題 1 21 9" xfId="36116"/>
    <cellStyle name="標題 1 22" xfId="19444"/>
    <cellStyle name="標題 1 22 10" xfId="37840"/>
    <cellStyle name="標題 1 22 11" xfId="39329"/>
    <cellStyle name="標題 1 22 2" xfId="25205"/>
    <cellStyle name="標題 1 22 3" xfId="28582"/>
    <cellStyle name="標題 1 22 4" xfId="23361"/>
    <cellStyle name="標題 1 22 5" xfId="29282"/>
    <cellStyle name="標題 1 22 6" xfId="31064"/>
    <cellStyle name="標題 1 22 7" xfId="32833"/>
    <cellStyle name="標題 1 22 8" xfId="34565"/>
    <cellStyle name="標題 1 22 9" xfId="36238"/>
    <cellStyle name="標題 1 23" xfId="22959"/>
    <cellStyle name="標題 1 23 10" xfId="37933"/>
    <cellStyle name="標題 1 23 11" xfId="39403"/>
    <cellStyle name="標題 1 23 2" xfId="25206"/>
    <cellStyle name="標題 1 23 3" xfId="28583"/>
    <cellStyle name="標題 1 23 4" xfId="23388"/>
    <cellStyle name="標題 1 23 5" xfId="29415"/>
    <cellStyle name="標題 1 23 6" xfId="31192"/>
    <cellStyle name="標題 1 23 7" xfId="32958"/>
    <cellStyle name="標題 1 23 8" xfId="34681"/>
    <cellStyle name="標題 1 23 9" xfId="36347"/>
    <cellStyle name="標題 1 24" xfId="25207"/>
    <cellStyle name="標題 1 25" xfId="25208"/>
    <cellStyle name="標題 1 26" xfId="25209"/>
    <cellStyle name="標題 1 27" xfId="25210"/>
    <cellStyle name="標題 1 28" xfId="25211"/>
    <cellStyle name="標題 1 29" xfId="25212"/>
    <cellStyle name="標題 1 3" xfId="9201"/>
    <cellStyle name="標題 1 3 10" xfId="37839"/>
    <cellStyle name="標題 1 3 11" xfId="39328"/>
    <cellStyle name="標題 1 3 2" xfId="10277"/>
    <cellStyle name="標題 1 3 2 2" xfId="25213"/>
    <cellStyle name="標題 1 3 3" xfId="28590"/>
    <cellStyle name="標題 1 3 4" xfId="23285"/>
    <cellStyle name="標題 1 3 5" xfId="29281"/>
    <cellStyle name="標題 1 3 6" xfId="31063"/>
    <cellStyle name="標題 1 3 7" xfId="32832"/>
    <cellStyle name="標題 1 3 8" xfId="34564"/>
    <cellStyle name="標題 1 3 9" xfId="36237"/>
    <cellStyle name="標題 1 30" xfId="25214"/>
    <cellStyle name="標題 1 31" xfId="25215"/>
    <cellStyle name="標題 1 32" xfId="25216"/>
    <cellStyle name="標題 1 33" xfId="25217"/>
    <cellStyle name="標題 1 34" xfId="25218"/>
    <cellStyle name="標題 1 35" xfId="25219"/>
    <cellStyle name="標題 1 36" xfId="25220"/>
    <cellStyle name="標題 1 37" xfId="25221"/>
    <cellStyle name="標題 1 38" xfId="25222"/>
    <cellStyle name="標題 1 39" xfId="25223"/>
    <cellStyle name="標題 1 4" xfId="10553"/>
    <cellStyle name="標題 1 4 10" xfId="37685"/>
    <cellStyle name="標題 1 4 11" xfId="39200"/>
    <cellStyle name="標題 1 4 2" xfId="25224"/>
    <cellStyle name="標題 1 4 3" xfId="28601"/>
    <cellStyle name="標題 1 4 4" xfId="22943"/>
    <cellStyle name="標題 1 4 5" xfId="29087"/>
    <cellStyle name="標題 1 4 6" xfId="30872"/>
    <cellStyle name="標題 1 4 7" xfId="32643"/>
    <cellStyle name="標題 1 4 8" xfId="34383"/>
    <cellStyle name="標題 1 4 9" xfId="36071"/>
    <cellStyle name="標題 1 40" xfId="25225"/>
    <cellStyle name="標題 1 41" xfId="25226"/>
    <cellStyle name="標題 1 42" xfId="25227"/>
    <cellStyle name="標題 1 43" xfId="25228"/>
    <cellStyle name="標題 1 44" xfId="25229"/>
    <cellStyle name="標題 1 45" xfId="25230"/>
    <cellStyle name="標題 1 46" xfId="25231"/>
    <cellStyle name="標題 1 47" xfId="25232"/>
    <cellStyle name="標題 1 48" xfId="25233"/>
    <cellStyle name="標題 1 49" xfId="25234"/>
    <cellStyle name="標題 1 5" xfId="10435"/>
    <cellStyle name="標題 1 5 10" xfId="40277"/>
    <cellStyle name="標題 1 5 11" xfId="41514"/>
    <cellStyle name="標題 1 5 2" xfId="25235"/>
    <cellStyle name="標題 1 5 3" xfId="28612"/>
    <cellStyle name="標題 1 5 4" xfId="30404"/>
    <cellStyle name="標題 1 5 5" xfId="32179"/>
    <cellStyle name="標題 1 5 6" xfId="33934"/>
    <cellStyle name="標題 1 5 7" xfId="35647"/>
    <cellStyle name="標題 1 5 8" xfId="37289"/>
    <cellStyle name="標題 1 5 9" xfId="38845"/>
    <cellStyle name="標題 1 50" xfId="25236"/>
    <cellStyle name="標題 1 51" xfId="25237"/>
    <cellStyle name="標題 1 52" xfId="25238"/>
    <cellStyle name="標題 1 53" xfId="25239"/>
    <cellStyle name="標題 1 54" xfId="25240"/>
    <cellStyle name="標題 1 55" xfId="25241"/>
    <cellStyle name="標題 1 56" xfId="25242"/>
    <cellStyle name="標題 1 57" xfId="25243"/>
    <cellStyle name="標題 1 58" xfId="25244"/>
    <cellStyle name="標題 1 59" xfId="25245"/>
    <cellStyle name="標題 1 6" xfId="10909"/>
    <cellStyle name="標題 1 6 10" xfId="40280"/>
    <cellStyle name="標題 1 6 11" xfId="41515"/>
    <cellStyle name="標題 1 6 2" xfId="25246"/>
    <cellStyle name="標題 1 6 3" xfId="28622"/>
    <cellStyle name="標題 1 6 4" xfId="30412"/>
    <cellStyle name="標題 1 6 5" xfId="32187"/>
    <cellStyle name="標題 1 6 6" xfId="33941"/>
    <cellStyle name="標題 1 6 7" xfId="35653"/>
    <cellStyle name="標題 1 6 8" xfId="37295"/>
    <cellStyle name="標題 1 6 9" xfId="38851"/>
    <cellStyle name="標題 1 60" xfId="25247"/>
    <cellStyle name="標題 1 61" xfId="25248"/>
    <cellStyle name="標題 1 62" xfId="23169"/>
    <cellStyle name="標題 1 63" xfId="28814"/>
    <cellStyle name="標題 1 64" xfId="30600"/>
    <cellStyle name="標題 1 65" xfId="32374"/>
    <cellStyle name="標題 1 66" xfId="34126"/>
    <cellStyle name="標題 1 67" xfId="35833"/>
    <cellStyle name="標題 1 68" xfId="37468"/>
    <cellStyle name="標題 1 69" xfId="39015"/>
    <cellStyle name="標題 1 7" xfId="11153"/>
    <cellStyle name="標題 1 7 10" xfId="40282"/>
    <cellStyle name="標題 1 7 11" xfId="41516"/>
    <cellStyle name="標題 1 7 2" xfId="25249"/>
    <cellStyle name="標題 1 7 3" xfId="28625"/>
    <cellStyle name="標題 1 7 4" xfId="30415"/>
    <cellStyle name="標題 1 7 5" xfId="32190"/>
    <cellStyle name="標題 1 7 6" xfId="33944"/>
    <cellStyle name="標題 1 7 7" xfId="35656"/>
    <cellStyle name="標題 1 7 8" xfId="37298"/>
    <cellStyle name="標題 1 7 9" xfId="38853"/>
    <cellStyle name="標題 1 70" xfId="40428"/>
    <cellStyle name="標題 1 71" xfId="8672"/>
    <cellStyle name="標題 1 72" xfId="7983"/>
    <cellStyle name="標題 1 73" xfId="7972"/>
    <cellStyle name="標題 1 8" xfId="11347"/>
    <cellStyle name="標題 1 8 10" xfId="40283"/>
    <cellStyle name="標題 1 8 11" xfId="41517"/>
    <cellStyle name="標題 1 8 2" xfId="25250"/>
    <cellStyle name="標題 1 8 3" xfId="28626"/>
    <cellStyle name="標題 1 8 4" xfId="30416"/>
    <cellStyle name="標題 1 8 5" xfId="32191"/>
    <cellStyle name="標題 1 8 6" xfId="33945"/>
    <cellStyle name="標題 1 8 7" xfId="35657"/>
    <cellStyle name="標題 1 8 8" xfId="37299"/>
    <cellStyle name="標題 1 8 9" xfId="38854"/>
    <cellStyle name="標題 1 9" xfId="11538"/>
    <cellStyle name="標題 1 9 10" xfId="40284"/>
    <cellStyle name="標題 1 9 11" xfId="41518"/>
    <cellStyle name="標題 1 9 2" xfId="25251"/>
    <cellStyle name="標題 1 9 3" xfId="28627"/>
    <cellStyle name="標題 1 9 4" xfId="30417"/>
    <cellStyle name="標題 1 9 5" xfId="32192"/>
    <cellStyle name="標題 1 9 6" xfId="33946"/>
    <cellStyle name="標題 1 9 7" xfId="35658"/>
    <cellStyle name="標題 1 9 8" xfId="37300"/>
    <cellStyle name="標題 1 9 9" xfId="38855"/>
    <cellStyle name="標題 10" xfId="10455"/>
    <cellStyle name="標題 10 10" xfId="40285"/>
    <cellStyle name="標題 10 11" xfId="41519"/>
    <cellStyle name="標題 10 2" xfId="25252"/>
    <cellStyle name="標題 10 3" xfId="28628"/>
    <cellStyle name="標題 10 4" xfId="30418"/>
    <cellStyle name="標題 10 5" xfId="32193"/>
    <cellStyle name="標題 10 6" xfId="33947"/>
    <cellStyle name="標題 10 7" xfId="35659"/>
    <cellStyle name="標題 10 8" xfId="37301"/>
    <cellStyle name="標題 10 9" xfId="38856"/>
    <cellStyle name="標題 11" xfId="10907"/>
    <cellStyle name="標題 11 10" xfId="40286"/>
    <cellStyle name="標題 11 11" xfId="41520"/>
    <cellStyle name="標題 11 2" xfId="25253"/>
    <cellStyle name="標題 11 3" xfId="28629"/>
    <cellStyle name="標題 11 4" xfId="30419"/>
    <cellStyle name="標題 11 5" xfId="32194"/>
    <cellStyle name="標題 11 6" xfId="33948"/>
    <cellStyle name="標題 11 7" xfId="35660"/>
    <cellStyle name="標題 11 8" xfId="37302"/>
    <cellStyle name="標題 11 9" xfId="38857"/>
    <cellStyle name="標題 12" xfId="10405"/>
    <cellStyle name="標題 12 10" xfId="40287"/>
    <cellStyle name="標題 12 11" xfId="41521"/>
    <cellStyle name="標題 12 2" xfId="25254"/>
    <cellStyle name="標題 12 3" xfId="28630"/>
    <cellStyle name="標題 12 4" xfId="30420"/>
    <cellStyle name="標題 12 5" xfId="32195"/>
    <cellStyle name="標題 12 6" xfId="33949"/>
    <cellStyle name="標題 12 7" xfId="35661"/>
    <cellStyle name="標題 12 8" xfId="37303"/>
    <cellStyle name="標題 12 9" xfId="38858"/>
    <cellStyle name="標題 13" xfId="10681"/>
    <cellStyle name="標題 13 10" xfId="40288"/>
    <cellStyle name="標題 13 11" xfId="41522"/>
    <cellStyle name="標題 13 2" xfId="25255"/>
    <cellStyle name="標題 13 3" xfId="28631"/>
    <cellStyle name="標題 13 4" xfId="30421"/>
    <cellStyle name="標題 13 5" xfId="32196"/>
    <cellStyle name="標題 13 6" xfId="33950"/>
    <cellStyle name="標題 13 7" xfId="35662"/>
    <cellStyle name="標題 13 8" xfId="37304"/>
    <cellStyle name="標題 13 9" xfId="38859"/>
    <cellStyle name="標題 14" xfId="11722"/>
    <cellStyle name="標題 14 10" xfId="40289"/>
    <cellStyle name="標題 14 11" xfId="41523"/>
    <cellStyle name="標題 14 2" xfId="25256"/>
    <cellStyle name="標題 14 3" xfId="28632"/>
    <cellStyle name="標題 14 4" xfId="30422"/>
    <cellStyle name="標題 14 5" xfId="32197"/>
    <cellStyle name="標題 14 6" xfId="33951"/>
    <cellStyle name="標題 14 7" xfId="35663"/>
    <cellStyle name="標題 14 8" xfId="37305"/>
    <cellStyle name="標題 14 9" xfId="38860"/>
    <cellStyle name="標題 15" xfId="12340"/>
    <cellStyle name="標題 15 10" xfId="40290"/>
    <cellStyle name="標題 15 11" xfId="41524"/>
    <cellStyle name="標題 15 2" xfId="25257"/>
    <cellStyle name="標題 15 3" xfId="28633"/>
    <cellStyle name="標題 15 4" xfId="30423"/>
    <cellStyle name="標題 15 5" xfId="32198"/>
    <cellStyle name="標題 15 6" xfId="33952"/>
    <cellStyle name="標題 15 7" xfId="35664"/>
    <cellStyle name="標題 15 8" xfId="37306"/>
    <cellStyle name="標題 15 9" xfId="38861"/>
    <cellStyle name="標題 16" xfId="10789"/>
    <cellStyle name="標題 16 10" xfId="40291"/>
    <cellStyle name="標題 16 11" xfId="41525"/>
    <cellStyle name="標題 16 2" xfId="25258"/>
    <cellStyle name="標題 16 3" xfId="28634"/>
    <cellStyle name="標題 16 4" xfId="30424"/>
    <cellStyle name="標題 16 5" xfId="32199"/>
    <cellStyle name="標題 16 6" xfId="33953"/>
    <cellStyle name="標題 16 7" xfId="35665"/>
    <cellStyle name="標題 16 8" xfId="37307"/>
    <cellStyle name="標題 16 9" xfId="38862"/>
    <cellStyle name="標題 17" xfId="11467"/>
    <cellStyle name="標題 17 10" xfId="40292"/>
    <cellStyle name="標題 17 11" xfId="41526"/>
    <cellStyle name="標題 17 2" xfId="25259"/>
    <cellStyle name="標題 17 3" xfId="28635"/>
    <cellStyle name="標題 17 4" xfId="30425"/>
    <cellStyle name="標題 17 5" xfId="32200"/>
    <cellStyle name="標題 17 6" xfId="33954"/>
    <cellStyle name="標題 17 7" xfId="35666"/>
    <cellStyle name="標題 17 8" xfId="37308"/>
    <cellStyle name="標題 17 9" xfId="38863"/>
    <cellStyle name="標題 18" xfId="11490"/>
    <cellStyle name="標題 18 10" xfId="40293"/>
    <cellStyle name="標題 18 11" xfId="41527"/>
    <cellStyle name="標題 18 2" xfId="25260"/>
    <cellStyle name="標題 18 3" xfId="28636"/>
    <cellStyle name="標題 18 4" xfId="30426"/>
    <cellStyle name="標題 18 5" xfId="32201"/>
    <cellStyle name="標題 18 6" xfId="33955"/>
    <cellStyle name="標題 18 7" xfId="35667"/>
    <cellStyle name="標題 18 8" xfId="37309"/>
    <cellStyle name="標題 18 9" xfId="38864"/>
    <cellStyle name="標題 19" xfId="14924"/>
    <cellStyle name="標題 19 10" xfId="40294"/>
    <cellStyle name="標題 19 11" xfId="41528"/>
    <cellStyle name="標題 19 2" xfId="25261"/>
    <cellStyle name="標題 19 3" xfId="28637"/>
    <cellStyle name="標題 19 4" xfId="30427"/>
    <cellStyle name="標題 19 5" xfId="32202"/>
    <cellStyle name="標題 19 6" xfId="33956"/>
    <cellStyle name="標題 19 7" xfId="35668"/>
    <cellStyle name="標題 19 8" xfId="37310"/>
    <cellStyle name="標題 19 9" xfId="38865"/>
    <cellStyle name="標題 2 10" xfId="12061"/>
    <cellStyle name="標題 2 10 10" xfId="40295"/>
    <cellStyle name="標題 2 10 11" xfId="41529"/>
    <cellStyle name="標題 2 10 2" xfId="25262"/>
    <cellStyle name="標題 2 10 3" xfId="28638"/>
    <cellStyle name="標題 2 10 4" xfId="30428"/>
    <cellStyle name="標題 2 10 5" xfId="32203"/>
    <cellStyle name="標題 2 10 6" xfId="33957"/>
    <cellStyle name="標題 2 10 7" xfId="35669"/>
    <cellStyle name="標題 2 10 8" xfId="37311"/>
    <cellStyle name="標題 2 10 9" xfId="38866"/>
    <cellStyle name="標題 2 11" xfId="11544"/>
    <cellStyle name="標題 2 11 10" xfId="40296"/>
    <cellStyle name="標題 2 11 11" xfId="41530"/>
    <cellStyle name="標題 2 11 2" xfId="25263"/>
    <cellStyle name="標題 2 11 3" xfId="28639"/>
    <cellStyle name="標題 2 11 4" xfId="30429"/>
    <cellStyle name="標題 2 11 5" xfId="32204"/>
    <cellStyle name="標題 2 11 6" xfId="33958"/>
    <cellStyle name="標題 2 11 7" xfId="35670"/>
    <cellStyle name="標題 2 11 8" xfId="37312"/>
    <cellStyle name="標題 2 11 9" xfId="38867"/>
    <cellStyle name="標題 2 12" xfId="12672"/>
    <cellStyle name="標題 2 12 10" xfId="40297"/>
    <cellStyle name="標題 2 12 11" xfId="41531"/>
    <cellStyle name="標題 2 12 2" xfId="25264"/>
    <cellStyle name="標題 2 12 3" xfId="28640"/>
    <cellStyle name="標題 2 12 4" xfId="30430"/>
    <cellStyle name="標題 2 12 5" xfId="32205"/>
    <cellStyle name="標題 2 12 6" xfId="33959"/>
    <cellStyle name="標題 2 12 7" xfId="35671"/>
    <cellStyle name="標題 2 12 8" xfId="37313"/>
    <cellStyle name="標題 2 12 9" xfId="38868"/>
    <cellStyle name="標題 2 13" xfId="11915"/>
    <cellStyle name="標題 2 13 10" xfId="40298"/>
    <cellStyle name="標題 2 13 11" xfId="41532"/>
    <cellStyle name="標題 2 13 2" xfId="25265"/>
    <cellStyle name="標題 2 13 3" xfId="28641"/>
    <cellStyle name="標題 2 13 4" xfId="30431"/>
    <cellStyle name="標題 2 13 5" xfId="32206"/>
    <cellStyle name="標題 2 13 6" xfId="33960"/>
    <cellStyle name="標題 2 13 7" xfId="35672"/>
    <cellStyle name="標題 2 13 8" xfId="37314"/>
    <cellStyle name="標題 2 13 9" xfId="38869"/>
    <cellStyle name="標題 2 14" xfId="12026"/>
    <cellStyle name="標題 2 14 10" xfId="40299"/>
    <cellStyle name="標題 2 14 11" xfId="41533"/>
    <cellStyle name="標題 2 14 2" xfId="25266"/>
    <cellStyle name="標題 2 14 3" xfId="28642"/>
    <cellStyle name="標題 2 14 4" xfId="30432"/>
    <cellStyle name="標題 2 14 5" xfId="32207"/>
    <cellStyle name="標題 2 14 6" xfId="33961"/>
    <cellStyle name="標題 2 14 7" xfId="35673"/>
    <cellStyle name="標題 2 14 8" xfId="37315"/>
    <cellStyle name="標題 2 14 9" xfId="38870"/>
    <cellStyle name="標題 2 15" xfId="14766"/>
    <cellStyle name="標題 2 15 10" xfId="40300"/>
    <cellStyle name="標題 2 15 11" xfId="41534"/>
    <cellStyle name="標題 2 15 2" xfId="25267"/>
    <cellStyle name="標題 2 15 3" xfId="28643"/>
    <cellStyle name="標題 2 15 4" xfId="30433"/>
    <cellStyle name="標題 2 15 5" xfId="32208"/>
    <cellStyle name="標題 2 15 6" xfId="33962"/>
    <cellStyle name="標題 2 15 7" xfId="35674"/>
    <cellStyle name="標題 2 15 8" xfId="37316"/>
    <cellStyle name="標題 2 15 9" xfId="38871"/>
    <cellStyle name="標題 2 16" xfId="14767"/>
    <cellStyle name="標題 2 16 10" xfId="40301"/>
    <cellStyle name="標題 2 16 11" xfId="41535"/>
    <cellStyle name="標題 2 16 2" xfId="25268"/>
    <cellStyle name="標題 2 16 3" xfId="28644"/>
    <cellStyle name="標題 2 16 4" xfId="30434"/>
    <cellStyle name="標題 2 16 5" xfId="32209"/>
    <cellStyle name="標題 2 16 6" xfId="33963"/>
    <cellStyle name="標題 2 16 7" xfId="35675"/>
    <cellStyle name="標題 2 16 8" xfId="37317"/>
    <cellStyle name="標題 2 16 9" xfId="38872"/>
    <cellStyle name="標題 2 17" xfId="13862"/>
    <cellStyle name="標題 2 17 10" xfId="40302"/>
    <cellStyle name="標題 2 17 11" xfId="41536"/>
    <cellStyle name="標題 2 17 2" xfId="25269"/>
    <cellStyle name="標題 2 17 3" xfId="28645"/>
    <cellStyle name="標題 2 17 4" xfId="30435"/>
    <cellStyle name="標題 2 17 5" xfId="32210"/>
    <cellStyle name="標題 2 17 6" xfId="33964"/>
    <cellStyle name="標題 2 17 7" xfId="35676"/>
    <cellStyle name="標題 2 17 8" xfId="37318"/>
    <cellStyle name="標題 2 17 9" xfId="38873"/>
    <cellStyle name="標題 2 18" xfId="12253"/>
    <cellStyle name="標題 2 18 10" xfId="40303"/>
    <cellStyle name="標題 2 18 11" xfId="41537"/>
    <cellStyle name="標題 2 18 2" xfId="25270"/>
    <cellStyle name="標題 2 18 3" xfId="28646"/>
    <cellStyle name="標題 2 18 4" xfId="30436"/>
    <cellStyle name="標題 2 18 5" xfId="32211"/>
    <cellStyle name="標題 2 18 6" xfId="33965"/>
    <cellStyle name="標題 2 18 7" xfId="35677"/>
    <cellStyle name="標題 2 18 8" xfId="37319"/>
    <cellStyle name="標題 2 18 9" xfId="38874"/>
    <cellStyle name="標題 2 19" xfId="15903"/>
    <cellStyle name="標題 2 19 10" xfId="40304"/>
    <cellStyle name="標題 2 19 11" xfId="41538"/>
    <cellStyle name="標題 2 19 2" xfId="25271"/>
    <cellStyle name="標題 2 19 3" xfId="28647"/>
    <cellStyle name="標題 2 19 4" xfId="30437"/>
    <cellStyle name="標題 2 19 5" xfId="32212"/>
    <cellStyle name="標題 2 19 6" xfId="33966"/>
    <cellStyle name="標題 2 19 7" xfId="35678"/>
    <cellStyle name="標題 2 19 8" xfId="37320"/>
    <cellStyle name="標題 2 19 9" xfId="38875"/>
    <cellStyle name="標題 2 2" xfId="8603"/>
    <cellStyle name="標題 2 2 10" xfId="40305"/>
    <cellStyle name="標題 2 2 11" xfId="41539"/>
    <cellStyle name="標題 2 2 12" xfId="9160"/>
    <cellStyle name="標題 2 2 2" xfId="9535"/>
    <cellStyle name="標題 2 2 2 2" xfId="25272"/>
    <cellStyle name="標題 2 2 3" xfId="28648"/>
    <cellStyle name="標題 2 2 4" xfId="30438"/>
    <cellStyle name="標題 2 2 5" xfId="32213"/>
    <cellStyle name="標題 2 2 6" xfId="33967"/>
    <cellStyle name="標題 2 2 7" xfId="35679"/>
    <cellStyle name="標題 2 2 8" xfId="37321"/>
    <cellStyle name="標題 2 2 9" xfId="38876"/>
    <cellStyle name="標題 2 20" xfId="12521"/>
    <cellStyle name="標題 2 20 10" xfId="40306"/>
    <cellStyle name="標題 2 20 11" xfId="41540"/>
    <cellStyle name="標題 2 20 2" xfId="25273"/>
    <cellStyle name="標題 2 20 3" xfId="28649"/>
    <cellStyle name="標題 2 20 4" xfId="30439"/>
    <cellStyle name="標題 2 20 5" xfId="32214"/>
    <cellStyle name="標題 2 20 6" xfId="33968"/>
    <cellStyle name="標題 2 20 7" xfId="35680"/>
    <cellStyle name="標題 2 20 8" xfId="37322"/>
    <cellStyle name="標題 2 20 9" xfId="38877"/>
    <cellStyle name="標題 2 21" xfId="17597"/>
    <cellStyle name="標題 2 21 10" xfId="40307"/>
    <cellStyle name="標題 2 21 11" xfId="41541"/>
    <cellStyle name="標題 2 21 2" xfId="25274"/>
    <cellStyle name="標題 2 21 3" xfId="28650"/>
    <cellStyle name="標題 2 21 4" xfId="30440"/>
    <cellStyle name="標題 2 21 5" xfId="32215"/>
    <cellStyle name="標題 2 21 6" xfId="33969"/>
    <cellStyle name="標題 2 21 7" xfId="35681"/>
    <cellStyle name="標題 2 21 8" xfId="37323"/>
    <cellStyle name="標題 2 21 9" xfId="38878"/>
    <cellStyle name="標題 2 22" xfId="16648"/>
    <cellStyle name="標題 2 22 10" xfId="40308"/>
    <cellStyle name="標題 2 22 11" xfId="41542"/>
    <cellStyle name="標題 2 22 2" xfId="25275"/>
    <cellStyle name="標題 2 22 3" xfId="28651"/>
    <cellStyle name="標題 2 22 4" xfId="30441"/>
    <cellStyle name="標題 2 22 5" xfId="32216"/>
    <cellStyle name="標題 2 22 6" xfId="33970"/>
    <cellStyle name="標題 2 22 7" xfId="35682"/>
    <cellStyle name="標題 2 22 8" xfId="37324"/>
    <cellStyle name="標題 2 22 9" xfId="38879"/>
    <cellStyle name="標題 2 23" xfId="22960"/>
    <cellStyle name="標題 2 23 10" xfId="40309"/>
    <cellStyle name="標題 2 23 11" xfId="41543"/>
    <cellStyle name="標題 2 23 2" xfId="25276"/>
    <cellStyle name="標題 2 23 3" xfId="28652"/>
    <cellStyle name="標題 2 23 4" xfId="30442"/>
    <cellStyle name="標題 2 23 5" xfId="32217"/>
    <cellStyle name="標題 2 23 6" xfId="33971"/>
    <cellStyle name="標題 2 23 7" xfId="35683"/>
    <cellStyle name="標題 2 23 8" xfId="37325"/>
    <cellStyle name="標題 2 23 9" xfId="38880"/>
    <cellStyle name="標題 2 24" xfId="25277"/>
    <cellStyle name="標題 2 25" xfId="25278"/>
    <cellStyle name="標題 2 26" xfId="25279"/>
    <cellStyle name="標題 2 27" xfId="25280"/>
    <cellStyle name="標題 2 28" xfId="25281"/>
    <cellStyle name="標題 2 29" xfId="25282"/>
    <cellStyle name="標題 2 3" xfId="9202"/>
    <cellStyle name="標題 2 3 10" xfId="40316"/>
    <cellStyle name="標題 2 3 11" xfId="41544"/>
    <cellStyle name="標題 2 3 2" xfId="10278"/>
    <cellStyle name="標題 2 3 2 2" xfId="25283"/>
    <cellStyle name="標題 2 3 3" xfId="28659"/>
    <cellStyle name="標題 2 3 4" xfId="30449"/>
    <cellStyle name="標題 2 3 5" xfId="32224"/>
    <cellStyle name="標題 2 3 6" xfId="33978"/>
    <cellStyle name="標題 2 3 7" xfId="35690"/>
    <cellStyle name="標題 2 3 8" xfId="37332"/>
    <cellStyle name="標題 2 3 9" xfId="38887"/>
    <cellStyle name="標題 2 30" xfId="25284"/>
    <cellStyle name="標題 2 31" xfId="25285"/>
    <cellStyle name="標題 2 32" xfId="25286"/>
    <cellStyle name="標題 2 33" xfId="25287"/>
    <cellStyle name="標題 2 34" xfId="25288"/>
    <cellStyle name="標題 2 35" xfId="25289"/>
    <cellStyle name="標題 2 36" xfId="25290"/>
    <cellStyle name="標題 2 37" xfId="25291"/>
    <cellStyle name="標題 2 38" xfId="25292"/>
    <cellStyle name="標題 2 39" xfId="25293"/>
    <cellStyle name="標題 2 4" xfId="10476"/>
    <cellStyle name="標題 2 4 10" xfId="40321"/>
    <cellStyle name="標題 2 4 11" xfId="41545"/>
    <cellStyle name="標題 2 4 2" xfId="25294"/>
    <cellStyle name="標題 2 4 3" xfId="28670"/>
    <cellStyle name="標題 2 4 4" xfId="30459"/>
    <cellStyle name="標題 2 4 5" xfId="32234"/>
    <cellStyle name="標題 2 4 6" xfId="33988"/>
    <cellStyle name="標題 2 4 7" xfId="35699"/>
    <cellStyle name="標題 2 4 8" xfId="37339"/>
    <cellStyle name="標題 2 4 9" xfId="38892"/>
    <cellStyle name="標題 2 40" xfId="25295"/>
    <cellStyle name="標題 2 41" xfId="25296"/>
    <cellStyle name="標題 2 42" xfId="25297"/>
    <cellStyle name="標題 2 43" xfId="25298"/>
    <cellStyle name="標題 2 44" xfId="25299"/>
    <cellStyle name="標題 2 45" xfId="25300"/>
    <cellStyle name="標題 2 46" xfId="25301"/>
    <cellStyle name="標題 2 47" xfId="25302"/>
    <cellStyle name="標題 2 48" xfId="25303"/>
    <cellStyle name="標題 2 49" xfId="25304"/>
    <cellStyle name="標題 2 5" xfId="11052"/>
    <cellStyle name="標題 2 5 10" xfId="40328"/>
    <cellStyle name="標題 2 5 11" xfId="41546"/>
    <cellStyle name="標題 2 5 2" xfId="25305"/>
    <cellStyle name="標題 2 5 3" xfId="28681"/>
    <cellStyle name="標題 2 5 4" xfId="30470"/>
    <cellStyle name="標題 2 5 5" xfId="32245"/>
    <cellStyle name="標題 2 5 6" xfId="33998"/>
    <cellStyle name="標題 2 5 7" xfId="35709"/>
    <cellStyle name="標題 2 5 8" xfId="37349"/>
    <cellStyle name="標題 2 5 9" xfId="38902"/>
    <cellStyle name="標題 2 50" xfId="25306"/>
    <cellStyle name="標題 2 51" xfId="25307"/>
    <cellStyle name="標題 2 52" xfId="25308"/>
    <cellStyle name="標題 2 53" xfId="25309"/>
    <cellStyle name="標題 2 54" xfId="25310"/>
    <cellStyle name="標題 2 55" xfId="25311"/>
    <cellStyle name="標題 2 56" xfId="25312"/>
    <cellStyle name="標題 2 57" xfId="25313"/>
    <cellStyle name="標題 2 58" xfId="25314"/>
    <cellStyle name="標題 2 59" xfId="25315"/>
    <cellStyle name="標題 2 6" xfId="11233"/>
    <cellStyle name="標題 2 6 10" xfId="40333"/>
    <cellStyle name="標題 2 6 11" xfId="41547"/>
    <cellStyle name="標題 2 6 2" xfId="25316"/>
    <cellStyle name="標題 2 6 3" xfId="28692"/>
    <cellStyle name="標題 2 6 4" xfId="30481"/>
    <cellStyle name="標題 2 6 5" xfId="32256"/>
    <cellStyle name="標題 2 6 6" xfId="34009"/>
    <cellStyle name="標題 2 6 7" xfId="35719"/>
    <cellStyle name="標題 2 6 8" xfId="37358"/>
    <cellStyle name="標題 2 6 9" xfId="38909"/>
    <cellStyle name="標題 2 60" xfId="25317"/>
    <cellStyle name="標題 2 61" xfId="25318"/>
    <cellStyle name="標題 2 62" xfId="26502"/>
    <cellStyle name="標題 2 63" xfId="28813"/>
    <cellStyle name="標題 2 64" xfId="30599"/>
    <cellStyle name="標題 2 65" xfId="32373"/>
    <cellStyle name="標題 2 66" xfId="34125"/>
    <cellStyle name="標題 2 67" xfId="35832"/>
    <cellStyle name="標題 2 68" xfId="37467"/>
    <cellStyle name="標題 2 69" xfId="39014"/>
    <cellStyle name="標題 2 7" xfId="11424"/>
    <cellStyle name="標題 2 7 10" xfId="40336"/>
    <cellStyle name="標題 2 7 11" xfId="41548"/>
    <cellStyle name="標題 2 7 2" xfId="25319"/>
    <cellStyle name="標題 2 7 3" xfId="28695"/>
    <cellStyle name="標題 2 7 4" xfId="30484"/>
    <cellStyle name="標題 2 7 5" xfId="32259"/>
    <cellStyle name="標題 2 7 6" xfId="34012"/>
    <cellStyle name="標題 2 7 7" xfId="35722"/>
    <cellStyle name="標題 2 7 8" xfId="37361"/>
    <cellStyle name="標題 2 7 9" xfId="38912"/>
    <cellStyle name="標題 2 70" xfId="40427"/>
    <cellStyle name="標題 2 71" xfId="8673"/>
    <cellStyle name="標題 2 72" xfId="7984"/>
    <cellStyle name="標題 2 73" xfId="7973"/>
    <cellStyle name="標題 2 8" xfId="11615"/>
    <cellStyle name="標題 2 8 10" xfId="40337"/>
    <cellStyle name="標題 2 8 11" xfId="41549"/>
    <cellStyle name="標題 2 8 2" xfId="25320"/>
    <cellStyle name="標題 2 8 3" xfId="28696"/>
    <cellStyle name="標題 2 8 4" xfId="30485"/>
    <cellStyle name="標題 2 8 5" xfId="32260"/>
    <cellStyle name="標題 2 8 6" xfId="34013"/>
    <cellStyle name="標題 2 8 7" xfId="35723"/>
    <cellStyle name="標題 2 8 8" xfId="37362"/>
    <cellStyle name="標題 2 8 9" xfId="38913"/>
    <cellStyle name="標題 2 9" xfId="11796"/>
    <cellStyle name="標題 2 9 10" xfId="40338"/>
    <cellStyle name="標題 2 9 11" xfId="41550"/>
    <cellStyle name="標題 2 9 2" xfId="25321"/>
    <cellStyle name="標題 2 9 3" xfId="28697"/>
    <cellStyle name="標題 2 9 4" xfId="30486"/>
    <cellStyle name="標題 2 9 5" xfId="32261"/>
    <cellStyle name="標題 2 9 6" xfId="34014"/>
    <cellStyle name="標題 2 9 7" xfId="35724"/>
    <cellStyle name="標題 2 9 8" xfId="37363"/>
    <cellStyle name="標題 2 9 9" xfId="38914"/>
    <cellStyle name="標題 20" xfId="11493"/>
    <cellStyle name="標題 20 10" xfId="40339"/>
    <cellStyle name="標題 20 11" xfId="41551"/>
    <cellStyle name="標題 20 2" xfId="25322"/>
    <cellStyle name="標題 20 3" xfId="28698"/>
    <cellStyle name="標題 20 4" xfId="30487"/>
    <cellStyle name="標題 20 5" xfId="32262"/>
    <cellStyle name="標題 20 6" xfId="34015"/>
    <cellStyle name="標題 20 7" xfId="35725"/>
    <cellStyle name="標題 20 8" xfId="37364"/>
    <cellStyle name="標題 20 9" xfId="38915"/>
    <cellStyle name="標題 21" xfId="12248"/>
    <cellStyle name="標題 21 10" xfId="40340"/>
    <cellStyle name="標題 21 11" xfId="41552"/>
    <cellStyle name="標題 21 2" xfId="25323"/>
    <cellStyle name="標題 21 3" xfId="28699"/>
    <cellStyle name="標題 21 4" xfId="30488"/>
    <cellStyle name="標題 21 5" xfId="32263"/>
    <cellStyle name="標題 21 6" xfId="34016"/>
    <cellStyle name="標題 21 7" xfId="35726"/>
    <cellStyle name="標題 21 8" xfId="37365"/>
    <cellStyle name="標題 21 9" xfId="38916"/>
    <cellStyle name="標題 22" xfId="12640"/>
    <cellStyle name="標題 22 10" xfId="40341"/>
    <cellStyle name="標題 22 11" xfId="41553"/>
    <cellStyle name="標題 22 2" xfId="25324"/>
    <cellStyle name="標題 22 3" xfId="28700"/>
    <cellStyle name="標題 22 4" xfId="30489"/>
    <cellStyle name="標題 22 5" xfId="32264"/>
    <cellStyle name="標題 22 6" xfId="34017"/>
    <cellStyle name="標題 22 7" xfId="35727"/>
    <cellStyle name="標題 22 8" xfId="37366"/>
    <cellStyle name="標題 22 9" xfId="38917"/>
    <cellStyle name="標題 23" xfId="16718"/>
    <cellStyle name="標題 23 10" xfId="40342"/>
    <cellStyle name="標題 23 11" xfId="41554"/>
    <cellStyle name="標題 23 2" xfId="25325"/>
    <cellStyle name="標題 23 3" xfId="28701"/>
    <cellStyle name="標題 23 4" xfId="30490"/>
    <cellStyle name="標題 23 5" xfId="32265"/>
    <cellStyle name="標題 23 6" xfId="34018"/>
    <cellStyle name="標題 23 7" xfId="35728"/>
    <cellStyle name="標題 23 8" xfId="37367"/>
    <cellStyle name="標題 23 9" xfId="38918"/>
    <cellStyle name="標題 24" xfId="11747"/>
    <cellStyle name="標題 24 10" xfId="40343"/>
    <cellStyle name="標題 24 11" xfId="41555"/>
    <cellStyle name="標題 24 2" xfId="25326"/>
    <cellStyle name="標題 24 3" xfId="28702"/>
    <cellStyle name="標題 24 4" xfId="30491"/>
    <cellStyle name="標題 24 5" xfId="32266"/>
    <cellStyle name="標題 24 6" xfId="34019"/>
    <cellStyle name="標題 24 7" xfId="35729"/>
    <cellStyle name="標題 24 8" xfId="37368"/>
    <cellStyle name="標題 24 9" xfId="38919"/>
    <cellStyle name="標題 25" xfId="21120"/>
    <cellStyle name="標題 25 10" xfId="40344"/>
    <cellStyle name="標題 25 11" xfId="41556"/>
    <cellStyle name="標題 25 2" xfId="25327"/>
    <cellStyle name="標題 25 3" xfId="28703"/>
    <cellStyle name="標題 25 4" xfId="30492"/>
    <cellStyle name="標題 25 5" xfId="32267"/>
    <cellStyle name="標題 25 6" xfId="34020"/>
    <cellStyle name="標題 25 7" xfId="35730"/>
    <cellStyle name="標題 25 8" xfId="37369"/>
    <cellStyle name="標題 25 9" xfId="38920"/>
    <cellStyle name="標題 26" xfId="22958"/>
    <cellStyle name="標題 26 10" xfId="40345"/>
    <cellStyle name="標題 26 11" xfId="41557"/>
    <cellStyle name="標題 26 2" xfId="25328"/>
    <cellStyle name="標題 26 3" xfId="28704"/>
    <cellStyle name="標題 26 4" xfId="30493"/>
    <cellStyle name="標題 26 5" xfId="32268"/>
    <cellStyle name="標題 26 6" xfId="34021"/>
    <cellStyle name="標題 26 7" xfId="35731"/>
    <cellStyle name="標題 26 8" xfId="37370"/>
    <cellStyle name="標題 26 9" xfId="38921"/>
    <cellStyle name="標題 27" xfId="25329"/>
    <cellStyle name="標題 28" xfId="25330"/>
    <cellStyle name="標題 29" xfId="25331"/>
    <cellStyle name="標題 3 10" xfId="12361"/>
    <cellStyle name="標題 3 10 10" xfId="40349"/>
    <cellStyle name="標題 3 10 11" xfId="41558"/>
    <cellStyle name="標題 3 10 2" xfId="25332"/>
    <cellStyle name="標題 3 10 3" xfId="28708"/>
    <cellStyle name="標題 3 10 4" xfId="30497"/>
    <cellStyle name="標題 3 10 5" xfId="32272"/>
    <cellStyle name="標題 3 10 6" xfId="34025"/>
    <cellStyle name="標題 3 10 7" xfId="35735"/>
    <cellStyle name="標題 3 10 8" xfId="37374"/>
    <cellStyle name="標題 3 10 9" xfId="38925"/>
    <cellStyle name="標題 3 11" xfId="12545"/>
    <cellStyle name="標題 3 11 10" xfId="40350"/>
    <cellStyle name="標題 3 11 11" xfId="41559"/>
    <cellStyle name="標題 3 11 2" xfId="25333"/>
    <cellStyle name="標題 3 11 3" xfId="28709"/>
    <cellStyle name="標題 3 11 4" xfId="30498"/>
    <cellStyle name="標題 3 11 5" xfId="32273"/>
    <cellStyle name="標題 3 11 6" xfId="34026"/>
    <cellStyle name="標題 3 11 7" xfId="35736"/>
    <cellStyle name="標題 3 11 8" xfId="37375"/>
    <cellStyle name="標題 3 11 9" xfId="38926"/>
    <cellStyle name="標題 3 12" xfId="12622"/>
    <cellStyle name="標題 3 12 10" xfId="40351"/>
    <cellStyle name="標題 3 12 11" xfId="41560"/>
    <cellStyle name="標題 3 12 2" xfId="25334"/>
    <cellStyle name="標題 3 12 3" xfId="28710"/>
    <cellStyle name="標題 3 12 4" xfId="30499"/>
    <cellStyle name="標題 3 12 5" xfId="32274"/>
    <cellStyle name="標題 3 12 6" xfId="34027"/>
    <cellStyle name="標題 3 12 7" xfId="35737"/>
    <cellStyle name="標題 3 12 8" xfId="37376"/>
    <cellStyle name="標題 3 12 9" xfId="38927"/>
    <cellStyle name="標題 3 13" xfId="12919"/>
    <cellStyle name="標題 3 13 10" xfId="40352"/>
    <cellStyle name="標題 3 13 11" xfId="41561"/>
    <cellStyle name="標題 3 13 2" xfId="25335"/>
    <cellStyle name="標題 3 13 3" xfId="28711"/>
    <cellStyle name="標題 3 13 4" xfId="30500"/>
    <cellStyle name="標題 3 13 5" xfId="32275"/>
    <cellStyle name="標題 3 13 6" xfId="34028"/>
    <cellStyle name="標題 3 13 7" xfId="35738"/>
    <cellStyle name="標題 3 13 8" xfId="37377"/>
    <cellStyle name="標題 3 13 9" xfId="38928"/>
    <cellStyle name="標題 3 14" xfId="11966"/>
    <cellStyle name="標題 3 14 10" xfId="40353"/>
    <cellStyle name="標題 3 14 11" xfId="41562"/>
    <cellStyle name="標題 3 14 2" xfId="25336"/>
    <cellStyle name="標題 3 14 3" xfId="28712"/>
    <cellStyle name="標題 3 14 4" xfId="30501"/>
    <cellStyle name="標題 3 14 5" xfId="32276"/>
    <cellStyle name="標題 3 14 6" xfId="34029"/>
    <cellStyle name="標題 3 14 7" xfId="35739"/>
    <cellStyle name="標題 3 14 8" xfId="37378"/>
    <cellStyle name="標題 3 14 9" xfId="38929"/>
    <cellStyle name="標題 3 15" xfId="13941"/>
    <cellStyle name="標題 3 15 10" xfId="40354"/>
    <cellStyle name="標題 3 15 11" xfId="41563"/>
    <cellStyle name="標題 3 15 2" xfId="25337"/>
    <cellStyle name="標題 3 15 3" xfId="28713"/>
    <cellStyle name="標題 3 15 4" xfId="30502"/>
    <cellStyle name="標題 3 15 5" xfId="32277"/>
    <cellStyle name="標題 3 15 6" xfId="34030"/>
    <cellStyle name="標題 3 15 7" xfId="35740"/>
    <cellStyle name="標題 3 15 8" xfId="37379"/>
    <cellStyle name="標題 3 15 9" xfId="38930"/>
    <cellStyle name="標題 3 16" xfId="13929"/>
    <cellStyle name="標題 3 16 10" xfId="40355"/>
    <cellStyle name="標題 3 16 11" xfId="41564"/>
    <cellStyle name="標題 3 16 2" xfId="25338"/>
    <cellStyle name="標題 3 16 3" xfId="28714"/>
    <cellStyle name="標題 3 16 4" xfId="30503"/>
    <cellStyle name="標題 3 16 5" xfId="32278"/>
    <cellStyle name="標題 3 16 6" xfId="34031"/>
    <cellStyle name="標題 3 16 7" xfId="35741"/>
    <cellStyle name="標題 3 16 8" xfId="37380"/>
    <cellStyle name="標題 3 16 9" xfId="38931"/>
    <cellStyle name="標題 3 17" xfId="13896"/>
    <cellStyle name="標題 3 17 10" xfId="40356"/>
    <cellStyle name="標題 3 17 11" xfId="41565"/>
    <cellStyle name="標題 3 17 2" xfId="25339"/>
    <cellStyle name="標題 3 17 3" xfId="28715"/>
    <cellStyle name="標題 3 17 4" xfId="30504"/>
    <cellStyle name="標題 3 17 5" xfId="32279"/>
    <cellStyle name="標題 3 17 6" xfId="34032"/>
    <cellStyle name="標題 3 17 7" xfId="35742"/>
    <cellStyle name="標題 3 17 8" xfId="37381"/>
    <cellStyle name="標題 3 17 9" xfId="38932"/>
    <cellStyle name="標題 3 18" xfId="12102"/>
    <cellStyle name="標題 3 18 10" xfId="40357"/>
    <cellStyle name="標題 3 18 11" xfId="41566"/>
    <cellStyle name="標題 3 18 2" xfId="25340"/>
    <cellStyle name="標題 3 18 3" xfId="28716"/>
    <cellStyle name="標題 3 18 4" xfId="30505"/>
    <cellStyle name="標題 3 18 5" xfId="32280"/>
    <cellStyle name="標題 3 18 6" xfId="34033"/>
    <cellStyle name="標題 3 18 7" xfId="35743"/>
    <cellStyle name="標題 3 18 8" xfId="37382"/>
    <cellStyle name="標題 3 18 9" xfId="38933"/>
    <cellStyle name="標題 3 19" xfId="12695"/>
    <cellStyle name="標題 3 19 10" xfId="40358"/>
    <cellStyle name="標題 3 19 11" xfId="41567"/>
    <cellStyle name="標題 3 19 2" xfId="25341"/>
    <cellStyle name="標題 3 19 3" xfId="28717"/>
    <cellStyle name="標題 3 19 4" xfId="30506"/>
    <cellStyle name="標題 3 19 5" xfId="32281"/>
    <cellStyle name="標題 3 19 6" xfId="34034"/>
    <cellStyle name="標題 3 19 7" xfId="35744"/>
    <cellStyle name="標題 3 19 8" xfId="37383"/>
    <cellStyle name="標題 3 19 9" xfId="38934"/>
    <cellStyle name="標題 3 2" xfId="8604"/>
    <cellStyle name="標題 3 2 10" xfId="40359"/>
    <cellStyle name="標題 3 2 11" xfId="41568"/>
    <cellStyle name="標題 3 2 12" xfId="9161"/>
    <cellStyle name="標題 3 2 2" xfId="9536"/>
    <cellStyle name="標題 3 2 2 2" xfId="25342"/>
    <cellStyle name="標題 3 2 3" xfId="28718"/>
    <cellStyle name="標題 3 2 4" xfId="30507"/>
    <cellStyle name="標題 3 2 5" xfId="32282"/>
    <cellStyle name="標題 3 2 6" xfId="34035"/>
    <cellStyle name="標題 3 2 7" xfId="35745"/>
    <cellStyle name="標題 3 2 8" xfId="37384"/>
    <cellStyle name="標題 3 2 9" xfId="38935"/>
    <cellStyle name="標題 3 20" xfId="12407"/>
    <cellStyle name="標題 3 20 10" xfId="40360"/>
    <cellStyle name="標題 3 20 11" xfId="41569"/>
    <cellStyle name="標題 3 20 2" xfId="25343"/>
    <cellStyle name="標題 3 20 3" xfId="28719"/>
    <cellStyle name="標題 3 20 4" xfId="30508"/>
    <cellStyle name="標題 3 20 5" xfId="32283"/>
    <cellStyle name="標題 3 20 6" xfId="34036"/>
    <cellStyle name="標題 3 20 7" xfId="35746"/>
    <cellStyle name="標題 3 20 8" xfId="37385"/>
    <cellStyle name="標題 3 20 9" xfId="38936"/>
    <cellStyle name="標題 3 21" xfId="20216"/>
    <cellStyle name="標題 3 21 10" xfId="40361"/>
    <cellStyle name="標題 3 21 11" xfId="41570"/>
    <cellStyle name="標題 3 21 2" xfId="25344"/>
    <cellStyle name="標題 3 21 3" xfId="28720"/>
    <cellStyle name="標題 3 21 4" xfId="30509"/>
    <cellStyle name="標題 3 21 5" xfId="32284"/>
    <cellStyle name="標題 3 21 6" xfId="34037"/>
    <cellStyle name="標題 3 21 7" xfId="35747"/>
    <cellStyle name="標題 3 21 8" xfId="37386"/>
    <cellStyle name="標題 3 21 9" xfId="38937"/>
    <cellStyle name="標題 3 22" xfId="20179"/>
    <cellStyle name="標題 3 22 10" xfId="40362"/>
    <cellStyle name="標題 3 22 11" xfId="41571"/>
    <cellStyle name="標題 3 22 2" xfId="25345"/>
    <cellStyle name="標題 3 22 3" xfId="28721"/>
    <cellStyle name="標題 3 22 4" xfId="30510"/>
    <cellStyle name="標題 3 22 5" xfId="32285"/>
    <cellStyle name="標題 3 22 6" xfId="34038"/>
    <cellStyle name="標題 3 22 7" xfId="35748"/>
    <cellStyle name="標題 3 22 8" xfId="37387"/>
    <cellStyle name="標題 3 22 9" xfId="38938"/>
    <cellStyle name="標題 3 23" xfId="22961"/>
    <cellStyle name="標題 3 23 10" xfId="40363"/>
    <cellStyle name="標題 3 23 11" xfId="41572"/>
    <cellStyle name="標題 3 23 2" xfId="25346"/>
    <cellStyle name="標題 3 23 3" xfId="28722"/>
    <cellStyle name="標題 3 23 4" xfId="30511"/>
    <cellStyle name="標題 3 23 5" xfId="32286"/>
    <cellStyle name="標題 3 23 6" xfId="34039"/>
    <cellStyle name="標題 3 23 7" xfId="35749"/>
    <cellStyle name="標題 3 23 8" xfId="37388"/>
    <cellStyle name="標題 3 23 9" xfId="38939"/>
    <cellStyle name="標題 3 24" xfId="25347"/>
    <cellStyle name="標題 3 25" xfId="25348"/>
    <cellStyle name="標題 3 26" xfId="25349"/>
    <cellStyle name="標題 3 27" xfId="25350"/>
    <cellStyle name="標題 3 28" xfId="25351"/>
    <cellStyle name="標題 3 29" xfId="25352"/>
    <cellStyle name="標題 3 3" xfId="9203"/>
    <cellStyle name="標題 3 3 10" xfId="40370"/>
    <cellStyle name="標題 3 3 11" xfId="41573"/>
    <cellStyle name="標題 3 3 2" xfId="10279"/>
    <cellStyle name="標題 3 3 2 2" xfId="25353"/>
    <cellStyle name="標題 3 3 3" xfId="28729"/>
    <cellStyle name="標題 3 3 4" xfId="30518"/>
    <cellStyle name="標題 3 3 5" xfId="32293"/>
    <cellStyle name="標題 3 3 6" xfId="34046"/>
    <cellStyle name="標題 3 3 7" xfId="35756"/>
    <cellStyle name="標題 3 3 8" xfId="37395"/>
    <cellStyle name="標題 3 3 9" xfId="38946"/>
    <cellStyle name="標題 3 30" xfId="25354"/>
    <cellStyle name="標題 3 31" xfId="25355"/>
    <cellStyle name="標題 3 32" xfId="25356"/>
    <cellStyle name="標題 3 33" xfId="25357"/>
    <cellStyle name="標題 3 34" xfId="25358"/>
    <cellStyle name="標題 3 35" xfId="25359"/>
    <cellStyle name="標題 3 36" xfId="25360"/>
    <cellStyle name="標題 3 37" xfId="25361"/>
    <cellStyle name="標題 3 38" xfId="25362"/>
    <cellStyle name="標題 3 39" xfId="25363"/>
    <cellStyle name="標題 3 4" xfId="11256"/>
    <cellStyle name="標題 3 4 10" xfId="40379"/>
    <cellStyle name="標題 3 4 11" xfId="41574"/>
    <cellStyle name="標題 3 4 2" xfId="25364"/>
    <cellStyle name="標題 3 4 3" xfId="28740"/>
    <cellStyle name="標題 3 4 4" xfId="30529"/>
    <cellStyle name="標題 3 4 5" xfId="32304"/>
    <cellStyle name="標題 3 4 6" xfId="34057"/>
    <cellStyle name="標題 3 4 7" xfId="35767"/>
    <cellStyle name="標題 3 4 8" xfId="37405"/>
    <cellStyle name="標題 3 4 9" xfId="38956"/>
    <cellStyle name="標題 3 40" xfId="25365"/>
    <cellStyle name="標題 3 41" xfId="25366"/>
    <cellStyle name="標題 3 42" xfId="25367"/>
    <cellStyle name="標題 3 43" xfId="25368"/>
    <cellStyle name="標題 3 44" xfId="25369"/>
    <cellStyle name="標題 3 45" xfId="25370"/>
    <cellStyle name="標題 3 46" xfId="25371"/>
    <cellStyle name="標題 3 47" xfId="25372"/>
    <cellStyle name="標題 3 48" xfId="25373"/>
    <cellStyle name="標題 3 49" xfId="25374"/>
    <cellStyle name="標題 3 5" xfId="11447"/>
    <cellStyle name="標題 3 5 10" xfId="40385"/>
    <cellStyle name="標題 3 5 11" xfId="41575"/>
    <cellStyle name="標題 3 5 2" xfId="25375"/>
    <cellStyle name="標題 3 5 3" xfId="28751"/>
    <cellStyle name="標題 3 5 4" xfId="30539"/>
    <cellStyle name="標題 3 5 5" xfId="32314"/>
    <cellStyle name="標題 3 5 6" xfId="34066"/>
    <cellStyle name="標題 3 5 7" xfId="35776"/>
    <cellStyle name="標題 3 5 8" xfId="37414"/>
    <cellStyle name="標題 3 5 9" xfId="38965"/>
    <cellStyle name="標題 3 50" xfId="25376"/>
    <cellStyle name="標題 3 51" xfId="25377"/>
    <cellStyle name="標題 3 52" xfId="25378"/>
    <cellStyle name="標題 3 53" xfId="25379"/>
    <cellStyle name="標題 3 54" xfId="25380"/>
    <cellStyle name="標題 3 55" xfId="25381"/>
    <cellStyle name="標題 3 56" xfId="25382"/>
    <cellStyle name="標題 3 57" xfId="25383"/>
    <cellStyle name="標題 3 58" xfId="25384"/>
    <cellStyle name="標題 3 59" xfId="25385"/>
    <cellStyle name="標題 3 6" xfId="11634"/>
    <cellStyle name="標題 3 6 10" xfId="40392"/>
    <cellStyle name="標題 3 6 11" xfId="41576"/>
    <cellStyle name="標題 3 6 2" xfId="25386"/>
    <cellStyle name="標題 3 6 3" xfId="28762"/>
    <cellStyle name="標題 3 6 4" xfId="30550"/>
    <cellStyle name="標題 3 6 5" xfId="32325"/>
    <cellStyle name="標題 3 6 6" xfId="34077"/>
    <cellStyle name="標題 3 6 7" xfId="35787"/>
    <cellStyle name="標題 3 6 8" xfId="37424"/>
    <cellStyle name="標題 3 6 9" xfId="38973"/>
    <cellStyle name="標題 3 60" xfId="25387"/>
    <cellStyle name="標題 3 61" xfId="25388"/>
    <cellStyle name="標題 3 62" xfId="26698"/>
    <cellStyle name="標題 3 63" xfId="28812"/>
    <cellStyle name="標題 3 64" xfId="30598"/>
    <cellStyle name="標題 3 65" xfId="32372"/>
    <cellStyle name="標題 3 66" xfId="34124"/>
    <cellStyle name="標題 3 67" xfId="35831"/>
    <cellStyle name="標題 3 68" xfId="37466"/>
    <cellStyle name="標題 3 69" xfId="39013"/>
    <cellStyle name="標題 3 7" xfId="11818"/>
    <cellStyle name="標題 3 7 10" xfId="40394"/>
    <cellStyle name="標題 3 7 11" xfId="41577"/>
    <cellStyle name="標題 3 7 2" xfId="25389"/>
    <cellStyle name="標題 3 7 3" xfId="28765"/>
    <cellStyle name="標題 3 7 4" xfId="30553"/>
    <cellStyle name="標題 3 7 5" xfId="32328"/>
    <cellStyle name="標題 3 7 6" xfId="34080"/>
    <cellStyle name="標題 3 7 7" xfId="35790"/>
    <cellStyle name="標題 3 7 8" xfId="37427"/>
    <cellStyle name="標題 3 7 9" xfId="38976"/>
    <cellStyle name="標題 3 70" xfId="40426"/>
    <cellStyle name="標題 3 71" xfId="8674"/>
    <cellStyle name="標題 3 72" xfId="7985"/>
    <cellStyle name="標題 3 73" xfId="7974"/>
    <cellStyle name="標題 3 8" xfId="12000"/>
    <cellStyle name="標題 3 8 10" xfId="40395"/>
    <cellStyle name="標題 3 8 11" xfId="41578"/>
    <cellStyle name="標題 3 8 2" xfId="25390"/>
    <cellStyle name="標題 3 8 3" xfId="28766"/>
    <cellStyle name="標題 3 8 4" xfId="30554"/>
    <cellStyle name="標題 3 8 5" xfId="32329"/>
    <cellStyle name="標題 3 8 6" xfId="34081"/>
    <cellStyle name="標題 3 8 7" xfId="35791"/>
    <cellStyle name="標題 3 8 8" xfId="37428"/>
    <cellStyle name="標題 3 8 9" xfId="38977"/>
    <cellStyle name="標題 3 9" xfId="12174"/>
    <cellStyle name="標題 3 9 10" xfId="40396"/>
    <cellStyle name="標題 3 9 11" xfId="41579"/>
    <cellStyle name="標題 3 9 2" xfId="25391"/>
    <cellStyle name="標題 3 9 3" xfId="28767"/>
    <cellStyle name="標題 3 9 4" xfId="30555"/>
    <cellStyle name="標題 3 9 5" xfId="32330"/>
    <cellStyle name="標題 3 9 6" xfId="34082"/>
    <cellStyle name="標題 3 9 7" xfId="35792"/>
    <cellStyle name="標題 3 9 8" xfId="37429"/>
    <cellStyle name="標題 3 9 9" xfId="38978"/>
    <cellStyle name="標題 30" xfId="25392"/>
    <cellStyle name="標題 31" xfId="25393"/>
    <cellStyle name="標題 32" xfId="25394"/>
    <cellStyle name="標題 33" xfId="25395"/>
    <cellStyle name="標題 34" xfId="25396"/>
    <cellStyle name="標題 35" xfId="25397"/>
    <cellStyle name="標題 36" xfId="25398"/>
    <cellStyle name="標題 37" xfId="25399"/>
    <cellStyle name="標題 38" xfId="25400"/>
    <cellStyle name="標題 39" xfId="25401"/>
    <cellStyle name="標題 4 10" xfId="12312"/>
    <cellStyle name="標題 4 10 10" xfId="40402"/>
    <cellStyle name="標題 4 10 11" xfId="41580"/>
    <cellStyle name="標題 4 10 2" xfId="25402"/>
    <cellStyle name="標題 4 10 3" xfId="28778"/>
    <cellStyle name="標題 4 10 4" xfId="30566"/>
    <cellStyle name="標題 4 10 5" xfId="32340"/>
    <cellStyle name="標題 4 10 6" xfId="34092"/>
    <cellStyle name="標題 4 10 7" xfId="35802"/>
    <cellStyle name="標題 4 10 8" xfId="37438"/>
    <cellStyle name="標題 4 10 9" xfId="38985"/>
    <cellStyle name="標題 4 11" xfId="12503"/>
    <cellStyle name="標題 4 11 10" xfId="40403"/>
    <cellStyle name="標題 4 11 11" xfId="41581"/>
    <cellStyle name="標題 4 11 2" xfId="25403"/>
    <cellStyle name="標題 4 11 3" xfId="28779"/>
    <cellStyle name="標題 4 11 4" xfId="30567"/>
    <cellStyle name="標題 4 11 5" xfId="32341"/>
    <cellStyle name="標題 4 11 6" xfId="34093"/>
    <cellStyle name="標題 4 11 7" xfId="35803"/>
    <cellStyle name="標題 4 11 8" xfId="37439"/>
    <cellStyle name="標題 4 11 9" xfId="38986"/>
    <cellStyle name="標題 4 12" xfId="10673"/>
    <cellStyle name="標題 4 12 10" xfId="40404"/>
    <cellStyle name="標題 4 12 11" xfId="41582"/>
    <cellStyle name="標題 4 12 2" xfId="25404"/>
    <cellStyle name="標題 4 12 3" xfId="28780"/>
    <cellStyle name="標題 4 12 4" xfId="30568"/>
    <cellStyle name="標題 4 12 5" xfId="32342"/>
    <cellStyle name="標題 4 12 6" xfId="34094"/>
    <cellStyle name="標題 4 12 7" xfId="35804"/>
    <cellStyle name="標題 4 12 8" xfId="37440"/>
    <cellStyle name="標題 4 12 9" xfId="38987"/>
    <cellStyle name="標題 4 13" xfId="12855"/>
    <cellStyle name="標題 4 13 10" xfId="40405"/>
    <cellStyle name="標題 4 13 11" xfId="41583"/>
    <cellStyle name="標題 4 13 2" xfId="25405"/>
    <cellStyle name="標題 4 13 3" xfId="28781"/>
    <cellStyle name="標題 4 13 4" xfId="30569"/>
    <cellStyle name="標題 4 13 5" xfId="32343"/>
    <cellStyle name="標題 4 13 6" xfId="34095"/>
    <cellStyle name="標題 4 13 7" xfId="35805"/>
    <cellStyle name="標題 4 13 8" xfId="37441"/>
    <cellStyle name="標題 4 13 9" xfId="38988"/>
    <cellStyle name="標題 4 14" xfId="11384"/>
    <cellStyle name="標題 4 14 10" xfId="40406"/>
    <cellStyle name="標題 4 14 11" xfId="41584"/>
    <cellStyle name="標題 4 14 2" xfId="25406"/>
    <cellStyle name="標題 4 14 3" xfId="28782"/>
    <cellStyle name="標題 4 14 4" xfId="30570"/>
    <cellStyle name="標題 4 14 5" xfId="32344"/>
    <cellStyle name="標題 4 14 6" xfId="34096"/>
    <cellStyle name="標題 4 14 7" xfId="35806"/>
    <cellStyle name="標題 4 14 8" xfId="37442"/>
    <cellStyle name="標題 4 14 9" xfId="38989"/>
    <cellStyle name="標題 4 15" xfId="10962"/>
    <cellStyle name="標題 4 15 10" xfId="40407"/>
    <cellStyle name="標題 4 15 11" xfId="41585"/>
    <cellStyle name="標題 4 15 2" xfId="25407"/>
    <cellStyle name="標題 4 15 3" xfId="28783"/>
    <cellStyle name="標題 4 15 4" xfId="30571"/>
    <cellStyle name="標題 4 15 5" xfId="32345"/>
    <cellStyle name="標題 4 15 6" xfId="34097"/>
    <cellStyle name="標題 4 15 7" xfId="35807"/>
    <cellStyle name="標題 4 15 8" xfId="37443"/>
    <cellStyle name="標題 4 15 9" xfId="38990"/>
    <cellStyle name="標題 4 16" xfId="12200"/>
    <cellStyle name="標題 4 16 10" xfId="40408"/>
    <cellStyle name="標題 4 16 11" xfId="41586"/>
    <cellStyle name="標題 4 16 2" xfId="25408"/>
    <cellStyle name="標題 4 16 3" xfId="28784"/>
    <cellStyle name="標題 4 16 4" xfId="30572"/>
    <cellStyle name="標題 4 16 5" xfId="32346"/>
    <cellStyle name="標題 4 16 6" xfId="34098"/>
    <cellStyle name="標題 4 16 7" xfId="35808"/>
    <cellStyle name="標題 4 16 8" xfId="37444"/>
    <cellStyle name="標題 4 16 9" xfId="38991"/>
    <cellStyle name="標題 4 17" xfId="12736"/>
    <cellStyle name="標題 4 17 10" xfId="40409"/>
    <cellStyle name="標題 4 17 11" xfId="41587"/>
    <cellStyle name="標題 4 17 2" xfId="25409"/>
    <cellStyle name="標題 4 17 3" xfId="28785"/>
    <cellStyle name="標題 4 17 4" xfId="30573"/>
    <cellStyle name="標題 4 17 5" xfId="32347"/>
    <cellStyle name="標題 4 17 6" xfId="34099"/>
    <cellStyle name="標題 4 17 7" xfId="35809"/>
    <cellStyle name="標題 4 17 8" xfId="37445"/>
    <cellStyle name="標題 4 17 9" xfId="38992"/>
    <cellStyle name="標題 4 18" xfId="14844"/>
    <cellStyle name="標題 4 18 10" xfId="40410"/>
    <cellStyle name="標題 4 18 11" xfId="41588"/>
    <cellStyle name="標題 4 18 2" xfId="25410"/>
    <cellStyle name="標題 4 18 3" xfId="28786"/>
    <cellStyle name="標題 4 18 4" xfId="30574"/>
    <cellStyle name="標題 4 18 5" xfId="32348"/>
    <cellStyle name="標題 4 18 6" xfId="34100"/>
    <cellStyle name="標題 4 18 7" xfId="35810"/>
    <cellStyle name="標題 4 18 8" xfId="37446"/>
    <cellStyle name="標題 4 18 9" xfId="38993"/>
    <cellStyle name="標題 4 19" xfId="11622"/>
    <cellStyle name="標題 4 19 10" xfId="40411"/>
    <cellStyle name="標題 4 19 11" xfId="41589"/>
    <cellStyle name="標題 4 19 2" xfId="25411"/>
    <cellStyle name="標題 4 19 3" xfId="28787"/>
    <cellStyle name="標題 4 19 4" xfId="30575"/>
    <cellStyle name="標題 4 19 5" xfId="32349"/>
    <cellStyle name="標題 4 19 6" xfId="34101"/>
    <cellStyle name="標題 4 19 7" xfId="35811"/>
    <cellStyle name="標題 4 19 8" xfId="37447"/>
    <cellStyle name="標題 4 19 9" xfId="38994"/>
    <cellStyle name="標題 4 2" xfId="8605"/>
    <cellStyle name="標題 4 2 10" xfId="40412"/>
    <cellStyle name="標題 4 2 11" xfId="41590"/>
    <cellStyle name="標題 4 2 12" xfId="9162"/>
    <cellStyle name="標題 4 2 2" xfId="9537"/>
    <cellStyle name="標題 4 2 2 2" xfId="25412"/>
    <cellStyle name="標題 4 2 3" xfId="28788"/>
    <cellStyle name="標題 4 2 4" xfId="30576"/>
    <cellStyle name="標題 4 2 5" xfId="32350"/>
    <cellStyle name="標題 4 2 6" xfId="34102"/>
    <cellStyle name="標題 4 2 7" xfId="35812"/>
    <cellStyle name="標題 4 2 8" xfId="37448"/>
    <cellStyle name="標題 4 2 9" xfId="38995"/>
    <cellStyle name="標題 4 20" xfId="19396"/>
    <cellStyle name="標題 4 20 10" xfId="40413"/>
    <cellStyle name="標題 4 20 11" xfId="41591"/>
    <cellStyle name="標題 4 20 2" xfId="25413"/>
    <cellStyle name="標題 4 20 3" xfId="28789"/>
    <cellStyle name="標題 4 20 4" xfId="30577"/>
    <cellStyle name="標題 4 20 5" xfId="32351"/>
    <cellStyle name="標題 4 20 6" xfId="34103"/>
    <cellStyle name="標題 4 20 7" xfId="35813"/>
    <cellStyle name="標題 4 20 8" xfId="37449"/>
    <cellStyle name="標題 4 20 9" xfId="38996"/>
    <cellStyle name="標題 4 21" xfId="13998"/>
    <cellStyle name="標題 4 21 10" xfId="40414"/>
    <cellStyle name="標題 4 21 11" xfId="41592"/>
    <cellStyle name="標題 4 21 2" xfId="25414"/>
    <cellStyle name="標題 4 21 3" xfId="28790"/>
    <cellStyle name="標題 4 21 4" xfId="30578"/>
    <cellStyle name="標題 4 21 5" xfId="32352"/>
    <cellStyle name="標題 4 21 6" xfId="34104"/>
    <cellStyle name="標題 4 21 7" xfId="35814"/>
    <cellStyle name="標題 4 21 8" xfId="37450"/>
    <cellStyle name="標題 4 21 9" xfId="38997"/>
    <cellStyle name="標題 4 22" xfId="20280"/>
    <cellStyle name="標題 4 22 10" xfId="40415"/>
    <cellStyle name="標題 4 22 11" xfId="41593"/>
    <cellStyle name="標題 4 22 2" xfId="25415"/>
    <cellStyle name="標題 4 22 3" xfId="28791"/>
    <cellStyle name="標題 4 22 4" xfId="30579"/>
    <cellStyle name="標題 4 22 5" xfId="32353"/>
    <cellStyle name="標題 4 22 6" xfId="34105"/>
    <cellStyle name="標題 4 22 7" xfId="35815"/>
    <cellStyle name="標題 4 22 8" xfId="37451"/>
    <cellStyle name="標題 4 22 9" xfId="38998"/>
    <cellStyle name="標題 4 23" xfId="22962"/>
    <cellStyle name="標題 4 23 10" xfId="40416"/>
    <cellStyle name="標題 4 23 11" xfId="41594"/>
    <cellStyle name="標題 4 23 2" xfId="25416"/>
    <cellStyle name="標題 4 23 3" xfId="28792"/>
    <cellStyle name="標題 4 23 4" xfId="30580"/>
    <cellStyle name="標題 4 23 5" xfId="32354"/>
    <cellStyle name="標題 4 23 6" xfId="34106"/>
    <cellStyle name="標題 4 23 7" xfId="35816"/>
    <cellStyle name="標題 4 23 8" xfId="37452"/>
    <cellStyle name="標題 4 23 9" xfId="38999"/>
    <cellStyle name="標題 4 24" xfId="25417"/>
    <cellStyle name="標題 4 25" xfId="25418"/>
    <cellStyle name="標題 4 26" xfId="25419"/>
    <cellStyle name="標題 4 27" xfId="25420"/>
    <cellStyle name="標題 4 28" xfId="25421"/>
    <cellStyle name="標題 4 29" xfId="25422"/>
    <cellStyle name="標題 4 3" xfId="9204"/>
    <cellStyle name="標題 4 3 10" xfId="40418"/>
    <cellStyle name="標題 4 3 11" xfId="41595"/>
    <cellStyle name="標題 4 3 2" xfId="10280"/>
    <cellStyle name="標題 4 3 2 2" xfId="25423"/>
    <cellStyle name="標題 4 3 3" xfId="28799"/>
    <cellStyle name="標題 4 3 4" xfId="30587"/>
    <cellStyle name="標題 4 3 5" xfId="32361"/>
    <cellStyle name="標題 4 3 6" xfId="34113"/>
    <cellStyle name="標題 4 3 7" xfId="35820"/>
    <cellStyle name="標題 4 3 8" xfId="37455"/>
    <cellStyle name="標題 4 3 9" xfId="39002"/>
    <cellStyle name="標題 4 30" xfId="25424"/>
    <cellStyle name="標題 4 31" xfId="25425"/>
    <cellStyle name="標題 4 32" xfId="25426"/>
    <cellStyle name="標題 4 33" xfId="25427"/>
    <cellStyle name="標題 4 34" xfId="25428"/>
    <cellStyle name="標題 4 35" xfId="25429"/>
    <cellStyle name="標題 4 36" xfId="25430"/>
    <cellStyle name="標題 4 37" xfId="25431"/>
    <cellStyle name="標題 4 38" xfId="25432"/>
    <cellStyle name="標題 4 39" xfId="25433"/>
    <cellStyle name="標題 4 4" xfId="11206"/>
    <cellStyle name="標題 4 4 10" xfId="40423"/>
    <cellStyle name="標題 4 4 11" xfId="41596"/>
    <cellStyle name="標題 4 4 2" xfId="25434"/>
    <cellStyle name="標題 4 4 3" xfId="28809"/>
    <cellStyle name="標題 4 4 4" xfId="30595"/>
    <cellStyle name="標題 4 4 5" xfId="32369"/>
    <cellStyle name="標題 4 4 6" xfId="34121"/>
    <cellStyle name="標題 4 4 7" xfId="35828"/>
    <cellStyle name="標題 4 4 8" xfId="37463"/>
    <cellStyle name="標題 4 4 9" xfId="39010"/>
    <cellStyle name="標題 4 40" xfId="25435"/>
    <cellStyle name="標題 4 41" xfId="25436"/>
    <cellStyle name="標題 4 42" xfId="25437"/>
    <cellStyle name="標題 4 43" xfId="25438"/>
    <cellStyle name="標題 4 44" xfId="25439"/>
    <cellStyle name="標題 4 45" xfId="25440"/>
    <cellStyle name="標題 4 46" xfId="25441"/>
    <cellStyle name="標題 4 47" xfId="25442"/>
    <cellStyle name="標題 4 48" xfId="25443"/>
    <cellStyle name="標題 4 49" xfId="25444"/>
    <cellStyle name="標題 4 5" xfId="11398"/>
    <cellStyle name="標題 4 5 10" xfId="40434"/>
    <cellStyle name="標題 4 5 11" xfId="41597"/>
    <cellStyle name="標題 4 5 2" xfId="25445"/>
    <cellStyle name="標題 4 5 3" xfId="28820"/>
    <cellStyle name="標題 4 5 4" xfId="30606"/>
    <cellStyle name="標題 4 5 5" xfId="32380"/>
    <cellStyle name="標題 4 5 6" xfId="34132"/>
    <cellStyle name="標題 4 5 7" xfId="35839"/>
    <cellStyle name="標題 4 5 8" xfId="37474"/>
    <cellStyle name="標題 4 5 9" xfId="39021"/>
    <cellStyle name="標題 4 50" xfId="25446"/>
    <cellStyle name="標題 4 51" xfId="25447"/>
    <cellStyle name="標題 4 52" xfId="25448"/>
    <cellStyle name="標題 4 53" xfId="25449"/>
    <cellStyle name="標題 4 54" xfId="25450"/>
    <cellStyle name="標題 4 55" xfId="25451"/>
    <cellStyle name="標題 4 56" xfId="25452"/>
    <cellStyle name="標題 4 57" xfId="25453"/>
    <cellStyle name="標題 4 58" xfId="25454"/>
    <cellStyle name="標題 4 59" xfId="25455"/>
    <cellStyle name="標題 4 6" xfId="11587"/>
    <cellStyle name="標題 4 6 10" xfId="40444"/>
    <cellStyle name="標題 4 6 11" xfId="41598"/>
    <cellStyle name="標題 4 6 2" xfId="25456"/>
    <cellStyle name="標題 4 6 3" xfId="28831"/>
    <cellStyle name="標題 4 6 4" xfId="30617"/>
    <cellStyle name="標題 4 6 5" xfId="32391"/>
    <cellStyle name="標題 4 6 6" xfId="34143"/>
    <cellStyle name="標題 4 6 7" xfId="35850"/>
    <cellStyle name="標題 4 6 8" xfId="37484"/>
    <cellStyle name="標題 4 6 9" xfId="39031"/>
    <cellStyle name="標題 4 60" xfId="25457"/>
    <cellStyle name="標題 4 61" xfId="25458"/>
    <cellStyle name="標題 4 62" xfId="26590"/>
    <cellStyle name="標題 4 63" xfId="28811"/>
    <cellStyle name="標題 4 64" xfId="30597"/>
    <cellStyle name="標題 4 65" xfId="32371"/>
    <cellStyle name="標題 4 66" xfId="34123"/>
    <cellStyle name="標題 4 67" xfId="35830"/>
    <cellStyle name="標題 4 68" xfId="37465"/>
    <cellStyle name="標題 4 69" xfId="39012"/>
    <cellStyle name="標題 4 7" xfId="11768"/>
    <cellStyle name="標題 4 7 10" xfId="40445"/>
    <cellStyle name="標題 4 7 11" xfId="41599"/>
    <cellStyle name="標題 4 7 2" xfId="25459"/>
    <cellStyle name="標題 4 7 3" xfId="28833"/>
    <cellStyle name="標題 4 7 4" xfId="30619"/>
    <cellStyle name="標題 4 7 5" xfId="32393"/>
    <cellStyle name="標題 4 7 6" xfId="34145"/>
    <cellStyle name="標題 4 7 7" xfId="35851"/>
    <cellStyle name="標題 4 7 8" xfId="37485"/>
    <cellStyle name="標題 4 7 9" xfId="39032"/>
    <cellStyle name="標題 4 70" xfId="40425"/>
    <cellStyle name="標題 4 71" xfId="8675"/>
    <cellStyle name="標題 4 72" xfId="7986"/>
    <cellStyle name="標題 4 73" xfId="7975"/>
    <cellStyle name="標題 4 8" xfId="11951"/>
    <cellStyle name="標題 4 8 10" xfId="40446"/>
    <cellStyle name="標題 4 8 11" xfId="41600"/>
    <cellStyle name="標題 4 8 2" xfId="25460"/>
    <cellStyle name="標題 4 8 3" xfId="28834"/>
    <cellStyle name="標題 4 8 4" xfId="30620"/>
    <cellStyle name="標題 4 8 5" xfId="32394"/>
    <cellStyle name="標題 4 8 6" xfId="34146"/>
    <cellStyle name="標題 4 8 7" xfId="35852"/>
    <cellStyle name="標題 4 8 8" xfId="37486"/>
    <cellStyle name="標題 4 8 9" xfId="39033"/>
    <cellStyle name="標題 4 9" xfId="12130"/>
    <cellStyle name="標題 4 9 10" xfId="40447"/>
    <cellStyle name="標題 4 9 11" xfId="41601"/>
    <cellStyle name="標題 4 9 2" xfId="25461"/>
    <cellStyle name="標題 4 9 3" xfId="28835"/>
    <cellStyle name="標題 4 9 4" xfId="30621"/>
    <cellStyle name="標題 4 9 5" xfId="32395"/>
    <cellStyle name="標題 4 9 6" xfId="34147"/>
    <cellStyle name="標題 4 9 7" xfId="35853"/>
    <cellStyle name="標題 4 9 8" xfId="37487"/>
    <cellStyle name="標題 4 9 9" xfId="39034"/>
    <cellStyle name="標題 40" xfId="25462"/>
    <cellStyle name="標題 41" xfId="25463"/>
    <cellStyle name="標題 42" xfId="25464"/>
    <cellStyle name="標題 43" xfId="25465"/>
    <cellStyle name="標題 44" xfId="25466"/>
    <cellStyle name="標題 45" xfId="25467"/>
    <cellStyle name="標題 46" xfId="25468"/>
    <cellStyle name="標題 47" xfId="25469"/>
    <cellStyle name="標題 48" xfId="25470"/>
    <cellStyle name="標題 49" xfId="25471"/>
    <cellStyle name="標題 5" xfId="8601"/>
    <cellStyle name="標題 5 10" xfId="40449"/>
    <cellStyle name="標題 5 11" xfId="41602"/>
    <cellStyle name="標題 5 12" xfId="9158"/>
    <cellStyle name="標題 5 2" xfId="9533"/>
    <cellStyle name="標題 5 2 2" xfId="25472"/>
    <cellStyle name="標題 5 3" xfId="28843"/>
    <cellStyle name="標題 5 4" xfId="30629"/>
    <cellStyle name="標題 5 5" xfId="32403"/>
    <cellStyle name="標題 5 6" xfId="34154"/>
    <cellStyle name="標題 5 7" xfId="35860"/>
    <cellStyle name="標題 5 8" xfId="37489"/>
    <cellStyle name="標題 5 9" xfId="39036"/>
    <cellStyle name="標題 50" xfId="25473"/>
    <cellStyle name="標題 51" xfId="25474"/>
    <cellStyle name="標題 52" xfId="25475"/>
    <cellStyle name="標題 53" xfId="25476"/>
    <cellStyle name="標題 54" xfId="25477"/>
    <cellStyle name="標題 55" xfId="25478"/>
    <cellStyle name="標題 56" xfId="25479"/>
    <cellStyle name="標題 57" xfId="25480"/>
    <cellStyle name="標題 58" xfId="25481"/>
    <cellStyle name="標題 59" xfId="25482"/>
    <cellStyle name="標題 6" xfId="9200"/>
    <cellStyle name="標題 6 10" xfId="40450"/>
    <cellStyle name="標題 6 11" xfId="41603"/>
    <cellStyle name="標題 6 2" xfId="10276"/>
    <cellStyle name="標題 6 2 2" xfId="25483"/>
    <cellStyle name="標題 6 3" xfId="28854"/>
    <cellStyle name="標題 6 4" xfId="30640"/>
    <cellStyle name="標題 6 5" xfId="32414"/>
    <cellStyle name="標題 6 6" xfId="34165"/>
    <cellStyle name="標題 6 7" xfId="35867"/>
    <cellStyle name="標題 6 8" xfId="37495"/>
    <cellStyle name="標題 6 9" xfId="39037"/>
    <cellStyle name="標題 60" xfId="25484"/>
    <cellStyle name="標題 61" xfId="25485"/>
    <cellStyle name="標題 62" xfId="25486"/>
    <cellStyle name="標題 63" xfId="25487"/>
    <cellStyle name="標題 64" xfId="25488"/>
    <cellStyle name="標題 65" xfId="23248"/>
    <cellStyle name="標題 66" xfId="28815"/>
    <cellStyle name="標題 67" xfId="30601"/>
    <cellStyle name="標題 68" xfId="32375"/>
    <cellStyle name="標題 69" xfId="34127"/>
    <cellStyle name="標題 7" xfId="10628"/>
    <cellStyle name="標題 7 10" xfId="40451"/>
    <cellStyle name="標題 7 11" xfId="41604"/>
    <cellStyle name="標題 7 2" xfId="25489"/>
    <cellStyle name="標題 7 3" xfId="28859"/>
    <cellStyle name="標題 7 4" xfId="30645"/>
    <cellStyle name="標題 7 5" xfId="32418"/>
    <cellStyle name="標題 7 6" xfId="34169"/>
    <cellStyle name="標題 7 7" xfId="35870"/>
    <cellStyle name="標題 7 8" xfId="37497"/>
    <cellStyle name="標題 7 9" xfId="39038"/>
    <cellStyle name="標題 70" xfId="35834"/>
    <cellStyle name="標題 71" xfId="37469"/>
    <cellStyle name="標題 72" xfId="39016"/>
    <cellStyle name="標題 73" xfId="40429"/>
    <cellStyle name="標題 74" xfId="8671"/>
    <cellStyle name="標題 75" xfId="7982"/>
    <cellStyle name="標題 76" xfId="7971"/>
    <cellStyle name="標題 8" xfId="10798"/>
    <cellStyle name="標題 8 10" xfId="40452"/>
    <cellStyle name="標題 8 11" xfId="41605"/>
    <cellStyle name="標題 8 2" xfId="25490"/>
    <cellStyle name="標題 8 3" xfId="28860"/>
    <cellStyle name="標題 8 4" xfId="30646"/>
    <cellStyle name="標題 8 5" xfId="32419"/>
    <cellStyle name="標題 8 6" xfId="34170"/>
    <cellStyle name="標題 8 7" xfId="35871"/>
    <cellStyle name="標題 8 8" xfId="37498"/>
    <cellStyle name="標題 8 9" xfId="39039"/>
    <cellStyle name="標題 9" xfId="10450"/>
    <cellStyle name="標題 9 10" xfId="40453"/>
    <cellStyle name="標題 9 11" xfId="41606"/>
    <cellStyle name="標題 9 2" xfId="25491"/>
    <cellStyle name="標題 9 3" xfId="28861"/>
    <cellStyle name="標題 9 4" xfId="30647"/>
    <cellStyle name="標題 9 5" xfId="32420"/>
    <cellStyle name="標題 9 6" xfId="34171"/>
    <cellStyle name="標題 9 7" xfId="35872"/>
    <cellStyle name="標題 9 8" xfId="37499"/>
    <cellStyle name="標題 9 9" xfId="39040"/>
    <cellStyle name="樣式 1" xfId="7937"/>
    <cellStyle name="檢查儲存格 10" xfId="11841"/>
    <cellStyle name="檢查儲存格 10 10" xfId="40454"/>
    <cellStyle name="檢查儲存格 10 11" xfId="41607"/>
    <cellStyle name="檢查儲存格 10 2" xfId="25493"/>
    <cellStyle name="檢查儲存格 10 3" xfId="28863"/>
    <cellStyle name="檢查儲存格 10 4" xfId="30649"/>
    <cellStyle name="檢查儲存格 10 5" xfId="32422"/>
    <cellStyle name="檢查儲存格 10 6" xfId="34173"/>
    <cellStyle name="檢查儲存格 10 7" xfId="35874"/>
    <cellStyle name="檢查儲存格 10 8" xfId="37501"/>
    <cellStyle name="檢查儲存格 10 9" xfId="39041"/>
    <cellStyle name="檢查儲存格 11" xfId="11333"/>
    <cellStyle name="檢查儲存格 11 10" xfId="40455"/>
    <cellStyle name="檢查儲存格 11 11" xfId="41608"/>
    <cellStyle name="檢查儲存格 11 2" xfId="25494"/>
    <cellStyle name="檢查儲存格 11 3" xfId="28864"/>
    <cellStyle name="檢查儲存格 11 4" xfId="30650"/>
    <cellStyle name="檢查儲存格 11 5" xfId="32423"/>
    <cellStyle name="檢查儲存格 11 6" xfId="34174"/>
    <cellStyle name="檢查儲存格 11 7" xfId="35875"/>
    <cellStyle name="檢查儲存格 11 8" xfId="37502"/>
    <cellStyle name="檢查儲存格 11 9" xfId="39042"/>
    <cellStyle name="檢查儲存格 12" xfId="12421"/>
    <cellStyle name="檢查儲存格 12 10" xfId="40456"/>
    <cellStyle name="檢查儲存格 12 11" xfId="41609"/>
    <cellStyle name="檢查儲存格 12 2" xfId="25495"/>
    <cellStyle name="檢查儲存格 12 3" xfId="28865"/>
    <cellStyle name="檢查儲存格 12 4" xfId="30651"/>
    <cellStyle name="檢查儲存格 12 5" xfId="32424"/>
    <cellStyle name="檢查儲存格 12 6" xfId="34175"/>
    <cellStyle name="檢查儲存格 12 7" xfId="35876"/>
    <cellStyle name="檢查儲存格 12 8" xfId="37503"/>
    <cellStyle name="檢查儲存格 12 9" xfId="39043"/>
    <cellStyle name="檢查儲存格 13" xfId="12289"/>
    <cellStyle name="檢查儲存格 13 10" xfId="40457"/>
    <cellStyle name="檢查儲存格 13 11" xfId="41610"/>
    <cellStyle name="檢查儲存格 13 2" xfId="25496"/>
    <cellStyle name="檢查儲存格 13 3" xfId="28866"/>
    <cellStyle name="檢查儲存格 13 4" xfId="30652"/>
    <cellStyle name="檢查儲存格 13 5" xfId="32425"/>
    <cellStyle name="檢查儲存格 13 6" xfId="34176"/>
    <cellStyle name="檢查儲存格 13 7" xfId="35877"/>
    <cellStyle name="檢查儲存格 13 8" xfId="37504"/>
    <cellStyle name="檢查儲存格 13 9" xfId="39044"/>
    <cellStyle name="檢查儲存格 14" xfId="12483"/>
    <cellStyle name="檢查儲存格 14 10" xfId="40458"/>
    <cellStyle name="檢查儲存格 14 11" xfId="41611"/>
    <cellStyle name="檢查儲存格 14 2" xfId="25497"/>
    <cellStyle name="檢查儲存格 14 3" xfId="28867"/>
    <cellStyle name="檢查儲存格 14 4" xfId="30653"/>
    <cellStyle name="檢查儲存格 14 5" xfId="32426"/>
    <cellStyle name="檢查儲存格 14 6" xfId="34177"/>
    <cellStyle name="檢查儲存格 14 7" xfId="35878"/>
    <cellStyle name="檢查儲存格 14 8" xfId="37505"/>
    <cellStyle name="檢查儲存格 14 9" xfId="39045"/>
    <cellStyle name="檢查儲存格 15" xfId="15793"/>
    <cellStyle name="檢查儲存格 15 10" xfId="40459"/>
    <cellStyle name="檢查儲存格 15 11" xfId="41612"/>
    <cellStyle name="檢查儲存格 15 2" xfId="25498"/>
    <cellStyle name="檢查儲存格 15 3" xfId="28868"/>
    <cellStyle name="檢查儲存格 15 4" xfId="30654"/>
    <cellStyle name="檢查儲存格 15 5" xfId="32427"/>
    <cellStyle name="檢查儲存格 15 6" xfId="34178"/>
    <cellStyle name="檢查儲存格 15 7" xfId="35879"/>
    <cellStyle name="檢查儲存格 15 8" xfId="37506"/>
    <cellStyle name="檢查儲存格 15 9" xfId="39046"/>
    <cellStyle name="檢查儲存格 16" xfId="11802"/>
    <cellStyle name="檢查儲存格 16 10" xfId="40460"/>
    <cellStyle name="檢查儲存格 16 11" xfId="41613"/>
    <cellStyle name="檢查儲存格 16 2" xfId="25499"/>
    <cellStyle name="檢查儲存格 16 3" xfId="28869"/>
    <cellStyle name="檢查儲存格 16 4" xfId="30655"/>
    <cellStyle name="檢查儲存格 16 5" xfId="32428"/>
    <cellStyle name="檢查儲存格 16 6" xfId="34179"/>
    <cellStyle name="檢查儲存格 16 7" xfId="35880"/>
    <cellStyle name="檢查儲存格 16 8" xfId="37507"/>
    <cellStyle name="檢查儲存格 16 9" xfId="39047"/>
    <cellStyle name="檢查儲存格 17" xfId="12440"/>
    <cellStyle name="檢查儲存格 17 10" xfId="40461"/>
    <cellStyle name="檢查儲存格 17 11" xfId="41614"/>
    <cellStyle name="檢查儲存格 17 2" xfId="25500"/>
    <cellStyle name="檢查儲存格 17 3" xfId="28870"/>
    <cellStyle name="檢查儲存格 17 4" xfId="30656"/>
    <cellStyle name="檢查儲存格 17 5" xfId="32429"/>
    <cellStyle name="檢查儲存格 17 6" xfId="34180"/>
    <cellStyle name="檢查儲存格 17 7" xfId="35881"/>
    <cellStyle name="檢查儲存格 17 8" xfId="37508"/>
    <cellStyle name="檢查儲存格 17 9" xfId="39048"/>
    <cellStyle name="檢查儲存格 18" xfId="14848"/>
    <cellStyle name="檢查儲存格 18 10" xfId="40462"/>
    <cellStyle name="檢查儲存格 18 11" xfId="41615"/>
    <cellStyle name="檢查儲存格 18 2" xfId="25501"/>
    <cellStyle name="檢查儲存格 18 3" xfId="28871"/>
    <cellStyle name="檢查儲存格 18 4" xfId="30657"/>
    <cellStyle name="檢查儲存格 18 5" xfId="32430"/>
    <cellStyle name="檢查儲存格 18 6" xfId="34181"/>
    <cellStyle name="檢查儲存格 18 7" xfId="35882"/>
    <cellStyle name="檢查儲存格 18 8" xfId="37509"/>
    <cellStyle name="檢查儲存格 18 9" xfId="39049"/>
    <cellStyle name="檢查儲存格 19" xfId="12940"/>
    <cellStyle name="檢查儲存格 19 10" xfId="40463"/>
    <cellStyle name="檢查儲存格 19 11" xfId="41616"/>
    <cellStyle name="檢查儲存格 19 2" xfId="25502"/>
    <cellStyle name="檢查儲存格 19 3" xfId="28872"/>
    <cellStyle name="檢查儲存格 19 4" xfId="30658"/>
    <cellStyle name="檢查儲存格 19 5" xfId="32431"/>
    <cellStyle name="檢查儲存格 19 6" xfId="34182"/>
    <cellStyle name="檢查儲存格 19 7" xfId="35883"/>
    <cellStyle name="檢查儲存格 19 8" xfId="37510"/>
    <cellStyle name="檢查儲存格 19 9" xfId="39050"/>
    <cellStyle name="檢查儲存格 2" xfId="8608"/>
    <cellStyle name="檢查儲存格 2 10" xfId="40464"/>
    <cellStyle name="檢查儲存格 2 11" xfId="41617"/>
    <cellStyle name="檢查儲存格 2 12" xfId="9170"/>
    <cellStyle name="檢查儲存格 2 2" xfId="9540"/>
    <cellStyle name="檢查儲存格 2 2 2" xfId="25503"/>
    <cellStyle name="檢查儲存格 2 3" xfId="28873"/>
    <cellStyle name="檢查儲存格 2 4" xfId="30659"/>
    <cellStyle name="檢查儲存格 2 5" xfId="32432"/>
    <cellStyle name="檢查儲存格 2 6" xfId="34183"/>
    <cellStyle name="檢查儲存格 2 7" xfId="35884"/>
    <cellStyle name="檢查儲存格 2 8" xfId="37511"/>
    <cellStyle name="檢查儲存格 2 9" xfId="39051"/>
    <cellStyle name="檢查儲存格 20" xfId="14838"/>
    <cellStyle name="檢查儲存格 20 10" xfId="40465"/>
    <cellStyle name="檢查儲存格 20 11" xfId="41618"/>
    <cellStyle name="檢查儲存格 20 2" xfId="25504"/>
    <cellStyle name="檢查儲存格 20 3" xfId="28874"/>
    <cellStyle name="檢查儲存格 20 4" xfId="30660"/>
    <cellStyle name="檢查儲存格 20 5" xfId="32433"/>
    <cellStyle name="檢查儲存格 20 6" xfId="34184"/>
    <cellStyle name="檢查儲存格 20 7" xfId="35885"/>
    <cellStyle name="檢查儲存格 20 8" xfId="37512"/>
    <cellStyle name="檢查儲存格 20 9" xfId="39052"/>
    <cellStyle name="檢查儲存格 21" xfId="21159"/>
    <cellStyle name="檢查儲存格 21 10" xfId="40466"/>
    <cellStyle name="檢查儲存格 21 11" xfId="41619"/>
    <cellStyle name="檢查儲存格 21 2" xfId="25505"/>
    <cellStyle name="檢查儲存格 21 3" xfId="28875"/>
    <cellStyle name="檢查儲存格 21 4" xfId="30661"/>
    <cellStyle name="檢查儲存格 21 5" xfId="32434"/>
    <cellStyle name="檢查儲存格 21 6" xfId="34185"/>
    <cellStyle name="檢查儲存格 21 7" xfId="35886"/>
    <cellStyle name="檢查儲存格 21 8" xfId="37513"/>
    <cellStyle name="檢查儲存格 21 9" xfId="39053"/>
    <cellStyle name="檢查儲存格 22" xfId="20239"/>
    <cellStyle name="檢查儲存格 22 10" xfId="40467"/>
    <cellStyle name="檢查儲存格 22 11" xfId="41620"/>
    <cellStyle name="檢查儲存格 22 2" xfId="25506"/>
    <cellStyle name="檢查儲存格 22 3" xfId="28876"/>
    <cellStyle name="檢查儲存格 22 4" xfId="30662"/>
    <cellStyle name="檢查儲存格 22 5" xfId="32435"/>
    <cellStyle name="檢查儲存格 22 6" xfId="34186"/>
    <cellStyle name="檢查儲存格 22 7" xfId="35887"/>
    <cellStyle name="檢查儲存格 22 8" xfId="37514"/>
    <cellStyle name="檢查儲存格 22 9" xfId="39054"/>
    <cellStyle name="檢查儲存格 23" xfId="22965"/>
    <cellStyle name="檢查儲存格 23 10" xfId="40468"/>
    <cellStyle name="檢查儲存格 23 11" xfId="41621"/>
    <cellStyle name="檢查儲存格 23 2" xfId="25507"/>
    <cellStyle name="檢查儲存格 23 3" xfId="28877"/>
    <cellStyle name="檢查儲存格 23 4" xfId="30663"/>
    <cellStyle name="檢查儲存格 23 5" xfId="32436"/>
    <cellStyle name="檢查儲存格 23 6" xfId="34187"/>
    <cellStyle name="檢查儲存格 23 7" xfId="35888"/>
    <cellStyle name="檢查儲存格 23 8" xfId="37515"/>
    <cellStyle name="檢查儲存格 23 9" xfId="39055"/>
    <cellStyle name="檢查儲存格 24" xfId="25508"/>
    <cellStyle name="檢查儲存格 25" xfId="25509"/>
    <cellStyle name="檢查儲存格 26" xfId="25510"/>
    <cellStyle name="檢查儲存格 27" xfId="25511"/>
    <cellStyle name="檢查儲存格 28" xfId="25512"/>
    <cellStyle name="檢查儲存格 29" xfId="25513"/>
    <cellStyle name="檢查儲存格 3" xfId="9212"/>
    <cellStyle name="檢查儲存格 3 10" xfId="40473"/>
    <cellStyle name="檢查儲存格 3 11" xfId="41622"/>
    <cellStyle name="檢查儲存格 3 2" xfId="10283"/>
    <cellStyle name="檢查儲存格 3 2 2" xfId="25514"/>
    <cellStyle name="檢查儲存格 3 3" xfId="28884"/>
    <cellStyle name="檢查儲存格 3 4" xfId="30670"/>
    <cellStyle name="檢查儲存格 3 5" xfId="32443"/>
    <cellStyle name="檢查儲存格 3 6" xfId="34194"/>
    <cellStyle name="檢查儲存格 3 7" xfId="35895"/>
    <cellStyle name="檢查儲存格 3 8" xfId="37522"/>
    <cellStyle name="檢查儲存格 3 9" xfId="39061"/>
    <cellStyle name="檢查儲存格 30" xfId="25515"/>
    <cellStyle name="檢查儲存格 31" xfId="25516"/>
    <cellStyle name="檢查儲存格 32" xfId="25517"/>
    <cellStyle name="檢查儲存格 33" xfId="25518"/>
    <cellStyle name="檢查儲存格 34" xfId="25519"/>
    <cellStyle name="檢查儲存格 35" xfId="25520"/>
    <cellStyle name="檢查儲存格 36" xfId="25521"/>
    <cellStyle name="檢查儲存格 37" xfId="25522"/>
    <cellStyle name="檢查儲存格 38" xfId="25523"/>
    <cellStyle name="檢查儲存格 39" xfId="25524"/>
    <cellStyle name="檢查儲存格 4" xfId="10999"/>
    <cellStyle name="檢查儲存格 4 10" xfId="40481"/>
    <cellStyle name="檢查儲存格 4 11" xfId="41623"/>
    <cellStyle name="檢查儲存格 4 2" xfId="25525"/>
    <cellStyle name="檢查儲存格 4 3" xfId="28895"/>
    <cellStyle name="檢查儲存格 4 4" xfId="30681"/>
    <cellStyle name="檢查儲存格 4 5" xfId="32454"/>
    <cellStyle name="檢查儲存格 4 6" xfId="34205"/>
    <cellStyle name="檢查儲存格 4 7" xfId="35905"/>
    <cellStyle name="檢查儲存格 4 8" xfId="37532"/>
    <cellStyle name="檢查儲存格 4 9" xfId="39071"/>
    <cellStyle name="檢查儲存格 40" xfId="25526"/>
    <cellStyle name="檢查儲存格 41" xfId="25527"/>
    <cellStyle name="檢查儲存格 42" xfId="25528"/>
    <cellStyle name="檢查儲存格 43" xfId="25529"/>
    <cellStyle name="檢查儲存格 44" xfId="25530"/>
    <cellStyle name="檢查儲存格 45" xfId="25531"/>
    <cellStyle name="檢查儲存格 46" xfId="25532"/>
    <cellStyle name="檢查儲存格 47" xfId="25533"/>
    <cellStyle name="檢查儲存格 48" xfId="25534"/>
    <cellStyle name="檢查儲存格 49" xfId="25535"/>
    <cellStyle name="檢查儲存格 5" xfId="9508"/>
    <cellStyle name="檢查儲存格 5 10" xfId="40484"/>
    <cellStyle name="檢查儲存格 5 11" xfId="41624"/>
    <cellStyle name="檢查儲存格 5 2" xfId="25536"/>
    <cellStyle name="檢查儲存格 5 3" xfId="28904"/>
    <cellStyle name="檢查儲存格 5 4" xfId="30690"/>
    <cellStyle name="檢查儲存格 5 5" xfId="32463"/>
    <cellStyle name="檢查儲存格 5 6" xfId="34213"/>
    <cellStyle name="檢查儲存格 5 7" xfId="35913"/>
    <cellStyle name="檢查儲存格 5 8" xfId="37540"/>
    <cellStyle name="檢查儲存格 5 9" xfId="39075"/>
    <cellStyle name="檢查儲存格 50" xfId="25537"/>
    <cellStyle name="檢查儲存格 51" xfId="25538"/>
    <cellStyle name="檢查儲存格 52" xfId="25539"/>
    <cellStyle name="檢查儲存格 53" xfId="25540"/>
    <cellStyle name="檢查儲存格 54" xfId="25541"/>
    <cellStyle name="檢查儲存格 55" xfId="25542"/>
    <cellStyle name="檢查儲存格 56" xfId="25543"/>
    <cellStyle name="檢查儲存格 57" xfId="25544"/>
    <cellStyle name="檢查儲存格 58" xfId="25545"/>
    <cellStyle name="檢查儲存格 59" xfId="25546"/>
    <cellStyle name="檢查儲存格 6" xfId="10251"/>
    <cellStyle name="檢查儲存格 6 10" xfId="40495"/>
    <cellStyle name="檢查儲存格 6 11" xfId="41625"/>
    <cellStyle name="檢查儲存格 6 2" xfId="25547"/>
    <cellStyle name="檢查儲存格 6 3" xfId="28915"/>
    <cellStyle name="檢查儲存格 6 4" xfId="30701"/>
    <cellStyle name="檢查儲存格 6 5" xfId="32474"/>
    <cellStyle name="檢查儲存格 6 6" xfId="34224"/>
    <cellStyle name="檢查儲存格 6 7" xfId="35924"/>
    <cellStyle name="檢查儲存格 6 8" xfId="37551"/>
    <cellStyle name="檢查儲存格 6 9" xfId="39086"/>
    <cellStyle name="檢查儲存格 60" xfId="25548"/>
    <cellStyle name="檢查儲存格 61" xfId="25549"/>
    <cellStyle name="檢查儲存格 62" xfId="23638"/>
    <cellStyle name="檢查儲存格 63" xfId="28807"/>
    <cellStyle name="檢查儲存格 64" xfId="30593"/>
    <cellStyle name="檢查儲存格 65" xfId="32367"/>
    <cellStyle name="檢查儲存格 66" xfId="34119"/>
    <cellStyle name="檢查儲存格 67" xfId="35826"/>
    <cellStyle name="檢查儲存格 68" xfId="37461"/>
    <cellStyle name="檢查儲存格 69" xfId="39008"/>
    <cellStyle name="檢查儲存格 7" xfId="10780"/>
    <cellStyle name="檢查儲存格 7 10" xfId="40497"/>
    <cellStyle name="檢查儲存格 7 11" xfId="41626"/>
    <cellStyle name="檢查儲存格 7 2" xfId="25550"/>
    <cellStyle name="檢查儲存格 7 3" xfId="28918"/>
    <cellStyle name="檢查儲存格 7 4" xfId="30704"/>
    <cellStyle name="檢查儲存格 7 5" xfId="32477"/>
    <cellStyle name="檢查儲存格 7 6" xfId="34227"/>
    <cellStyle name="檢查儲存格 7 7" xfId="35927"/>
    <cellStyle name="檢查儲存格 7 8" xfId="37554"/>
    <cellStyle name="檢查儲存格 7 9" xfId="39089"/>
    <cellStyle name="檢查儲存格 70" xfId="40421"/>
    <cellStyle name="檢查儲存格 71" xfId="7994"/>
    <cellStyle name="檢查儲存格 72" xfId="7978"/>
    <cellStyle name="檢查儲存格 8" xfId="9427"/>
    <cellStyle name="檢查儲存格 8 10" xfId="40498"/>
    <cellStyle name="檢查儲存格 8 11" xfId="41627"/>
    <cellStyle name="檢查儲存格 8 2" xfId="25551"/>
    <cellStyle name="檢查儲存格 8 3" xfId="28919"/>
    <cellStyle name="檢查儲存格 8 4" xfId="30705"/>
    <cellStyle name="檢查儲存格 8 5" xfId="32478"/>
    <cellStyle name="檢查儲存格 8 6" xfId="34228"/>
    <cellStyle name="檢查儲存格 8 7" xfId="35928"/>
    <cellStyle name="檢查儲存格 8 8" xfId="37555"/>
    <cellStyle name="檢查儲存格 8 9" xfId="39090"/>
    <cellStyle name="檢查儲存格 9" xfId="11092"/>
    <cellStyle name="檢查儲存格 9 10" xfId="40499"/>
    <cellStyle name="檢查儲存格 9 11" xfId="41628"/>
    <cellStyle name="檢查儲存格 9 2" xfId="25552"/>
    <cellStyle name="檢查儲存格 9 3" xfId="28920"/>
    <cellStyle name="檢查儲存格 9 4" xfId="30706"/>
    <cellStyle name="檢查儲存格 9 5" xfId="32479"/>
    <cellStyle name="檢查儲存格 9 6" xfId="34229"/>
    <cellStyle name="檢查儲存格 9 7" xfId="35929"/>
    <cellStyle name="檢查儲存格 9 8" xfId="37556"/>
    <cellStyle name="檢查儲存格 9 9" xfId="39091"/>
    <cellStyle name="汇总 10" xfId="8383"/>
    <cellStyle name="汇总 11" xfId="8425"/>
    <cellStyle name="汇总 12" xfId="8467"/>
    <cellStyle name="汇总 13" xfId="8509"/>
    <cellStyle name="汇总 14" xfId="8551"/>
    <cellStyle name="汇总 15" xfId="43236"/>
    <cellStyle name="汇总 16" xfId="43278"/>
    <cellStyle name="汇总 2" xfId="8048"/>
    <cellStyle name="汇总 3" xfId="8090"/>
    <cellStyle name="汇总 4" xfId="8132"/>
    <cellStyle name="汇总 5" xfId="8174"/>
    <cellStyle name="汇总 6" xfId="8215"/>
    <cellStyle name="汇总 7" xfId="8257"/>
    <cellStyle name="汇总 8" xfId="8299"/>
    <cellStyle name="汇总 9" xfId="8341"/>
    <cellStyle name="注释 10" xfId="8381"/>
    <cellStyle name="注释 11" xfId="8423"/>
    <cellStyle name="注释 12" xfId="8465"/>
    <cellStyle name="注释 13" xfId="8507"/>
    <cellStyle name="注释 14" xfId="8549"/>
    <cellStyle name="注释 15" xfId="43234"/>
    <cellStyle name="注释 16" xfId="43276"/>
    <cellStyle name="注释 2" xfId="8046"/>
    <cellStyle name="注释 3" xfId="8088"/>
    <cellStyle name="注释 4" xfId="8130"/>
    <cellStyle name="注释 5" xfId="8172"/>
    <cellStyle name="注释 6" xfId="8213"/>
    <cellStyle name="注释 7" xfId="8255"/>
    <cellStyle name="注释 8" xfId="8297"/>
    <cellStyle name="注释 9" xfId="8339"/>
    <cellStyle name="解释性文本 10" xfId="8382"/>
    <cellStyle name="解释性文本 11" xfId="8424"/>
    <cellStyle name="解释性文本 12" xfId="8466"/>
    <cellStyle name="解释性文本 13" xfId="8508"/>
    <cellStyle name="解释性文本 14" xfId="8550"/>
    <cellStyle name="解释性文本 15" xfId="43235"/>
    <cellStyle name="解释性文本 16" xfId="43277"/>
    <cellStyle name="解释性文本 2" xfId="8047"/>
    <cellStyle name="解释性文本 3" xfId="8089"/>
    <cellStyle name="解释性文本 4" xfId="8131"/>
    <cellStyle name="解释性文本 5" xfId="8173"/>
    <cellStyle name="解释性文本 6" xfId="8214"/>
    <cellStyle name="解释性文本 7" xfId="8256"/>
    <cellStyle name="解释性文本 8" xfId="8298"/>
    <cellStyle name="解释性文本 9" xfId="8340"/>
    <cellStyle name="計算方式 10" xfId="11718"/>
    <cellStyle name="計算方式 10 10" xfId="40500"/>
    <cellStyle name="計算方式 10 11" xfId="41629"/>
    <cellStyle name="計算方式 10 2" xfId="25553"/>
    <cellStyle name="計算方式 10 3" xfId="28921"/>
    <cellStyle name="計算方式 10 4" xfId="30707"/>
    <cellStyle name="計算方式 10 5" xfId="32480"/>
    <cellStyle name="計算方式 10 6" xfId="34230"/>
    <cellStyle name="計算方式 10 7" xfId="35930"/>
    <cellStyle name="計算方式 10 8" xfId="37557"/>
    <cellStyle name="計算方式 10 9" xfId="39092"/>
    <cellStyle name="計算方式 11" xfId="11876"/>
    <cellStyle name="計算方式 11 10" xfId="40501"/>
    <cellStyle name="計算方式 11 11" xfId="41630"/>
    <cellStyle name="計算方式 11 2" xfId="25554"/>
    <cellStyle name="計算方式 11 3" xfId="28922"/>
    <cellStyle name="計算方式 11 4" xfId="30708"/>
    <cellStyle name="計算方式 11 5" xfId="32481"/>
    <cellStyle name="計算方式 11 6" xfId="34231"/>
    <cellStyle name="計算方式 11 7" xfId="35931"/>
    <cellStyle name="計算方式 11 8" xfId="37558"/>
    <cellStyle name="計算方式 11 9" xfId="39093"/>
    <cellStyle name="計算方式 12" xfId="12718"/>
    <cellStyle name="計算方式 12 10" xfId="40502"/>
    <cellStyle name="計算方式 12 11" xfId="41631"/>
    <cellStyle name="計算方式 12 2" xfId="25555"/>
    <cellStyle name="計算方式 12 3" xfId="28923"/>
    <cellStyle name="計算方式 12 4" xfId="30709"/>
    <cellStyle name="計算方式 12 5" xfId="32482"/>
    <cellStyle name="計算方式 12 6" xfId="34232"/>
    <cellStyle name="計算方式 12 7" xfId="35932"/>
    <cellStyle name="計算方式 12 8" xfId="37559"/>
    <cellStyle name="計算方式 12 9" xfId="39094"/>
    <cellStyle name="計算方式 13" xfId="12594"/>
    <cellStyle name="計算方式 13 10" xfId="40503"/>
    <cellStyle name="計算方式 13 11" xfId="41632"/>
    <cellStyle name="計算方式 13 2" xfId="25556"/>
    <cellStyle name="計算方式 13 3" xfId="28924"/>
    <cellStyle name="計算方式 13 4" xfId="30710"/>
    <cellStyle name="計算方式 13 5" xfId="32483"/>
    <cellStyle name="計算方式 13 6" xfId="34233"/>
    <cellStyle name="計算方式 13 7" xfId="35933"/>
    <cellStyle name="計算方式 13 8" xfId="37560"/>
    <cellStyle name="計算方式 13 9" xfId="39095"/>
    <cellStyle name="計算方式 14" xfId="12560"/>
    <cellStyle name="計算方式 14 10" xfId="40504"/>
    <cellStyle name="計算方式 14 11" xfId="41633"/>
    <cellStyle name="計算方式 14 2" xfId="25557"/>
    <cellStyle name="計算方式 14 3" xfId="28925"/>
    <cellStyle name="計算方式 14 4" xfId="30711"/>
    <cellStyle name="計算方式 14 5" xfId="32484"/>
    <cellStyle name="計算方式 14 6" xfId="34234"/>
    <cellStyle name="計算方式 14 7" xfId="35934"/>
    <cellStyle name="計算方式 14 8" xfId="37561"/>
    <cellStyle name="計算方式 14 9" xfId="39096"/>
    <cellStyle name="計算方式 15" xfId="13879"/>
    <cellStyle name="計算方式 15 10" xfId="40505"/>
    <cellStyle name="計算方式 15 11" xfId="41634"/>
    <cellStyle name="計算方式 15 2" xfId="25558"/>
    <cellStyle name="計算方式 15 3" xfId="28926"/>
    <cellStyle name="計算方式 15 4" xfId="30712"/>
    <cellStyle name="計算方式 15 5" xfId="32485"/>
    <cellStyle name="計算方式 15 6" xfId="34235"/>
    <cellStyle name="計算方式 15 7" xfId="35935"/>
    <cellStyle name="計算方式 15 8" xfId="37562"/>
    <cellStyle name="計算方式 15 9" xfId="39097"/>
    <cellStyle name="計算方式 16" xfId="12364"/>
    <cellStyle name="計算方式 16 10" xfId="40506"/>
    <cellStyle name="計算方式 16 11" xfId="41635"/>
    <cellStyle name="計算方式 16 2" xfId="25559"/>
    <cellStyle name="計算方式 16 3" xfId="28927"/>
    <cellStyle name="計算方式 16 4" xfId="30713"/>
    <cellStyle name="計算方式 16 5" xfId="32486"/>
    <cellStyle name="計算方式 16 6" xfId="34236"/>
    <cellStyle name="計算方式 16 7" xfId="35936"/>
    <cellStyle name="計算方式 16 8" xfId="37563"/>
    <cellStyle name="計算方式 16 9" xfId="39098"/>
    <cellStyle name="計算方式 17" xfId="12523"/>
    <cellStyle name="計算方式 17 10" xfId="40507"/>
    <cellStyle name="計算方式 17 11" xfId="41636"/>
    <cellStyle name="計算方式 17 2" xfId="25560"/>
    <cellStyle name="計算方式 17 3" xfId="28928"/>
    <cellStyle name="計算方式 17 4" xfId="30714"/>
    <cellStyle name="計算方式 17 5" xfId="32487"/>
    <cellStyle name="計算方式 17 6" xfId="34237"/>
    <cellStyle name="計算方式 17 7" xfId="35937"/>
    <cellStyle name="計算方式 17 8" xfId="37564"/>
    <cellStyle name="計算方式 17 9" xfId="39099"/>
    <cellStyle name="計算方式 18" xfId="16582"/>
    <cellStyle name="計算方式 18 10" xfId="40508"/>
    <cellStyle name="計算方式 18 11" xfId="41637"/>
    <cellStyle name="計算方式 18 2" xfId="25561"/>
    <cellStyle name="計算方式 18 3" xfId="28929"/>
    <cellStyle name="計算方式 18 4" xfId="30715"/>
    <cellStyle name="計算方式 18 5" xfId="32488"/>
    <cellStyle name="計算方式 18 6" xfId="34238"/>
    <cellStyle name="計算方式 18 7" xfId="35938"/>
    <cellStyle name="計算方式 18 8" xfId="37565"/>
    <cellStyle name="計算方式 18 9" xfId="39100"/>
    <cellStyle name="計算方式 19" xfId="17511"/>
    <cellStyle name="計算方式 19 10" xfId="40509"/>
    <cellStyle name="計算方式 19 11" xfId="41638"/>
    <cellStyle name="計算方式 19 2" xfId="25562"/>
    <cellStyle name="計算方式 19 3" xfId="28930"/>
    <cellStyle name="計算方式 19 4" xfId="30716"/>
    <cellStyle name="計算方式 19 5" xfId="32489"/>
    <cellStyle name="計算方式 19 6" xfId="34239"/>
    <cellStyle name="計算方式 19 7" xfId="35939"/>
    <cellStyle name="計算方式 19 8" xfId="37566"/>
    <cellStyle name="計算方式 19 9" xfId="39101"/>
    <cellStyle name="計算方式 2" xfId="8590"/>
    <cellStyle name="計算方式 2 10" xfId="40510"/>
    <cellStyle name="計算方式 2 11" xfId="41639"/>
    <cellStyle name="計算方式 2 12" xfId="9168"/>
    <cellStyle name="計算方式 2 2" xfId="9523"/>
    <cellStyle name="計算方式 2 2 2" xfId="25563"/>
    <cellStyle name="計算方式 2 3" xfId="28931"/>
    <cellStyle name="計算方式 2 4" xfId="30717"/>
    <cellStyle name="計算方式 2 5" xfId="32490"/>
    <cellStyle name="計算方式 2 6" xfId="34240"/>
    <cellStyle name="計算方式 2 7" xfId="35940"/>
    <cellStyle name="計算方式 2 8" xfId="37567"/>
    <cellStyle name="計算方式 2 9" xfId="39102"/>
    <cellStyle name="計算方式 20" xfId="16670"/>
    <cellStyle name="計算方式 20 10" xfId="40511"/>
    <cellStyle name="計算方式 20 11" xfId="41640"/>
    <cellStyle name="計算方式 20 2" xfId="25564"/>
    <cellStyle name="計算方式 20 3" xfId="28932"/>
    <cellStyle name="計算方式 20 4" xfId="30718"/>
    <cellStyle name="計算方式 20 5" xfId="32491"/>
    <cellStyle name="計算方式 20 6" xfId="34241"/>
    <cellStyle name="計算方式 20 7" xfId="35941"/>
    <cellStyle name="計算方式 20 8" xfId="37568"/>
    <cellStyle name="計算方式 20 9" xfId="39103"/>
    <cellStyle name="計算方式 21" xfId="12568"/>
    <cellStyle name="計算方式 21 10" xfId="40512"/>
    <cellStyle name="計算方式 21 11" xfId="41641"/>
    <cellStyle name="計算方式 21 2" xfId="25565"/>
    <cellStyle name="計算方式 21 3" xfId="28933"/>
    <cellStyle name="計算方式 21 4" xfId="30719"/>
    <cellStyle name="計算方式 21 5" xfId="32492"/>
    <cellStyle name="計算方式 21 6" xfId="34242"/>
    <cellStyle name="計算方式 21 7" xfId="35942"/>
    <cellStyle name="計算方式 21 8" xfId="37569"/>
    <cellStyle name="計算方式 21 9" xfId="39104"/>
    <cellStyle name="計算方式 22" xfId="19435"/>
    <cellStyle name="計算方式 22 10" xfId="40513"/>
    <cellStyle name="計算方式 22 11" xfId="41642"/>
    <cellStyle name="計算方式 22 2" xfId="25566"/>
    <cellStyle name="計算方式 22 3" xfId="28934"/>
    <cellStyle name="計算方式 22 4" xfId="30720"/>
    <cellStyle name="計算方式 22 5" xfId="32493"/>
    <cellStyle name="計算方式 22 6" xfId="34243"/>
    <cellStyle name="計算方式 22 7" xfId="35943"/>
    <cellStyle name="計算方式 22 8" xfId="37570"/>
    <cellStyle name="計算方式 22 9" xfId="39105"/>
    <cellStyle name="計算方式 23" xfId="22947"/>
    <cellStyle name="計算方式 23 10" xfId="40514"/>
    <cellStyle name="計算方式 23 11" xfId="41643"/>
    <cellStyle name="計算方式 23 2" xfId="25567"/>
    <cellStyle name="計算方式 23 3" xfId="28935"/>
    <cellStyle name="計算方式 23 4" xfId="30721"/>
    <cellStyle name="計算方式 23 5" xfId="32494"/>
    <cellStyle name="計算方式 23 6" xfId="34244"/>
    <cellStyle name="計算方式 23 7" xfId="35944"/>
    <cellStyle name="計算方式 23 8" xfId="37571"/>
    <cellStyle name="計算方式 23 9" xfId="39106"/>
    <cellStyle name="計算方式 24" xfId="25568"/>
    <cellStyle name="計算方式 25" xfId="25569"/>
    <cellStyle name="計算方式 26" xfId="25570"/>
    <cellStyle name="計算方式 27" xfId="25571"/>
    <cellStyle name="計算方式 28" xfId="25572"/>
    <cellStyle name="計算方式 29" xfId="25573"/>
    <cellStyle name="計算方式 3" xfId="9210"/>
    <cellStyle name="計算方式 3 10" xfId="40515"/>
    <cellStyle name="計算方式 3 11" xfId="41644"/>
    <cellStyle name="計算方式 3 2" xfId="10265"/>
    <cellStyle name="計算方式 3 2 2" xfId="25574"/>
    <cellStyle name="計算方式 3 3" xfId="28942"/>
    <cellStyle name="計算方式 3 4" xfId="30728"/>
    <cellStyle name="計算方式 3 5" xfId="32501"/>
    <cellStyle name="計算方式 3 6" xfId="34249"/>
    <cellStyle name="計算方式 3 7" xfId="35949"/>
    <cellStyle name="計算方式 3 8" xfId="37576"/>
    <cellStyle name="計算方式 3 9" xfId="39110"/>
    <cellStyle name="計算方式 30" xfId="25575"/>
    <cellStyle name="計算方式 31" xfId="25576"/>
    <cellStyle name="計算方式 32" xfId="25577"/>
    <cellStyle name="計算方式 33" xfId="25578"/>
    <cellStyle name="計算方式 34" xfId="25579"/>
    <cellStyle name="計算方式 35" xfId="25580"/>
    <cellStyle name="計算方式 36" xfId="25581"/>
    <cellStyle name="計算方式 37" xfId="25582"/>
    <cellStyle name="計算方式 38" xfId="25583"/>
    <cellStyle name="計算方式 39" xfId="25584"/>
    <cellStyle name="計算方式 4" xfId="10554"/>
    <cellStyle name="計算方式 4 10" xfId="40516"/>
    <cellStyle name="計算方式 4 11" xfId="41645"/>
    <cellStyle name="計算方式 4 2" xfId="25585"/>
    <cellStyle name="計算方式 4 3" xfId="28953"/>
    <cellStyle name="計算方式 4 4" xfId="30739"/>
    <cellStyle name="計算方式 4 5" xfId="32512"/>
    <cellStyle name="計算方式 4 6" xfId="34256"/>
    <cellStyle name="計算方式 4 7" xfId="35954"/>
    <cellStyle name="計算方式 4 8" xfId="37581"/>
    <cellStyle name="計算方式 4 9" xfId="39112"/>
    <cellStyle name="計算方式 40" xfId="25586"/>
    <cellStyle name="計算方式 41" xfId="25587"/>
    <cellStyle name="計算方式 42" xfId="25588"/>
    <cellStyle name="計算方式 43" xfId="25589"/>
    <cellStyle name="計算方式 44" xfId="25590"/>
    <cellStyle name="計算方式 45" xfId="25591"/>
    <cellStyle name="計算方式 46" xfId="25592"/>
    <cellStyle name="計算方式 47" xfId="25593"/>
    <cellStyle name="計算方式 48" xfId="25594"/>
    <cellStyle name="計算方式 49" xfId="25595"/>
    <cellStyle name="計算方式 5" xfId="10289"/>
    <cellStyle name="計算方式 5 10" xfId="40517"/>
    <cellStyle name="計算方式 5 11" xfId="41646"/>
    <cellStyle name="計算方式 5 2" xfId="25596"/>
    <cellStyle name="計算方式 5 3" xfId="28964"/>
    <cellStyle name="計算方式 5 4" xfId="30750"/>
    <cellStyle name="計算方式 5 5" xfId="32523"/>
    <cellStyle name="計算方式 5 6" xfId="34266"/>
    <cellStyle name="計算方式 5 7" xfId="35963"/>
    <cellStyle name="計算方式 5 8" xfId="37589"/>
    <cellStyle name="計算方式 5 9" xfId="39120"/>
    <cellStyle name="計算方式 50" xfId="25597"/>
    <cellStyle name="計算方式 51" xfId="25598"/>
    <cellStyle name="計算方式 52" xfId="25599"/>
    <cellStyle name="計算方式 53" xfId="25600"/>
    <cellStyle name="計算方式 54" xfId="25601"/>
    <cellStyle name="計算方式 55" xfId="25602"/>
    <cellStyle name="計算方式 56" xfId="25603"/>
    <cellStyle name="計算方式 57" xfId="25604"/>
    <cellStyle name="計算方式 58" xfId="25605"/>
    <cellStyle name="計算方式 59" xfId="25606"/>
    <cellStyle name="計算方式 6" xfId="10552"/>
    <cellStyle name="計算方式 6 10" xfId="40518"/>
    <cellStyle name="計算方式 6 11" xfId="41647"/>
    <cellStyle name="計算方式 6 2" xfId="25607"/>
    <cellStyle name="計算方式 6 3" xfId="28974"/>
    <cellStyle name="計算方式 6 4" xfId="30760"/>
    <cellStyle name="計算方式 6 5" xfId="32533"/>
    <cellStyle name="計算方式 6 6" xfId="34276"/>
    <cellStyle name="計算方式 6 7" xfId="35971"/>
    <cellStyle name="計算方式 6 8" xfId="37594"/>
    <cellStyle name="計算方式 6 9" xfId="39123"/>
    <cellStyle name="計算方式 60" xfId="25608"/>
    <cellStyle name="計算方式 61" xfId="25609"/>
    <cellStyle name="計算方式 62" xfId="23170"/>
    <cellStyle name="計算方式 63" xfId="28827"/>
    <cellStyle name="計算方式 64" xfId="30613"/>
    <cellStyle name="計算方式 65" xfId="32387"/>
    <cellStyle name="計算方式 66" xfId="34139"/>
    <cellStyle name="計算方式 67" xfId="35846"/>
    <cellStyle name="計算方式 68" xfId="37480"/>
    <cellStyle name="計算方式 69" xfId="39027"/>
    <cellStyle name="計算方式 7" xfId="10518"/>
    <cellStyle name="計算方式 7 10" xfId="40519"/>
    <cellStyle name="計算方式 7 11" xfId="41648"/>
    <cellStyle name="計算方式 7 2" xfId="25610"/>
    <cellStyle name="計算方式 7 3" xfId="28977"/>
    <cellStyle name="計算方式 7 4" xfId="30763"/>
    <cellStyle name="計算方式 7 5" xfId="32536"/>
    <cellStyle name="計算方式 7 6" xfId="34278"/>
    <cellStyle name="計算方式 7 7" xfId="35972"/>
    <cellStyle name="計算方式 7 8" xfId="37595"/>
    <cellStyle name="計算方式 7 9" xfId="39124"/>
    <cellStyle name="計算方式 70" xfId="40440"/>
    <cellStyle name="計算方式 71" xfId="8668"/>
    <cellStyle name="計算方式 72" xfId="7992"/>
    <cellStyle name="計算方式 73" xfId="7960"/>
    <cellStyle name="計算方式 8" xfId="11047"/>
    <cellStyle name="計算方式 8 10" xfId="40520"/>
    <cellStyle name="計算方式 8 11" xfId="41649"/>
    <cellStyle name="計算方式 8 2" xfId="25611"/>
    <cellStyle name="計算方式 8 3" xfId="28978"/>
    <cellStyle name="計算方式 8 4" xfId="30764"/>
    <cellStyle name="計算方式 8 5" xfId="32537"/>
    <cellStyle name="計算方式 8 6" xfId="34279"/>
    <cellStyle name="計算方式 8 7" xfId="35973"/>
    <cellStyle name="計算方式 8 8" xfId="37596"/>
    <cellStyle name="計算方式 8 9" xfId="39125"/>
    <cellStyle name="計算方式 9" xfId="10744"/>
    <cellStyle name="計算方式 9 10" xfId="40521"/>
    <cellStyle name="計算方式 9 11" xfId="41650"/>
    <cellStyle name="計算方式 9 2" xfId="25612"/>
    <cellStyle name="計算方式 9 3" xfId="28979"/>
    <cellStyle name="計算方式 9 4" xfId="30765"/>
    <cellStyle name="計算方式 9 5" xfId="32538"/>
    <cellStyle name="計算方式 9 6" xfId="34280"/>
    <cellStyle name="計算方式 9 7" xfId="35974"/>
    <cellStyle name="計算方式 9 8" xfId="37597"/>
    <cellStyle name="計算方式 9 9" xfId="39126"/>
    <cellStyle name="說明文字 10" xfId="12256"/>
    <cellStyle name="說明文字 10 10" xfId="40522"/>
    <cellStyle name="說明文字 10 11" xfId="41651"/>
    <cellStyle name="說明文字 10 2" xfId="25613"/>
    <cellStyle name="說明文字 10 3" xfId="28980"/>
    <cellStyle name="說明文字 10 4" xfId="30766"/>
    <cellStyle name="說明文字 10 5" xfId="32539"/>
    <cellStyle name="說明文字 10 6" xfId="34281"/>
    <cellStyle name="說明文字 10 7" xfId="35975"/>
    <cellStyle name="說明文字 10 8" xfId="37598"/>
    <cellStyle name="說明文字 10 9" xfId="39127"/>
    <cellStyle name="說明文字 11" xfId="12446"/>
    <cellStyle name="說明文字 11 10" xfId="40523"/>
    <cellStyle name="說明文字 11 11" xfId="41652"/>
    <cellStyle name="說明文字 11 2" xfId="25614"/>
    <cellStyle name="說明文字 11 3" xfId="28981"/>
    <cellStyle name="說明文字 11 4" xfId="30767"/>
    <cellStyle name="說明文字 11 5" xfId="32540"/>
    <cellStyle name="說明文字 11 6" xfId="34282"/>
    <cellStyle name="說明文字 11 7" xfId="35976"/>
    <cellStyle name="說明文字 11 8" xfId="37599"/>
    <cellStyle name="說明文字 11 9" xfId="39128"/>
    <cellStyle name="說明文字 12" xfId="10442"/>
    <cellStyle name="說明文字 12 10" xfId="40524"/>
    <cellStyle name="說明文字 12 11" xfId="41653"/>
    <cellStyle name="說明文字 12 2" xfId="25615"/>
    <cellStyle name="說明文字 12 3" xfId="28982"/>
    <cellStyle name="說明文字 12 4" xfId="30768"/>
    <cellStyle name="說明文字 12 5" xfId="32541"/>
    <cellStyle name="說明文字 12 6" xfId="34283"/>
    <cellStyle name="說明文字 12 7" xfId="35977"/>
    <cellStyle name="說明文字 12 8" xfId="37600"/>
    <cellStyle name="說明文字 12 9" xfId="39129"/>
    <cellStyle name="說明文字 13" xfId="12790"/>
    <cellStyle name="說明文字 13 10" xfId="40525"/>
    <cellStyle name="說明文字 13 11" xfId="41654"/>
    <cellStyle name="說明文字 13 2" xfId="25616"/>
    <cellStyle name="說明文字 13 3" xfId="28983"/>
    <cellStyle name="說明文字 13 4" xfId="30769"/>
    <cellStyle name="說明文字 13 5" xfId="32542"/>
    <cellStyle name="說明文字 13 6" xfId="34284"/>
    <cellStyle name="說明文字 13 7" xfId="35978"/>
    <cellStyle name="說明文字 13 8" xfId="37601"/>
    <cellStyle name="說明文字 13 9" xfId="39130"/>
    <cellStyle name="說明文字 14" xfId="12147"/>
    <cellStyle name="說明文字 14 10" xfId="40526"/>
    <cellStyle name="說明文字 14 11" xfId="41655"/>
    <cellStyle name="說明文字 14 2" xfId="25617"/>
    <cellStyle name="說明文字 14 3" xfId="28984"/>
    <cellStyle name="說明文字 14 4" xfId="30770"/>
    <cellStyle name="說明文字 14 5" xfId="32543"/>
    <cellStyle name="說明文字 14 6" xfId="34285"/>
    <cellStyle name="說明文字 14 7" xfId="35979"/>
    <cellStyle name="說明文字 14 8" xfId="37602"/>
    <cellStyle name="說明文字 14 9" xfId="39131"/>
    <cellStyle name="說明文字 15" xfId="15794"/>
    <cellStyle name="說明文字 15 10" xfId="40527"/>
    <cellStyle name="說明文字 15 11" xfId="41656"/>
    <cellStyle name="說明文字 15 2" xfId="25618"/>
    <cellStyle name="說明文字 15 3" xfId="28985"/>
    <cellStyle name="說明文字 15 4" xfId="30771"/>
    <cellStyle name="說明文字 15 5" xfId="32544"/>
    <cellStyle name="說明文字 15 6" xfId="34286"/>
    <cellStyle name="說明文字 15 7" xfId="35980"/>
    <cellStyle name="說明文字 15 8" xfId="37603"/>
    <cellStyle name="說明文字 15 9" xfId="39132"/>
    <cellStyle name="說明文字 16" xfId="12339"/>
    <cellStyle name="說明文字 16 10" xfId="40528"/>
    <cellStyle name="說明文字 16 11" xfId="41657"/>
    <cellStyle name="說明文字 16 2" xfId="25619"/>
    <cellStyle name="說明文字 16 3" xfId="28986"/>
    <cellStyle name="說明文字 16 4" xfId="30772"/>
    <cellStyle name="說明文字 16 5" xfId="32545"/>
    <cellStyle name="說明文字 16 6" xfId="34287"/>
    <cellStyle name="說明文字 16 7" xfId="35981"/>
    <cellStyle name="說明文字 16 8" xfId="37604"/>
    <cellStyle name="說明文字 16 9" xfId="39133"/>
    <cellStyle name="說明文字 17" xfId="15764"/>
    <cellStyle name="說明文字 17 10" xfId="40529"/>
    <cellStyle name="說明文字 17 11" xfId="41658"/>
    <cellStyle name="說明文字 17 2" xfId="25620"/>
    <cellStyle name="說明文字 17 3" xfId="28987"/>
    <cellStyle name="說明文字 17 4" xfId="30773"/>
    <cellStyle name="說明文字 17 5" xfId="32546"/>
    <cellStyle name="說明文字 17 6" xfId="34288"/>
    <cellStyle name="說明文字 17 7" xfId="35982"/>
    <cellStyle name="說明文字 17 8" xfId="37605"/>
    <cellStyle name="說明文字 17 9" xfId="39134"/>
    <cellStyle name="說明文字 18" xfId="15820"/>
    <cellStyle name="說明文字 18 10" xfId="40530"/>
    <cellStyle name="說明文字 18 11" xfId="41659"/>
    <cellStyle name="說明文字 18 2" xfId="25621"/>
    <cellStyle name="說明文字 18 3" xfId="28988"/>
    <cellStyle name="說明文字 18 4" xfId="30774"/>
    <cellStyle name="說明文字 18 5" xfId="32547"/>
    <cellStyle name="說明文字 18 6" xfId="34289"/>
    <cellStyle name="說明文字 18 7" xfId="35983"/>
    <cellStyle name="說明文字 18 8" xfId="37606"/>
    <cellStyle name="說明文字 18 9" xfId="39135"/>
    <cellStyle name="說明文字 19" xfId="10977"/>
    <cellStyle name="說明文字 19 10" xfId="40531"/>
    <cellStyle name="說明文字 19 11" xfId="41660"/>
    <cellStyle name="說明文字 19 2" xfId="25622"/>
    <cellStyle name="說明文字 19 3" xfId="28989"/>
    <cellStyle name="說明文字 19 4" xfId="30775"/>
    <cellStyle name="說明文字 19 5" xfId="32548"/>
    <cellStyle name="說明文字 19 6" xfId="34290"/>
    <cellStyle name="說明文字 19 7" xfId="35984"/>
    <cellStyle name="說明文字 19 8" xfId="37607"/>
    <cellStyle name="說明文字 19 9" xfId="39136"/>
    <cellStyle name="說明文字 2" xfId="8594"/>
    <cellStyle name="說明文字 2 10" xfId="40532"/>
    <cellStyle name="說明文字 2 11" xfId="41661"/>
    <cellStyle name="說明文字 2 12" xfId="9173"/>
    <cellStyle name="說明文字 2 2" xfId="9526"/>
    <cellStyle name="說明文字 2 2 2" xfId="25623"/>
    <cellStyle name="說明文字 2 3" xfId="28990"/>
    <cellStyle name="說明文字 2 4" xfId="30776"/>
    <cellStyle name="說明文字 2 5" xfId="32549"/>
    <cellStyle name="說明文字 2 6" xfId="34291"/>
    <cellStyle name="說明文字 2 7" xfId="35985"/>
    <cellStyle name="說明文字 2 8" xfId="37608"/>
    <cellStyle name="說明文字 2 9" xfId="39137"/>
    <cellStyle name="說明文字 20" xfId="12320"/>
    <cellStyle name="說明文字 20 10" xfId="40533"/>
    <cellStyle name="說明文字 20 11" xfId="41662"/>
    <cellStyle name="說明文字 20 2" xfId="25624"/>
    <cellStyle name="說明文字 20 3" xfId="28991"/>
    <cellStyle name="說明文字 20 4" xfId="30777"/>
    <cellStyle name="說明文字 20 5" xfId="32550"/>
    <cellStyle name="說明文字 20 6" xfId="34292"/>
    <cellStyle name="說明文字 20 7" xfId="35986"/>
    <cellStyle name="說明文字 20 8" xfId="37609"/>
    <cellStyle name="說明文字 20 9" xfId="39138"/>
    <cellStyle name="說明文字 21" xfId="21160"/>
    <cellStyle name="說明文字 21 10" xfId="40534"/>
    <cellStyle name="說明文字 21 11" xfId="41663"/>
    <cellStyle name="說明文字 21 2" xfId="25625"/>
    <cellStyle name="說明文字 21 3" xfId="28992"/>
    <cellStyle name="說明文字 21 4" xfId="30778"/>
    <cellStyle name="說明文字 21 5" xfId="32551"/>
    <cellStyle name="說明文字 21 6" xfId="34293"/>
    <cellStyle name="說明文字 21 7" xfId="35987"/>
    <cellStyle name="說明文字 21 8" xfId="37610"/>
    <cellStyle name="說明文字 21 9" xfId="39139"/>
    <cellStyle name="說明文字 22" xfId="12041"/>
    <cellStyle name="說明文字 22 10" xfId="40535"/>
    <cellStyle name="說明文字 22 11" xfId="41664"/>
    <cellStyle name="說明文字 22 2" xfId="25626"/>
    <cellStyle name="說明文字 22 3" xfId="28993"/>
    <cellStyle name="說明文字 22 4" xfId="30779"/>
    <cellStyle name="說明文字 22 5" xfId="32552"/>
    <cellStyle name="說明文字 22 6" xfId="34294"/>
    <cellStyle name="說明文字 22 7" xfId="35988"/>
    <cellStyle name="說明文字 22 8" xfId="37611"/>
    <cellStyle name="說明文字 22 9" xfId="39140"/>
    <cellStyle name="說明文字 23" xfId="22951"/>
    <cellStyle name="說明文字 23 10" xfId="40536"/>
    <cellStyle name="說明文字 23 11" xfId="41665"/>
    <cellStyle name="說明文字 23 2" xfId="25627"/>
    <cellStyle name="說明文字 23 3" xfId="28994"/>
    <cellStyle name="說明文字 23 4" xfId="30780"/>
    <cellStyle name="說明文字 23 5" xfId="32553"/>
    <cellStyle name="說明文字 23 6" xfId="34295"/>
    <cellStyle name="說明文字 23 7" xfId="35989"/>
    <cellStyle name="說明文字 23 8" xfId="37612"/>
    <cellStyle name="說明文字 23 9" xfId="39141"/>
    <cellStyle name="說明文字 24" xfId="25628"/>
    <cellStyle name="說明文字 25" xfId="25629"/>
    <cellStyle name="說明文字 26" xfId="25630"/>
    <cellStyle name="說明文字 27" xfId="25631"/>
    <cellStyle name="說明文字 28" xfId="25632"/>
    <cellStyle name="說明文字 29" xfId="25633"/>
    <cellStyle name="說明文字 3" xfId="9215"/>
    <cellStyle name="說明文字 3 10" xfId="40537"/>
    <cellStyle name="說明文字 3 11" xfId="41666"/>
    <cellStyle name="說明文字 3 2" xfId="10269"/>
    <cellStyle name="說明文字 3 2 2" xfId="25634"/>
    <cellStyle name="說明文字 3 3" xfId="29001"/>
    <cellStyle name="說明文字 3 4" xfId="30786"/>
    <cellStyle name="說明文字 3 5" xfId="32559"/>
    <cellStyle name="說明文字 3 6" xfId="34301"/>
    <cellStyle name="說明文字 3 7" xfId="35993"/>
    <cellStyle name="說明文字 3 8" xfId="37616"/>
    <cellStyle name="說明文字 3 9" xfId="39145"/>
    <cellStyle name="說明文字 30" xfId="25635"/>
    <cellStyle name="說明文字 31" xfId="25636"/>
    <cellStyle name="說明文字 32" xfId="25637"/>
    <cellStyle name="說明文字 33" xfId="25638"/>
    <cellStyle name="說明文字 34" xfId="25639"/>
    <cellStyle name="說明文字 35" xfId="25640"/>
    <cellStyle name="說明文字 36" xfId="25641"/>
    <cellStyle name="說明文字 37" xfId="25642"/>
    <cellStyle name="說明文字 38" xfId="25643"/>
    <cellStyle name="說明文字 39" xfId="25644"/>
    <cellStyle name="說明文字 4" xfId="11144"/>
    <cellStyle name="說明文字 4 10" xfId="40538"/>
    <cellStyle name="說明文字 4 11" xfId="41667"/>
    <cellStyle name="說明文字 4 2" xfId="25645"/>
    <cellStyle name="說明文字 4 3" xfId="29012"/>
    <cellStyle name="說明文字 4 4" xfId="30797"/>
    <cellStyle name="說明文字 4 5" xfId="32570"/>
    <cellStyle name="說明文字 4 6" xfId="34312"/>
    <cellStyle name="說明文字 4 7" xfId="36002"/>
    <cellStyle name="說明文字 4 8" xfId="37623"/>
    <cellStyle name="說明文字 4 9" xfId="39148"/>
    <cellStyle name="說明文字 40" xfId="25646"/>
    <cellStyle name="說明文字 41" xfId="25647"/>
    <cellStyle name="說明文字 42" xfId="25648"/>
    <cellStyle name="說明文字 43" xfId="25649"/>
    <cellStyle name="說明文字 44" xfId="25650"/>
    <cellStyle name="說明文字 45" xfId="25651"/>
    <cellStyle name="說明文字 46" xfId="25652"/>
    <cellStyle name="說明文字 47" xfId="25653"/>
    <cellStyle name="說明文字 48" xfId="25654"/>
    <cellStyle name="說明文字 49" xfId="25655"/>
    <cellStyle name="說明文字 5" xfId="11338"/>
    <cellStyle name="說明文字 5 10" xfId="40539"/>
    <cellStyle name="說明文字 5 11" xfId="41668"/>
    <cellStyle name="說明文字 5 2" xfId="25656"/>
    <cellStyle name="說明文字 5 3" xfId="29023"/>
    <cellStyle name="說明文字 5 4" xfId="30808"/>
    <cellStyle name="說明文字 5 5" xfId="32581"/>
    <cellStyle name="說明文字 5 6" xfId="34323"/>
    <cellStyle name="說明文字 5 7" xfId="36013"/>
    <cellStyle name="說明文字 5 8" xfId="37632"/>
    <cellStyle name="說明文字 5 9" xfId="39155"/>
    <cellStyle name="說明文字 50" xfId="25657"/>
    <cellStyle name="說明文字 51" xfId="25658"/>
    <cellStyle name="說明文字 52" xfId="25659"/>
    <cellStyle name="說明文字 53" xfId="25660"/>
    <cellStyle name="說明文字 54" xfId="25661"/>
    <cellStyle name="說明文字 55" xfId="25662"/>
    <cellStyle name="說明文字 56" xfId="25663"/>
    <cellStyle name="說明文字 57" xfId="25664"/>
    <cellStyle name="說明文字 58" xfId="25665"/>
    <cellStyle name="說明文字 59" xfId="25666"/>
    <cellStyle name="說明文字 6" xfId="11531"/>
    <cellStyle name="說明文字 6 10" xfId="40540"/>
    <cellStyle name="說明文字 6 11" xfId="41669"/>
    <cellStyle name="說明文字 6 2" xfId="25667"/>
    <cellStyle name="說明文字 6 3" xfId="29033"/>
    <cellStyle name="說明文字 6 4" xfId="30818"/>
    <cellStyle name="說明文字 6 5" xfId="32591"/>
    <cellStyle name="說明文字 6 6" xfId="34333"/>
    <cellStyle name="說明文字 6 7" xfId="36023"/>
    <cellStyle name="說明文字 6 8" xfId="37641"/>
    <cellStyle name="說明文字 6 9" xfId="39160"/>
    <cellStyle name="說明文字 60" xfId="25668"/>
    <cellStyle name="說明文字 61" xfId="25669"/>
    <cellStyle name="說明文字 62" xfId="24852"/>
    <cellStyle name="說明文字 63" xfId="28823"/>
    <cellStyle name="說明文字 64" xfId="30609"/>
    <cellStyle name="說明文字 65" xfId="32383"/>
    <cellStyle name="說明文字 66" xfId="34135"/>
    <cellStyle name="說明文字 67" xfId="35842"/>
    <cellStyle name="說明文字 68" xfId="37477"/>
    <cellStyle name="說明文字 69" xfId="39024"/>
    <cellStyle name="說明文字 7" xfId="11710"/>
    <cellStyle name="說明文字 7 10" xfId="40541"/>
    <cellStyle name="說明文字 7 11" xfId="41670"/>
    <cellStyle name="說明文字 7 2" xfId="25670"/>
    <cellStyle name="說明文字 7 3" xfId="29035"/>
    <cellStyle name="說明文字 7 4" xfId="30820"/>
    <cellStyle name="說明文字 7 5" xfId="32593"/>
    <cellStyle name="說明文字 7 6" xfId="34335"/>
    <cellStyle name="說明文字 7 7" xfId="36025"/>
    <cellStyle name="說明文字 7 8" xfId="37643"/>
    <cellStyle name="說明文字 7 9" xfId="39161"/>
    <cellStyle name="說明文字 70" xfId="40437"/>
    <cellStyle name="說明文字 71" xfId="7997"/>
    <cellStyle name="說明文字 72" xfId="7964"/>
    <cellStyle name="說明文字 8" xfId="11895"/>
    <cellStyle name="說明文字 8 10" xfId="40542"/>
    <cellStyle name="說明文字 8 11" xfId="41671"/>
    <cellStyle name="說明文字 8 2" xfId="25671"/>
    <cellStyle name="說明文字 8 3" xfId="29036"/>
    <cellStyle name="說明文字 8 4" xfId="30821"/>
    <cellStyle name="說明文字 8 5" xfId="32594"/>
    <cellStyle name="說明文字 8 6" xfId="34336"/>
    <cellStyle name="說明文字 8 7" xfId="36026"/>
    <cellStyle name="說明文字 8 8" xfId="37644"/>
    <cellStyle name="說明文字 8 9" xfId="39162"/>
    <cellStyle name="說明文字 9" xfId="12081"/>
    <cellStyle name="說明文字 9 10" xfId="40543"/>
    <cellStyle name="說明文字 9 11" xfId="41672"/>
    <cellStyle name="說明文字 9 2" xfId="25672"/>
    <cellStyle name="說明文字 9 3" xfId="29037"/>
    <cellStyle name="說明文字 9 4" xfId="30822"/>
    <cellStyle name="說明文字 9 5" xfId="32595"/>
    <cellStyle name="說明文字 9 6" xfId="34337"/>
    <cellStyle name="說明文字 9 7" xfId="36027"/>
    <cellStyle name="說明文字 9 8" xfId="37645"/>
    <cellStyle name="說明文字 9 9" xfId="39163"/>
    <cellStyle name="警告文字 10" xfId="12112"/>
    <cellStyle name="警告文字 10 10" xfId="40544"/>
    <cellStyle name="警告文字 10 11" xfId="41673"/>
    <cellStyle name="警告文字 10 2" xfId="25673"/>
    <cellStyle name="警告文字 10 3" xfId="29038"/>
    <cellStyle name="警告文字 10 4" xfId="30823"/>
    <cellStyle name="警告文字 10 5" xfId="32596"/>
    <cellStyle name="警告文字 10 6" xfId="34338"/>
    <cellStyle name="警告文字 10 7" xfId="36028"/>
    <cellStyle name="警告文字 10 8" xfId="37646"/>
    <cellStyle name="警告文字 10 9" xfId="39164"/>
    <cellStyle name="警告文字 11" xfId="12231"/>
    <cellStyle name="警告文字 11 10" xfId="40545"/>
    <cellStyle name="警告文字 11 11" xfId="41674"/>
    <cellStyle name="警告文字 11 2" xfId="25674"/>
    <cellStyle name="警告文字 11 3" xfId="29039"/>
    <cellStyle name="警告文字 11 4" xfId="30824"/>
    <cellStyle name="警告文字 11 5" xfId="32597"/>
    <cellStyle name="警告文字 11 6" xfId="34339"/>
    <cellStyle name="警告文字 11 7" xfId="36029"/>
    <cellStyle name="警告文字 11 8" xfId="37647"/>
    <cellStyle name="警告文字 11 9" xfId="39165"/>
    <cellStyle name="警告文字 12" xfId="11946"/>
    <cellStyle name="警告文字 12 10" xfId="40546"/>
    <cellStyle name="警告文字 12 11" xfId="41675"/>
    <cellStyle name="警告文字 12 2" xfId="25675"/>
    <cellStyle name="警告文字 12 3" xfId="29040"/>
    <cellStyle name="警告文字 12 4" xfId="30825"/>
    <cellStyle name="警告文字 12 5" xfId="32598"/>
    <cellStyle name="警告文字 12 6" xfId="34340"/>
    <cellStyle name="警告文字 12 7" xfId="36030"/>
    <cellStyle name="警告文字 12 8" xfId="37648"/>
    <cellStyle name="警告文字 12 9" xfId="39166"/>
    <cellStyle name="警告文字 13" xfId="10774"/>
    <cellStyle name="警告文字 13 10" xfId="40547"/>
    <cellStyle name="警告文字 13 11" xfId="41676"/>
    <cellStyle name="警告文字 13 2" xfId="25676"/>
    <cellStyle name="警告文字 13 3" xfId="29041"/>
    <cellStyle name="警告文字 13 4" xfId="30826"/>
    <cellStyle name="警告文字 13 5" xfId="32599"/>
    <cellStyle name="警告文字 13 6" xfId="34341"/>
    <cellStyle name="警告文字 13 7" xfId="36031"/>
    <cellStyle name="警告文字 13 8" xfId="37649"/>
    <cellStyle name="警告文字 13 9" xfId="39167"/>
    <cellStyle name="警告文字 14" xfId="14866"/>
    <cellStyle name="警告文字 14 10" xfId="40548"/>
    <cellStyle name="警告文字 14 11" xfId="41677"/>
    <cellStyle name="警告文字 14 2" xfId="25677"/>
    <cellStyle name="警告文字 14 3" xfId="29042"/>
    <cellStyle name="警告文字 14 4" xfId="30827"/>
    <cellStyle name="警告文字 14 5" xfId="32600"/>
    <cellStyle name="警告文字 14 6" xfId="34342"/>
    <cellStyle name="警告文字 14 7" xfId="36032"/>
    <cellStyle name="警告文字 14 8" xfId="37650"/>
    <cellStyle name="警告文字 14 9" xfId="39168"/>
    <cellStyle name="警告文字 15" xfId="12162"/>
    <cellStyle name="警告文字 15 10" xfId="40549"/>
    <cellStyle name="警告文字 15 11" xfId="41678"/>
    <cellStyle name="警告文字 15 2" xfId="25678"/>
    <cellStyle name="警告文字 15 3" xfId="29043"/>
    <cellStyle name="警告文字 15 4" xfId="30828"/>
    <cellStyle name="警告文字 15 5" xfId="32601"/>
    <cellStyle name="警告文字 15 6" xfId="34343"/>
    <cellStyle name="警告文字 15 7" xfId="36033"/>
    <cellStyle name="警告文字 15 8" xfId="37651"/>
    <cellStyle name="警告文字 15 9" xfId="39169"/>
    <cellStyle name="警告文字 16" xfId="16761"/>
    <cellStyle name="警告文字 16 10" xfId="40550"/>
    <cellStyle name="警告文字 16 11" xfId="41679"/>
    <cellStyle name="警告文字 16 2" xfId="25679"/>
    <cellStyle name="警告文字 16 3" xfId="29044"/>
    <cellStyle name="警告文字 16 4" xfId="30829"/>
    <cellStyle name="警告文字 16 5" xfId="32602"/>
    <cellStyle name="警告文字 16 6" xfId="34344"/>
    <cellStyle name="警告文字 16 7" xfId="36034"/>
    <cellStyle name="警告文字 16 8" xfId="37652"/>
    <cellStyle name="警告文字 16 9" xfId="39170"/>
    <cellStyle name="警告文字 17" xfId="17671"/>
    <cellStyle name="警告文字 17 10" xfId="40551"/>
    <cellStyle name="警告文字 17 11" xfId="41680"/>
    <cellStyle name="警告文字 17 2" xfId="25680"/>
    <cellStyle name="警告文字 17 3" xfId="29045"/>
    <cellStyle name="警告文字 17 4" xfId="30830"/>
    <cellStyle name="警告文字 17 5" xfId="32603"/>
    <cellStyle name="警告文字 17 6" xfId="34345"/>
    <cellStyle name="警告文字 17 7" xfId="36035"/>
    <cellStyle name="警告文字 17 8" xfId="37653"/>
    <cellStyle name="警告文字 17 9" xfId="39171"/>
    <cellStyle name="警告文字 18" xfId="18572"/>
    <cellStyle name="警告文字 18 10" xfId="40552"/>
    <cellStyle name="警告文字 18 11" xfId="41681"/>
    <cellStyle name="警告文字 18 2" xfId="25681"/>
    <cellStyle name="警告文字 18 3" xfId="29046"/>
    <cellStyle name="警告文字 18 4" xfId="30831"/>
    <cellStyle name="警告文字 18 5" xfId="32604"/>
    <cellStyle name="警告文字 18 6" xfId="34346"/>
    <cellStyle name="警告文字 18 7" xfId="36036"/>
    <cellStyle name="警告文字 18 8" xfId="37654"/>
    <cellStyle name="警告文字 18 9" xfId="39172"/>
    <cellStyle name="警告文字 19" xfId="19450"/>
    <cellStyle name="警告文字 19 10" xfId="40553"/>
    <cellStyle name="警告文字 19 11" xfId="41682"/>
    <cellStyle name="警告文字 19 2" xfId="25682"/>
    <cellStyle name="警告文字 19 3" xfId="29047"/>
    <cellStyle name="警告文字 19 4" xfId="30832"/>
    <cellStyle name="警告文字 19 5" xfId="32605"/>
    <cellStyle name="警告文字 19 6" xfId="34347"/>
    <cellStyle name="警告文字 19 7" xfId="36037"/>
    <cellStyle name="警告文字 19 8" xfId="37655"/>
    <cellStyle name="警告文字 19 9" xfId="39173"/>
    <cellStyle name="警告文字 2" xfId="8610"/>
    <cellStyle name="警告文字 2 10" xfId="40554"/>
    <cellStyle name="警告文字 2 11" xfId="41683"/>
    <cellStyle name="警告文字 2 12" xfId="9171"/>
    <cellStyle name="警告文字 2 2" xfId="9542"/>
    <cellStyle name="警告文字 2 2 2" xfId="25683"/>
    <cellStyle name="警告文字 2 3" xfId="29048"/>
    <cellStyle name="警告文字 2 4" xfId="30833"/>
    <cellStyle name="警告文字 2 5" xfId="32606"/>
    <cellStyle name="警告文字 2 6" xfId="34348"/>
    <cellStyle name="警告文字 2 7" xfId="36038"/>
    <cellStyle name="警告文字 2 8" xfId="37656"/>
    <cellStyle name="警告文字 2 9" xfId="39174"/>
    <cellStyle name="警告文字 20" xfId="20288"/>
    <cellStyle name="警告文字 20 10" xfId="40555"/>
    <cellStyle name="警告文字 20 11" xfId="41684"/>
    <cellStyle name="警告文字 20 2" xfId="25684"/>
    <cellStyle name="警告文字 20 3" xfId="29049"/>
    <cellStyle name="警告文字 20 4" xfId="30834"/>
    <cellStyle name="警告文字 20 5" xfId="32607"/>
    <cellStyle name="警告文字 20 6" xfId="34349"/>
    <cellStyle name="警告文字 20 7" xfId="36039"/>
    <cellStyle name="警告文字 20 8" xfId="37657"/>
    <cellStyle name="警告文字 20 9" xfId="39175"/>
    <cellStyle name="警告文字 21" xfId="20373"/>
    <cellStyle name="警告文字 21 10" xfId="40556"/>
    <cellStyle name="警告文字 21 11" xfId="41685"/>
    <cellStyle name="警告文字 21 2" xfId="25685"/>
    <cellStyle name="警告文字 21 3" xfId="29050"/>
    <cellStyle name="警告文字 21 4" xfId="30835"/>
    <cellStyle name="警告文字 21 5" xfId="32608"/>
    <cellStyle name="警告文字 21 6" xfId="34350"/>
    <cellStyle name="警告文字 21 7" xfId="36040"/>
    <cellStyle name="警告文字 21 8" xfId="37658"/>
    <cellStyle name="警告文字 21 9" xfId="39176"/>
    <cellStyle name="警告文字 22" xfId="21975"/>
    <cellStyle name="警告文字 22 10" xfId="40557"/>
    <cellStyle name="警告文字 22 11" xfId="41686"/>
    <cellStyle name="警告文字 22 2" xfId="25686"/>
    <cellStyle name="警告文字 22 3" xfId="29051"/>
    <cellStyle name="警告文字 22 4" xfId="30836"/>
    <cellStyle name="警告文字 22 5" xfId="32609"/>
    <cellStyle name="警告文字 22 6" xfId="34351"/>
    <cellStyle name="警告文字 22 7" xfId="36041"/>
    <cellStyle name="警告文字 22 8" xfId="37659"/>
    <cellStyle name="警告文字 22 9" xfId="39177"/>
    <cellStyle name="警告文字 23" xfId="22967"/>
    <cellStyle name="警告文字 23 10" xfId="40558"/>
    <cellStyle name="警告文字 23 11" xfId="41687"/>
    <cellStyle name="警告文字 23 2" xfId="25687"/>
    <cellStyle name="警告文字 23 3" xfId="29052"/>
    <cellStyle name="警告文字 23 4" xfId="30837"/>
    <cellStyle name="警告文字 23 5" xfId="32610"/>
    <cellStyle name="警告文字 23 6" xfId="34352"/>
    <cellStyle name="警告文字 23 7" xfId="36042"/>
    <cellStyle name="警告文字 23 8" xfId="37660"/>
    <cellStyle name="警告文字 23 9" xfId="39178"/>
    <cellStyle name="警告文字 24" xfId="25688"/>
    <cellStyle name="警告文字 25" xfId="25689"/>
    <cellStyle name="警告文字 26" xfId="25690"/>
    <cellStyle name="警告文字 27" xfId="25691"/>
    <cellStyle name="警告文字 28" xfId="25692"/>
    <cellStyle name="警告文字 29" xfId="25693"/>
    <cellStyle name="警告文字 3" xfId="9213"/>
    <cellStyle name="警告文字 3 10" xfId="40565"/>
    <cellStyle name="警告文字 3 11" xfId="41688"/>
    <cellStyle name="警告文字 3 2" xfId="10285"/>
    <cellStyle name="警告文字 3 2 2" xfId="25694"/>
    <cellStyle name="警告文字 3 3" xfId="29059"/>
    <cellStyle name="警告文字 3 4" xfId="30844"/>
    <cellStyle name="警告文字 3 5" xfId="32617"/>
    <cellStyle name="警告文字 3 6" xfId="34359"/>
    <cellStyle name="警告文字 3 7" xfId="36049"/>
    <cellStyle name="警告文字 3 8" xfId="37667"/>
    <cellStyle name="警告文字 3 9" xfId="39185"/>
    <cellStyle name="警告文字 30" xfId="25695"/>
    <cellStyle name="警告文字 31" xfId="25696"/>
    <cellStyle name="警告文字 32" xfId="25697"/>
    <cellStyle name="警告文字 33" xfId="25698"/>
    <cellStyle name="警告文字 34" xfId="25699"/>
    <cellStyle name="警告文字 35" xfId="25700"/>
    <cellStyle name="警告文字 36" xfId="25701"/>
    <cellStyle name="警告文字 37" xfId="25702"/>
    <cellStyle name="警告文字 38" xfId="25703"/>
    <cellStyle name="警告文字 39" xfId="25704"/>
    <cellStyle name="警告文字 4" xfId="10849"/>
    <cellStyle name="警告文字 4 10" xfId="40571"/>
    <cellStyle name="警告文字 4 11" xfId="41689"/>
    <cellStyle name="警告文字 4 2" xfId="25705"/>
    <cellStyle name="警告文字 4 3" xfId="29070"/>
    <cellStyle name="警告文字 4 4" xfId="30855"/>
    <cellStyle name="警告文字 4 5" xfId="32628"/>
    <cellStyle name="警告文字 4 6" xfId="34369"/>
    <cellStyle name="警告文字 4 7" xfId="36057"/>
    <cellStyle name="警告文字 4 8" xfId="37674"/>
    <cellStyle name="警告文字 4 9" xfId="39192"/>
    <cellStyle name="警告文字 40" xfId="25706"/>
    <cellStyle name="警告文字 41" xfId="25707"/>
    <cellStyle name="警告文字 42" xfId="25708"/>
    <cellStyle name="警告文字 43" xfId="25709"/>
    <cellStyle name="警告文字 44" xfId="25710"/>
    <cellStyle name="警告文字 45" xfId="25711"/>
    <cellStyle name="警告文字 46" xfId="25712"/>
    <cellStyle name="警告文字 47" xfId="25713"/>
    <cellStyle name="警告文字 48" xfId="25714"/>
    <cellStyle name="警告文字 49" xfId="25715"/>
    <cellStyle name="警告文字 5" xfId="11119"/>
    <cellStyle name="警告文字 5 10" xfId="40578"/>
    <cellStyle name="警告文字 5 11" xfId="41690"/>
    <cellStyle name="警告文字 5 2" xfId="25716"/>
    <cellStyle name="警告文字 5 3" xfId="29078"/>
    <cellStyle name="警告文字 5 4" xfId="30863"/>
    <cellStyle name="警告文字 5 5" xfId="32635"/>
    <cellStyle name="警告文字 5 6" xfId="34376"/>
    <cellStyle name="警告文字 5 7" xfId="36064"/>
    <cellStyle name="警告文字 5 8" xfId="37681"/>
    <cellStyle name="警告文字 5 9" xfId="39199"/>
    <cellStyle name="警告文字 50" xfId="25717"/>
    <cellStyle name="警告文字 51" xfId="25718"/>
    <cellStyle name="警告文字 52" xfId="25719"/>
    <cellStyle name="警告文字 53" xfId="25720"/>
    <cellStyle name="警告文字 54" xfId="25721"/>
    <cellStyle name="警告文字 55" xfId="25722"/>
    <cellStyle name="警告文字 56" xfId="25723"/>
    <cellStyle name="警告文字 57" xfId="25724"/>
    <cellStyle name="警告文字 58" xfId="25725"/>
    <cellStyle name="警告文字 59" xfId="25726"/>
    <cellStyle name="警告文字 6" xfId="11313"/>
    <cellStyle name="警告文字 6 10" xfId="40579"/>
    <cellStyle name="警告文字 6 11" xfId="41691"/>
    <cellStyle name="警告文字 6 2" xfId="25727"/>
    <cellStyle name="警告文字 6 3" xfId="29089"/>
    <cellStyle name="警告文字 6 4" xfId="30874"/>
    <cellStyle name="警告文字 6 5" xfId="32645"/>
    <cellStyle name="警告文字 6 6" xfId="34385"/>
    <cellStyle name="警告文字 6 7" xfId="36073"/>
    <cellStyle name="警告文字 6 8" xfId="37687"/>
    <cellStyle name="警告文字 6 9" xfId="39201"/>
    <cellStyle name="警告文字 60" xfId="25728"/>
    <cellStyle name="警告文字 61" xfId="25729"/>
    <cellStyle name="警告文字 62" xfId="23492"/>
    <cellStyle name="警告文字 63" xfId="28805"/>
    <cellStyle name="警告文字 64" xfId="30591"/>
    <cellStyle name="警告文字 65" xfId="32365"/>
    <cellStyle name="警告文字 66" xfId="34117"/>
    <cellStyle name="警告文字 67" xfId="35824"/>
    <cellStyle name="警告文字 68" xfId="37459"/>
    <cellStyle name="警告文字 69" xfId="39006"/>
    <cellStyle name="警告文字 7" xfId="11505"/>
    <cellStyle name="警告文字 7 10" xfId="40580"/>
    <cellStyle name="警告文字 7 11" xfId="41692"/>
    <cellStyle name="警告文字 7 2" xfId="25730"/>
    <cellStyle name="警告文字 7 3" xfId="29092"/>
    <cellStyle name="警告文字 7 4" xfId="30877"/>
    <cellStyle name="警告文字 7 5" xfId="32648"/>
    <cellStyle name="警告文字 7 6" xfId="34388"/>
    <cellStyle name="警告文字 7 7" xfId="36075"/>
    <cellStyle name="警告文字 7 8" xfId="37689"/>
    <cellStyle name="警告文字 7 9" xfId="39203"/>
    <cellStyle name="警告文字 70" xfId="40419"/>
    <cellStyle name="警告文字 71" xfId="7995"/>
    <cellStyle name="警告文字 72" xfId="7980"/>
    <cellStyle name="警告文字 8" xfId="11688"/>
    <cellStyle name="警告文字 8 10" xfId="40581"/>
    <cellStyle name="警告文字 8 11" xfId="41693"/>
    <cellStyle name="警告文字 8 2" xfId="25731"/>
    <cellStyle name="警告文字 8 3" xfId="29093"/>
    <cellStyle name="警告文字 8 4" xfId="30878"/>
    <cellStyle name="警告文字 8 5" xfId="32649"/>
    <cellStyle name="警告文字 8 6" xfId="34389"/>
    <cellStyle name="警告文字 8 7" xfId="36076"/>
    <cellStyle name="警告文字 8 8" xfId="37690"/>
    <cellStyle name="警告文字 8 9" xfId="39204"/>
    <cellStyle name="警告文字 9" xfId="11869"/>
    <cellStyle name="警告文字 9 10" xfId="40582"/>
    <cellStyle name="警告文字 9 11" xfId="41694"/>
    <cellStyle name="警告文字 9 2" xfId="25732"/>
    <cellStyle name="警告文字 9 3" xfId="29094"/>
    <cellStyle name="警告文字 9 4" xfId="30879"/>
    <cellStyle name="警告文字 9 5" xfId="32650"/>
    <cellStyle name="警告文字 9 6" xfId="34390"/>
    <cellStyle name="警告文字 9 7" xfId="36077"/>
    <cellStyle name="警告文字 9 8" xfId="37691"/>
    <cellStyle name="警告文字 9 9" xfId="39205"/>
    <cellStyle name="警告文本 10" xfId="8380"/>
    <cellStyle name="警告文本 11" xfId="8422"/>
    <cellStyle name="警告文本 12" xfId="8464"/>
    <cellStyle name="警告文本 13" xfId="8506"/>
    <cellStyle name="警告文本 14" xfId="8548"/>
    <cellStyle name="警告文本 15" xfId="43233"/>
    <cellStyle name="警告文本 16" xfId="43275"/>
    <cellStyle name="警告文本 2" xfId="8045"/>
    <cellStyle name="警告文本 3" xfId="8087"/>
    <cellStyle name="警告文本 4" xfId="8129"/>
    <cellStyle name="警告文本 5" xfId="8171"/>
    <cellStyle name="警告文本 6" xfId="8212"/>
    <cellStyle name="警告文本 7" xfId="8254"/>
    <cellStyle name="警告文本 8" xfId="8296"/>
    <cellStyle name="警告文本 9" xfId="8338"/>
    <cellStyle name="计算 10" xfId="8377"/>
    <cellStyle name="计算 11" xfId="8419"/>
    <cellStyle name="计算 12" xfId="8461"/>
    <cellStyle name="计算 13" xfId="8503"/>
    <cellStyle name="计算 14" xfId="8545"/>
    <cellStyle name="计算 15" xfId="43230"/>
    <cellStyle name="计算 16" xfId="43272"/>
    <cellStyle name="计算 2" xfId="8042"/>
    <cellStyle name="计算 3" xfId="8084"/>
    <cellStyle name="计算 4" xfId="8126"/>
    <cellStyle name="计算 5" xfId="8168"/>
    <cellStyle name="计算 6" xfId="8209"/>
    <cellStyle name="计算 7" xfId="8251"/>
    <cellStyle name="计算 8" xfId="8293"/>
    <cellStyle name="计算 9" xfId="8335"/>
    <cellStyle name="貨幣 [0]_PLDT" xfId="3933"/>
    <cellStyle name="貨幣 2" xfId="8591"/>
    <cellStyle name="貨幣 3" xfId="7961"/>
    <cellStyle name="貨幣_PLDT" xfId="3934"/>
    <cellStyle name="货币 5" xfId="7936"/>
    <cellStyle name="超連結_Sheet1" xfId="3935"/>
    <cellStyle name="輔色1 10" xfId="10811"/>
    <cellStyle name="輔色1 10 10" xfId="40583"/>
    <cellStyle name="輔色1 10 11" xfId="41695"/>
    <cellStyle name="輔色1 10 2" xfId="25733"/>
    <cellStyle name="輔色1 10 3" xfId="29095"/>
    <cellStyle name="輔色1 10 4" xfId="30880"/>
    <cellStyle name="輔色1 10 5" xfId="32651"/>
    <cellStyle name="輔色1 10 6" xfId="34391"/>
    <cellStyle name="輔色1 10 7" xfId="36078"/>
    <cellStyle name="輔色1 10 8" xfId="37692"/>
    <cellStyle name="輔色1 10 9" xfId="39206"/>
    <cellStyle name="輔色1 11" xfId="12379"/>
    <cellStyle name="輔色1 11 10" xfId="40584"/>
    <cellStyle name="輔色1 11 11" xfId="41696"/>
    <cellStyle name="輔色1 11 2" xfId="25734"/>
    <cellStyle name="輔色1 11 3" xfId="29096"/>
    <cellStyle name="輔色1 11 4" xfId="30881"/>
    <cellStyle name="輔色1 11 5" xfId="32652"/>
    <cellStyle name="輔色1 11 6" xfId="34392"/>
    <cellStyle name="輔色1 11 7" xfId="36079"/>
    <cellStyle name="輔色1 11 8" xfId="37693"/>
    <cellStyle name="輔色1 11 9" xfId="39207"/>
    <cellStyle name="輔色1 12" xfId="12020"/>
    <cellStyle name="輔色1 12 10" xfId="40585"/>
    <cellStyle name="輔色1 12 11" xfId="41697"/>
    <cellStyle name="輔色1 12 2" xfId="25735"/>
    <cellStyle name="輔色1 12 3" xfId="29097"/>
    <cellStyle name="輔色1 12 4" xfId="30882"/>
    <cellStyle name="輔色1 12 5" xfId="32653"/>
    <cellStyle name="輔色1 12 6" xfId="34393"/>
    <cellStyle name="輔色1 12 7" xfId="36080"/>
    <cellStyle name="輔色1 12 8" xfId="37694"/>
    <cellStyle name="輔色1 12 9" xfId="39208"/>
    <cellStyle name="輔色1 13" xfId="12257"/>
    <cellStyle name="輔色1 13 10" xfId="40586"/>
    <cellStyle name="輔色1 13 11" xfId="41698"/>
    <cellStyle name="輔色1 13 2" xfId="25736"/>
    <cellStyle name="輔色1 13 3" xfId="29098"/>
    <cellStyle name="輔色1 13 4" xfId="30883"/>
    <cellStyle name="輔色1 13 5" xfId="32654"/>
    <cellStyle name="輔色1 13 6" xfId="34394"/>
    <cellStyle name="輔色1 13 7" xfId="36081"/>
    <cellStyle name="輔色1 13 8" xfId="37695"/>
    <cellStyle name="輔色1 13 9" xfId="39209"/>
    <cellStyle name="輔色1 14" xfId="14904"/>
    <cellStyle name="輔色1 14 10" xfId="40587"/>
    <cellStyle name="輔色1 14 11" xfId="41699"/>
    <cellStyle name="輔色1 14 2" xfId="25737"/>
    <cellStyle name="輔色1 14 3" xfId="29099"/>
    <cellStyle name="輔色1 14 4" xfId="30884"/>
    <cellStyle name="輔色1 14 5" xfId="32655"/>
    <cellStyle name="輔色1 14 6" xfId="34395"/>
    <cellStyle name="輔色1 14 7" xfId="36082"/>
    <cellStyle name="輔色1 14 8" xfId="37696"/>
    <cellStyle name="輔色1 14 9" xfId="39210"/>
    <cellStyle name="輔色1 15" xfId="14981"/>
    <cellStyle name="輔色1 15 10" xfId="40588"/>
    <cellStyle name="輔色1 15 11" xfId="41700"/>
    <cellStyle name="輔色1 15 2" xfId="25738"/>
    <cellStyle name="輔色1 15 3" xfId="29100"/>
    <cellStyle name="輔色1 15 4" xfId="30885"/>
    <cellStyle name="輔色1 15 5" xfId="32656"/>
    <cellStyle name="輔色1 15 6" xfId="34396"/>
    <cellStyle name="輔色1 15 7" xfId="36083"/>
    <cellStyle name="輔色1 15 8" xfId="37697"/>
    <cellStyle name="輔色1 15 9" xfId="39211"/>
    <cellStyle name="輔色1 16" xfId="12838"/>
    <cellStyle name="輔色1 16 10" xfId="40589"/>
    <cellStyle name="輔色1 16 11" xfId="41701"/>
    <cellStyle name="輔色1 16 2" xfId="25739"/>
    <cellStyle name="輔色1 16 3" xfId="29101"/>
    <cellStyle name="輔色1 16 4" xfId="30886"/>
    <cellStyle name="輔色1 16 5" xfId="32657"/>
    <cellStyle name="輔色1 16 6" xfId="34397"/>
    <cellStyle name="輔色1 16 7" xfId="36084"/>
    <cellStyle name="輔色1 16 8" xfId="37698"/>
    <cellStyle name="輔色1 16 9" xfId="39212"/>
    <cellStyle name="輔色1 17" xfId="15671"/>
    <cellStyle name="輔色1 17 10" xfId="40590"/>
    <cellStyle name="輔色1 17 11" xfId="41702"/>
    <cellStyle name="輔色1 17 2" xfId="25740"/>
    <cellStyle name="輔色1 17 3" xfId="29102"/>
    <cellStyle name="輔色1 17 4" xfId="30887"/>
    <cellStyle name="輔色1 17 5" xfId="32658"/>
    <cellStyle name="輔色1 17 6" xfId="34398"/>
    <cellStyle name="輔色1 17 7" xfId="36085"/>
    <cellStyle name="輔色1 17 8" xfId="37699"/>
    <cellStyle name="輔色1 17 9" xfId="39213"/>
    <cellStyle name="輔色1 18" xfId="13997"/>
    <cellStyle name="輔色1 18 10" xfId="40591"/>
    <cellStyle name="輔色1 18 11" xfId="41703"/>
    <cellStyle name="輔色1 18 2" xfId="25741"/>
    <cellStyle name="輔色1 18 3" xfId="29103"/>
    <cellStyle name="輔色1 18 4" xfId="30888"/>
    <cellStyle name="輔色1 18 5" xfId="32659"/>
    <cellStyle name="輔色1 18 6" xfId="34399"/>
    <cellStyle name="輔色1 18 7" xfId="36086"/>
    <cellStyle name="輔色1 18 8" xfId="37700"/>
    <cellStyle name="輔色1 18 9" xfId="39214"/>
    <cellStyle name="輔色1 19" xfId="14060"/>
    <cellStyle name="輔色1 19 10" xfId="40592"/>
    <cellStyle name="輔色1 19 11" xfId="41704"/>
    <cellStyle name="輔色1 19 2" xfId="25742"/>
    <cellStyle name="輔色1 19 3" xfId="29104"/>
    <cellStyle name="輔色1 19 4" xfId="30889"/>
    <cellStyle name="輔色1 19 5" xfId="32660"/>
    <cellStyle name="輔色1 19 6" xfId="34400"/>
    <cellStyle name="輔色1 19 7" xfId="36087"/>
    <cellStyle name="輔色1 19 8" xfId="37701"/>
    <cellStyle name="輔色1 19 9" xfId="39215"/>
    <cellStyle name="輔色1 2" xfId="8595"/>
    <cellStyle name="輔色1 2 10" xfId="40593"/>
    <cellStyle name="輔色1 2 11" xfId="41705"/>
    <cellStyle name="輔色1 2 12" xfId="9175"/>
    <cellStyle name="輔色1 2 2" xfId="9527"/>
    <cellStyle name="輔色1 2 2 2" xfId="25743"/>
    <cellStyle name="輔色1 2 3" xfId="29105"/>
    <cellStyle name="輔色1 2 4" xfId="30890"/>
    <cellStyle name="輔色1 2 5" xfId="32661"/>
    <cellStyle name="輔色1 2 6" xfId="34401"/>
    <cellStyle name="輔色1 2 7" xfId="36088"/>
    <cellStyle name="輔色1 2 8" xfId="37702"/>
    <cellStyle name="輔色1 2 9" xfId="39216"/>
    <cellStyle name="輔色1 20" xfId="20314"/>
    <cellStyle name="輔色1 20 10" xfId="40594"/>
    <cellStyle name="輔色1 20 11" xfId="41706"/>
    <cellStyle name="輔色1 20 2" xfId="25744"/>
    <cellStyle name="輔色1 20 3" xfId="29106"/>
    <cellStyle name="輔色1 20 4" xfId="30891"/>
    <cellStyle name="輔色1 20 5" xfId="32662"/>
    <cellStyle name="輔色1 20 6" xfId="34402"/>
    <cellStyle name="輔色1 20 7" xfId="36089"/>
    <cellStyle name="輔色1 20 8" xfId="37703"/>
    <cellStyle name="輔色1 20 9" xfId="39217"/>
    <cellStyle name="輔色1 21" xfId="21140"/>
    <cellStyle name="輔色1 21 10" xfId="40595"/>
    <cellStyle name="輔色1 21 11" xfId="41707"/>
    <cellStyle name="輔色1 21 2" xfId="25745"/>
    <cellStyle name="輔色1 21 3" xfId="29107"/>
    <cellStyle name="輔色1 21 4" xfId="30892"/>
    <cellStyle name="輔色1 21 5" xfId="32663"/>
    <cellStyle name="輔色1 21 6" xfId="34403"/>
    <cellStyle name="輔色1 21 7" xfId="36090"/>
    <cellStyle name="輔色1 21 8" xfId="37704"/>
    <cellStyle name="輔色1 21 9" xfId="39218"/>
    <cellStyle name="輔色1 22" xfId="11832"/>
    <cellStyle name="輔色1 22 10" xfId="40596"/>
    <cellStyle name="輔色1 22 11" xfId="41708"/>
    <cellStyle name="輔色1 22 2" xfId="25746"/>
    <cellStyle name="輔色1 22 3" xfId="29108"/>
    <cellStyle name="輔色1 22 4" xfId="30893"/>
    <cellStyle name="輔色1 22 5" xfId="32664"/>
    <cellStyle name="輔色1 22 6" xfId="34404"/>
    <cellStyle name="輔色1 22 7" xfId="36091"/>
    <cellStyle name="輔色1 22 8" xfId="37705"/>
    <cellStyle name="輔色1 22 9" xfId="39219"/>
    <cellStyle name="輔色1 23" xfId="22952"/>
    <cellStyle name="輔色1 23 10" xfId="40597"/>
    <cellStyle name="輔色1 23 11" xfId="41709"/>
    <cellStyle name="輔色1 23 2" xfId="25747"/>
    <cellStyle name="輔色1 23 3" xfId="29109"/>
    <cellStyle name="輔色1 23 4" xfId="30894"/>
    <cellStyle name="輔色1 23 5" xfId="32665"/>
    <cellStyle name="輔色1 23 6" xfId="34405"/>
    <cellStyle name="輔色1 23 7" xfId="36092"/>
    <cellStyle name="輔色1 23 8" xfId="37706"/>
    <cellStyle name="輔色1 23 9" xfId="39220"/>
    <cellStyle name="輔色1 24" xfId="25748"/>
    <cellStyle name="輔色1 25" xfId="25749"/>
    <cellStyle name="輔色1 26" xfId="25750"/>
    <cellStyle name="輔色1 27" xfId="25751"/>
    <cellStyle name="輔色1 28" xfId="25752"/>
    <cellStyle name="輔色1 29" xfId="25753"/>
    <cellStyle name="輔色1 3" xfId="9217"/>
    <cellStyle name="輔色1 3 10" xfId="40598"/>
    <cellStyle name="輔色1 3 11" xfId="41710"/>
    <cellStyle name="輔色1 3 2" xfId="10270"/>
    <cellStyle name="輔色1 3 2 2" xfId="25754"/>
    <cellStyle name="輔色1 3 3" xfId="29116"/>
    <cellStyle name="輔色1 3 4" xfId="30900"/>
    <cellStyle name="輔色1 3 5" xfId="32671"/>
    <cellStyle name="輔色1 3 6" xfId="34410"/>
    <cellStyle name="輔色1 3 7" xfId="36096"/>
    <cellStyle name="輔色1 3 8" xfId="37710"/>
    <cellStyle name="輔色1 3 9" xfId="39222"/>
    <cellStyle name="輔色1 30" xfId="25755"/>
    <cellStyle name="輔色1 31" xfId="25756"/>
    <cellStyle name="輔色1 32" xfId="25757"/>
    <cellStyle name="輔色1 33" xfId="25758"/>
    <cellStyle name="輔色1 34" xfId="25759"/>
    <cellStyle name="輔色1 35" xfId="25760"/>
    <cellStyle name="輔色1 36" xfId="25761"/>
    <cellStyle name="輔色1 37" xfId="25762"/>
    <cellStyle name="輔色1 38" xfId="25763"/>
    <cellStyle name="輔色1 39" xfId="25764"/>
    <cellStyle name="輔色1 4" xfId="11071"/>
    <cellStyle name="輔色1 4 10" xfId="40599"/>
    <cellStyle name="輔色1 4 11" xfId="41711"/>
    <cellStyle name="輔色1 4 2" xfId="25765"/>
    <cellStyle name="輔色1 4 3" xfId="29127"/>
    <cellStyle name="輔色1 4 4" xfId="30911"/>
    <cellStyle name="輔色1 4 5" xfId="32682"/>
    <cellStyle name="輔色1 4 6" xfId="34420"/>
    <cellStyle name="輔色1 4 7" xfId="36104"/>
    <cellStyle name="輔色1 4 8" xfId="37718"/>
    <cellStyle name="輔色1 4 9" xfId="39228"/>
    <cellStyle name="輔色1 40" xfId="25766"/>
    <cellStyle name="輔色1 41" xfId="25767"/>
    <cellStyle name="輔色1 42" xfId="25768"/>
    <cellStyle name="輔色1 43" xfId="25769"/>
    <cellStyle name="輔色1 44" xfId="25770"/>
    <cellStyle name="輔色1 45" xfId="25771"/>
    <cellStyle name="輔色1 46" xfId="25772"/>
    <cellStyle name="輔色1 47" xfId="25773"/>
    <cellStyle name="輔色1 48" xfId="25774"/>
    <cellStyle name="輔色1 49" xfId="25775"/>
    <cellStyle name="輔色1 5" xfId="9697"/>
    <cellStyle name="輔色1 5 10" xfId="40600"/>
    <cellStyle name="輔色1 5 11" xfId="41712"/>
    <cellStyle name="輔色1 5 2" xfId="25776"/>
    <cellStyle name="輔色1 5 3" xfId="29137"/>
    <cellStyle name="輔色1 5 4" xfId="30921"/>
    <cellStyle name="輔色1 5 5" xfId="32692"/>
    <cellStyle name="輔色1 5 6" xfId="34430"/>
    <cellStyle name="輔色1 5 7" xfId="36112"/>
    <cellStyle name="輔色1 5 8" xfId="37725"/>
    <cellStyle name="輔色1 5 9" xfId="39233"/>
    <cellStyle name="輔色1 50" xfId="25777"/>
    <cellStyle name="輔色1 51" xfId="25778"/>
    <cellStyle name="輔色1 52" xfId="25779"/>
    <cellStyle name="輔色1 53" xfId="25780"/>
    <cellStyle name="輔色1 54" xfId="25781"/>
    <cellStyle name="輔色1 55" xfId="25782"/>
    <cellStyle name="輔色1 56" xfId="25783"/>
    <cellStyle name="輔色1 57" xfId="25784"/>
    <cellStyle name="輔色1 58" xfId="25785"/>
    <cellStyle name="輔色1 59" xfId="25786"/>
    <cellStyle name="輔色1 6" xfId="10257"/>
    <cellStyle name="輔色1 6 10" xfId="40601"/>
    <cellStyle name="輔色1 6 11" xfId="41713"/>
    <cellStyle name="輔色1 6 2" xfId="25787"/>
    <cellStyle name="輔色1 6 3" xfId="29145"/>
    <cellStyle name="輔色1 6 4" xfId="30929"/>
    <cellStyle name="輔色1 6 5" xfId="32700"/>
    <cellStyle name="輔色1 6 6" xfId="34437"/>
    <cellStyle name="輔色1 6 7" xfId="36119"/>
    <cellStyle name="輔色1 6 8" xfId="37731"/>
    <cellStyle name="輔色1 6 9" xfId="39239"/>
    <cellStyle name="輔色1 60" xfId="25788"/>
    <cellStyle name="輔色1 61" xfId="25789"/>
    <cellStyle name="輔色1 62" xfId="23691"/>
    <cellStyle name="輔色1 63" xfId="28822"/>
    <cellStyle name="輔色1 64" xfId="30608"/>
    <cellStyle name="輔色1 65" xfId="32382"/>
    <cellStyle name="輔色1 66" xfId="34134"/>
    <cellStyle name="輔色1 67" xfId="35841"/>
    <cellStyle name="輔色1 68" xfId="37476"/>
    <cellStyle name="輔色1 69" xfId="39023"/>
    <cellStyle name="輔色1 7" xfId="11208"/>
    <cellStyle name="輔色1 7 10" xfId="40602"/>
    <cellStyle name="輔色1 7 11" xfId="41714"/>
    <cellStyle name="輔色1 7 2" xfId="25790"/>
    <cellStyle name="輔色1 7 3" xfId="29148"/>
    <cellStyle name="輔色1 7 4" xfId="30932"/>
    <cellStyle name="輔色1 7 5" xfId="32703"/>
    <cellStyle name="輔色1 7 6" xfId="34440"/>
    <cellStyle name="輔色1 7 7" xfId="36122"/>
    <cellStyle name="輔色1 7 8" xfId="37734"/>
    <cellStyle name="輔色1 7 9" xfId="39240"/>
    <cellStyle name="輔色1 70" xfId="40436"/>
    <cellStyle name="輔色1 71" xfId="8669"/>
    <cellStyle name="輔色1 72" xfId="7999"/>
    <cellStyle name="輔色1 73" xfId="7965"/>
    <cellStyle name="輔色1 8" xfId="11400"/>
    <cellStyle name="輔色1 8 10" xfId="40603"/>
    <cellStyle name="輔色1 8 11" xfId="41715"/>
    <cellStyle name="輔色1 8 2" xfId="25791"/>
    <cellStyle name="輔色1 8 3" xfId="29149"/>
    <cellStyle name="輔色1 8 4" xfId="30933"/>
    <cellStyle name="輔色1 8 5" xfId="32704"/>
    <cellStyle name="輔色1 8 6" xfId="34441"/>
    <cellStyle name="輔色1 8 7" xfId="36123"/>
    <cellStyle name="輔色1 8 8" xfId="37735"/>
    <cellStyle name="輔色1 8 9" xfId="39241"/>
    <cellStyle name="輔色1 9" xfId="11589"/>
    <cellStyle name="輔色1 9 10" xfId="40604"/>
    <cellStyle name="輔色1 9 11" xfId="41716"/>
    <cellStyle name="輔色1 9 2" xfId="25792"/>
    <cellStyle name="輔色1 9 3" xfId="29150"/>
    <cellStyle name="輔色1 9 4" xfId="30934"/>
    <cellStyle name="輔色1 9 5" xfId="32705"/>
    <cellStyle name="輔色1 9 6" xfId="34442"/>
    <cellStyle name="輔色1 9 7" xfId="36124"/>
    <cellStyle name="輔色1 9 8" xfId="37736"/>
    <cellStyle name="輔色1 9 9" xfId="39242"/>
    <cellStyle name="輔色2 10" xfId="11285"/>
    <cellStyle name="輔色2 10 10" xfId="40605"/>
    <cellStyle name="輔色2 10 11" xfId="41717"/>
    <cellStyle name="輔色2 10 2" xfId="25793"/>
    <cellStyle name="輔色2 10 3" xfId="29151"/>
    <cellStyle name="輔色2 10 4" xfId="30935"/>
    <cellStyle name="輔色2 10 5" xfId="32706"/>
    <cellStyle name="輔色2 10 6" xfId="34443"/>
    <cellStyle name="輔色2 10 7" xfId="36125"/>
    <cellStyle name="輔色2 10 8" xfId="37737"/>
    <cellStyle name="輔色2 10 9" xfId="39243"/>
    <cellStyle name="輔色2 11" xfId="12336"/>
    <cellStyle name="輔色2 11 10" xfId="40606"/>
    <cellStyle name="輔色2 11 11" xfId="41718"/>
    <cellStyle name="輔色2 11 2" xfId="25794"/>
    <cellStyle name="輔色2 11 3" xfId="29152"/>
    <cellStyle name="輔色2 11 4" xfId="30936"/>
    <cellStyle name="輔色2 11 5" xfId="32707"/>
    <cellStyle name="輔色2 11 6" xfId="34444"/>
    <cellStyle name="輔色2 11 7" xfId="36126"/>
    <cellStyle name="輔色2 11 8" xfId="37738"/>
    <cellStyle name="輔色2 11 9" xfId="39244"/>
    <cellStyle name="輔色2 12" xfId="12333"/>
    <cellStyle name="輔色2 12 10" xfId="40607"/>
    <cellStyle name="輔色2 12 11" xfId="41719"/>
    <cellStyle name="輔色2 12 2" xfId="25795"/>
    <cellStyle name="輔色2 12 3" xfId="29153"/>
    <cellStyle name="輔色2 12 4" xfId="30937"/>
    <cellStyle name="輔色2 12 5" xfId="32708"/>
    <cellStyle name="輔色2 12 6" xfId="34445"/>
    <cellStyle name="輔色2 12 7" xfId="36127"/>
    <cellStyle name="輔色2 12 8" xfId="37739"/>
    <cellStyle name="輔色2 12 9" xfId="39245"/>
    <cellStyle name="輔色2 13" xfId="10886"/>
    <cellStyle name="輔色2 13 10" xfId="40608"/>
    <cellStyle name="輔色2 13 11" xfId="41720"/>
    <cellStyle name="輔色2 13 2" xfId="25796"/>
    <cellStyle name="輔色2 13 3" xfId="29154"/>
    <cellStyle name="輔色2 13 4" xfId="30938"/>
    <cellStyle name="輔色2 13 5" xfId="32709"/>
    <cellStyle name="輔色2 13 6" xfId="34446"/>
    <cellStyle name="輔色2 13 7" xfId="36128"/>
    <cellStyle name="輔色2 13 8" xfId="37740"/>
    <cellStyle name="輔色2 13 9" xfId="39246"/>
    <cellStyle name="輔色2 14" xfId="14867"/>
    <cellStyle name="輔色2 14 10" xfId="40609"/>
    <cellStyle name="輔色2 14 11" xfId="41721"/>
    <cellStyle name="輔色2 14 2" xfId="25797"/>
    <cellStyle name="輔色2 14 3" xfId="29155"/>
    <cellStyle name="輔色2 14 4" xfId="30939"/>
    <cellStyle name="輔色2 14 5" xfId="32710"/>
    <cellStyle name="輔色2 14 6" xfId="34447"/>
    <cellStyle name="輔色2 14 7" xfId="36129"/>
    <cellStyle name="輔色2 14 8" xfId="37741"/>
    <cellStyle name="輔色2 14 9" xfId="39247"/>
    <cellStyle name="輔色2 15" xfId="11311"/>
    <cellStyle name="輔色2 15 10" xfId="40610"/>
    <cellStyle name="輔色2 15 11" xfId="41722"/>
    <cellStyle name="輔色2 15 2" xfId="25798"/>
    <cellStyle name="輔色2 15 3" xfId="29156"/>
    <cellStyle name="輔色2 15 4" xfId="30940"/>
    <cellStyle name="輔色2 15 5" xfId="32711"/>
    <cellStyle name="輔色2 15 6" xfId="34448"/>
    <cellStyle name="輔色2 15 7" xfId="36130"/>
    <cellStyle name="輔色2 15 8" xfId="37742"/>
    <cellStyle name="輔色2 15 9" xfId="39248"/>
    <cellStyle name="輔色2 16" xfId="16762"/>
    <cellStyle name="輔色2 16 10" xfId="40611"/>
    <cellStyle name="輔色2 16 11" xfId="41723"/>
    <cellStyle name="輔色2 16 2" xfId="25799"/>
    <cellStyle name="輔色2 16 3" xfId="29157"/>
    <cellStyle name="輔色2 16 4" xfId="30941"/>
    <cellStyle name="輔色2 16 5" xfId="32712"/>
    <cellStyle name="輔色2 16 6" xfId="34449"/>
    <cellStyle name="輔色2 16 7" xfId="36131"/>
    <cellStyle name="輔色2 16 8" xfId="37743"/>
    <cellStyle name="輔色2 16 9" xfId="39249"/>
    <cellStyle name="輔色2 17" xfId="17672"/>
    <cellStyle name="輔色2 17 10" xfId="40612"/>
    <cellStyle name="輔色2 17 11" xfId="41724"/>
    <cellStyle name="輔色2 17 2" xfId="25800"/>
    <cellStyle name="輔色2 17 3" xfId="29158"/>
    <cellStyle name="輔色2 17 4" xfId="30942"/>
    <cellStyle name="輔色2 17 5" xfId="32713"/>
    <cellStyle name="輔色2 17 6" xfId="34450"/>
    <cellStyle name="輔色2 17 7" xfId="36132"/>
    <cellStyle name="輔色2 17 8" xfId="37744"/>
    <cellStyle name="輔色2 17 9" xfId="39250"/>
    <cellStyle name="輔色2 18" xfId="18573"/>
    <cellStyle name="輔色2 18 10" xfId="40613"/>
    <cellStyle name="輔色2 18 11" xfId="41725"/>
    <cellStyle name="輔色2 18 2" xfId="25801"/>
    <cellStyle name="輔色2 18 3" xfId="29159"/>
    <cellStyle name="輔色2 18 4" xfId="30943"/>
    <cellStyle name="輔色2 18 5" xfId="32714"/>
    <cellStyle name="輔色2 18 6" xfId="34451"/>
    <cellStyle name="輔色2 18 7" xfId="36133"/>
    <cellStyle name="輔色2 18 8" xfId="37745"/>
    <cellStyle name="輔色2 18 9" xfId="39251"/>
    <cellStyle name="輔色2 19" xfId="19451"/>
    <cellStyle name="輔色2 19 10" xfId="40614"/>
    <cellStyle name="輔色2 19 11" xfId="41726"/>
    <cellStyle name="輔色2 19 2" xfId="25802"/>
    <cellStyle name="輔色2 19 3" xfId="29160"/>
    <cellStyle name="輔色2 19 4" xfId="30944"/>
    <cellStyle name="輔色2 19 5" xfId="32715"/>
    <cellStyle name="輔色2 19 6" xfId="34452"/>
    <cellStyle name="輔色2 19 7" xfId="36134"/>
    <cellStyle name="輔色2 19 8" xfId="37746"/>
    <cellStyle name="輔色2 19 9" xfId="39252"/>
    <cellStyle name="輔色2 2" xfId="8596"/>
    <cellStyle name="輔色2 2 10" xfId="40615"/>
    <cellStyle name="輔色2 2 11" xfId="41727"/>
    <cellStyle name="輔色2 2 12" xfId="9179"/>
    <cellStyle name="輔色2 2 2" xfId="9528"/>
    <cellStyle name="輔色2 2 2 2" xfId="25803"/>
    <cellStyle name="輔色2 2 3" xfId="29161"/>
    <cellStyle name="輔色2 2 4" xfId="30945"/>
    <cellStyle name="輔色2 2 5" xfId="32716"/>
    <cellStyle name="輔色2 2 6" xfId="34453"/>
    <cellStyle name="輔色2 2 7" xfId="36135"/>
    <cellStyle name="輔色2 2 8" xfId="37747"/>
    <cellStyle name="輔色2 2 9" xfId="39253"/>
    <cellStyle name="輔色2 20" xfId="20289"/>
    <cellStyle name="輔色2 20 10" xfId="40616"/>
    <cellStyle name="輔色2 20 11" xfId="41728"/>
    <cellStyle name="輔色2 20 2" xfId="25804"/>
    <cellStyle name="輔色2 20 3" xfId="29162"/>
    <cellStyle name="輔色2 20 4" xfId="30946"/>
    <cellStyle name="輔色2 20 5" xfId="32717"/>
    <cellStyle name="輔色2 20 6" xfId="34454"/>
    <cellStyle name="輔色2 20 7" xfId="36136"/>
    <cellStyle name="輔色2 20 8" xfId="37748"/>
    <cellStyle name="輔色2 20 9" xfId="39254"/>
    <cellStyle name="輔色2 21" xfId="20374"/>
    <cellStyle name="輔色2 21 10" xfId="40617"/>
    <cellStyle name="輔色2 21 11" xfId="41729"/>
    <cellStyle name="輔色2 21 2" xfId="25805"/>
    <cellStyle name="輔色2 21 3" xfId="29163"/>
    <cellStyle name="輔色2 21 4" xfId="30947"/>
    <cellStyle name="輔色2 21 5" xfId="32718"/>
    <cellStyle name="輔色2 21 6" xfId="34455"/>
    <cellStyle name="輔色2 21 7" xfId="36137"/>
    <cellStyle name="輔色2 21 8" xfId="37749"/>
    <cellStyle name="輔色2 21 9" xfId="39255"/>
    <cellStyle name="輔色2 22" xfId="21976"/>
    <cellStyle name="輔色2 22 10" xfId="40618"/>
    <cellStyle name="輔色2 22 11" xfId="41730"/>
    <cellStyle name="輔色2 22 2" xfId="25806"/>
    <cellStyle name="輔色2 22 3" xfId="29164"/>
    <cellStyle name="輔色2 22 4" xfId="30948"/>
    <cellStyle name="輔色2 22 5" xfId="32719"/>
    <cellStyle name="輔色2 22 6" xfId="34456"/>
    <cellStyle name="輔色2 22 7" xfId="36138"/>
    <cellStyle name="輔色2 22 8" xfId="37750"/>
    <cellStyle name="輔色2 22 9" xfId="39256"/>
    <cellStyle name="輔色2 23" xfId="22953"/>
    <cellStyle name="輔色2 23 10" xfId="40619"/>
    <cellStyle name="輔色2 23 11" xfId="41731"/>
    <cellStyle name="輔色2 23 2" xfId="25807"/>
    <cellStyle name="輔色2 23 3" xfId="29165"/>
    <cellStyle name="輔色2 23 4" xfId="30949"/>
    <cellStyle name="輔色2 23 5" xfId="32720"/>
    <cellStyle name="輔色2 23 6" xfId="34457"/>
    <cellStyle name="輔色2 23 7" xfId="36139"/>
    <cellStyle name="輔色2 23 8" xfId="37751"/>
    <cellStyle name="輔色2 23 9" xfId="39257"/>
    <cellStyle name="輔色2 24" xfId="25808"/>
    <cellStyle name="輔色2 25" xfId="25809"/>
    <cellStyle name="輔色2 26" xfId="25810"/>
    <cellStyle name="輔色2 27" xfId="25811"/>
    <cellStyle name="輔色2 28" xfId="25812"/>
    <cellStyle name="輔色2 29" xfId="25813"/>
    <cellStyle name="輔色2 3" xfId="9221"/>
    <cellStyle name="輔色2 3 10" xfId="40620"/>
    <cellStyle name="輔色2 3 11" xfId="41732"/>
    <cellStyle name="輔色2 3 2" xfId="10271"/>
    <cellStyle name="輔色2 3 2 2" xfId="25814"/>
    <cellStyle name="輔色2 3 3" xfId="29171"/>
    <cellStyle name="輔色2 3 4" xfId="30955"/>
    <cellStyle name="輔色2 3 5" xfId="32726"/>
    <cellStyle name="輔色2 3 6" xfId="34462"/>
    <cellStyle name="輔色2 3 7" xfId="36144"/>
    <cellStyle name="輔色2 3 8" xfId="37755"/>
    <cellStyle name="輔色2 3 9" xfId="39260"/>
    <cellStyle name="輔色2 30" xfId="25815"/>
    <cellStyle name="輔色2 31" xfId="25816"/>
    <cellStyle name="輔色2 32" xfId="25817"/>
    <cellStyle name="輔色2 33" xfId="25818"/>
    <cellStyle name="輔色2 34" xfId="25819"/>
    <cellStyle name="輔色2 35" xfId="25820"/>
    <cellStyle name="輔色2 36" xfId="25821"/>
    <cellStyle name="輔色2 37" xfId="25822"/>
    <cellStyle name="輔色2 38" xfId="25823"/>
    <cellStyle name="輔色2 39" xfId="25824"/>
    <cellStyle name="輔色2 4" xfId="11000"/>
    <cellStyle name="輔色2 4 10" xfId="40621"/>
    <cellStyle name="輔色2 4 11" xfId="41733"/>
    <cellStyle name="輔色2 4 2" xfId="25825"/>
    <cellStyle name="輔色2 4 3" xfId="29180"/>
    <cellStyle name="輔色2 4 4" xfId="30964"/>
    <cellStyle name="輔色2 4 5" xfId="32734"/>
    <cellStyle name="輔色2 4 6" xfId="34470"/>
    <cellStyle name="輔色2 4 7" xfId="36152"/>
    <cellStyle name="輔色2 4 8" xfId="37760"/>
    <cellStyle name="輔色2 4 9" xfId="39263"/>
    <cellStyle name="輔色2 40" xfId="25826"/>
    <cellStyle name="輔色2 41" xfId="25827"/>
    <cellStyle name="輔色2 42" xfId="25828"/>
    <cellStyle name="輔色2 43" xfId="25829"/>
    <cellStyle name="輔色2 44" xfId="25830"/>
    <cellStyle name="輔色2 45" xfId="25831"/>
    <cellStyle name="輔色2 46" xfId="25832"/>
    <cellStyle name="輔色2 47" xfId="25833"/>
    <cellStyle name="輔色2 48" xfId="25834"/>
    <cellStyle name="輔色2 49" xfId="25835"/>
    <cellStyle name="輔色2 5" xfId="9509"/>
    <cellStyle name="輔色2 5 10" xfId="40622"/>
    <cellStyle name="輔色2 5 11" xfId="41734"/>
    <cellStyle name="輔色2 5 2" xfId="25836"/>
    <cellStyle name="輔色2 5 3" xfId="29191"/>
    <cellStyle name="輔色2 5 4" xfId="30974"/>
    <cellStyle name="輔色2 5 5" xfId="32744"/>
    <cellStyle name="輔色2 5 6" xfId="34480"/>
    <cellStyle name="輔色2 5 7" xfId="36160"/>
    <cellStyle name="輔色2 5 8" xfId="37767"/>
    <cellStyle name="輔色2 5 9" xfId="39270"/>
    <cellStyle name="輔色2 50" xfId="25837"/>
    <cellStyle name="輔色2 51" xfId="25838"/>
    <cellStyle name="輔色2 52" xfId="25839"/>
    <cellStyle name="輔色2 53" xfId="25840"/>
    <cellStyle name="輔色2 54" xfId="25841"/>
    <cellStyle name="輔色2 55" xfId="25842"/>
    <cellStyle name="輔色2 56" xfId="25843"/>
    <cellStyle name="輔色2 57" xfId="25844"/>
    <cellStyle name="輔色2 58" xfId="25845"/>
    <cellStyle name="輔色2 59" xfId="25846"/>
    <cellStyle name="輔色2 6" xfId="10252"/>
    <cellStyle name="輔色2 6 10" xfId="40623"/>
    <cellStyle name="輔色2 6 11" xfId="41735"/>
    <cellStyle name="輔色2 6 2" xfId="25847"/>
    <cellStyle name="輔色2 6 3" xfId="29202"/>
    <cellStyle name="輔色2 6 4" xfId="30985"/>
    <cellStyle name="輔色2 6 5" xfId="32755"/>
    <cellStyle name="輔色2 6 6" xfId="34491"/>
    <cellStyle name="輔色2 6 7" xfId="36170"/>
    <cellStyle name="輔色2 6 8" xfId="37775"/>
    <cellStyle name="輔色2 6 9" xfId="39274"/>
    <cellStyle name="輔色2 60" xfId="25848"/>
    <cellStyle name="輔色2 61" xfId="25849"/>
    <cellStyle name="輔色2 62" xfId="23639"/>
    <cellStyle name="輔色2 63" xfId="28821"/>
    <cellStyle name="輔色2 64" xfId="30607"/>
    <cellStyle name="輔色2 65" xfId="32381"/>
    <cellStyle name="輔色2 66" xfId="34133"/>
    <cellStyle name="輔色2 67" xfId="35840"/>
    <cellStyle name="輔色2 68" xfId="37475"/>
    <cellStyle name="輔色2 69" xfId="39022"/>
    <cellStyle name="輔色2 7" xfId="10704"/>
    <cellStyle name="輔色2 7 10" xfId="40624"/>
    <cellStyle name="輔色2 7 11" xfId="41736"/>
    <cellStyle name="輔色2 7 2" xfId="25850"/>
    <cellStyle name="輔色2 7 3" xfId="29205"/>
    <cellStyle name="輔色2 7 4" xfId="30988"/>
    <cellStyle name="輔色2 7 5" xfId="32758"/>
    <cellStyle name="輔色2 7 6" xfId="34493"/>
    <cellStyle name="輔色2 7 7" xfId="36172"/>
    <cellStyle name="輔色2 7 8" xfId="37776"/>
    <cellStyle name="輔色2 7 9" xfId="39275"/>
    <cellStyle name="輔色2 70" xfId="40435"/>
    <cellStyle name="輔色2 71" xfId="8003"/>
    <cellStyle name="輔色2 72" xfId="7966"/>
    <cellStyle name="輔色2 8" xfId="10795"/>
    <cellStyle name="輔色2 8 10" xfId="40625"/>
    <cellStyle name="輔色2 8 11" xfId="41737"/>
    <cellStyle name="輔色2 8 2" xfId="25851"/>
    <cellStyle name="輔色2 8 3" xfId="29206"/>
    <cellStyle name="輔色2 8 4" xfId="30989"/>
    <cellStyle name="輔色2 8 5" xfId="32759"/>
    <cellStyle name="輔色2 8 6" xfId="34494"/>
    <cellStyle name="輔色2 8 7" xfId="36173"/>
    <cellStyle name="輔色2 8 8" xfId="37777"/>
    <cellStyle name="輔色2 8 9" xfId="39276"/>
    <cellStyle name="輔色2 9" xfId="10678"/>
    <cellStyle name="輔色2 9 10" xfId="40626"/>
    <cellStyle name="輔色2 9 11" xfId="41738"/>
    <cellStyle name="輔色2 9 2" xfId="25852"/>
    <cellStyle name="輔色2 9 3" xfId="29207"/>
    <cellStyle name="輔色2 9 4" xfId="30990"/>
    <cellStyle name="輔色2 9 5" xfId="32760"/>
    <cellStyle name="輔色2 9 6" xfId="34495"/>
    <cellStyle name="輔色2 9 7" xfId="36174"/>
    <cellStyle name="輔色2 9 8" xfId="37778"/>
    <cellStyle name="輔色2 9 9" xfId="39277"/>
    <cellStyle name="輔色3 10" xfId="10517"/>
    <cellStyle name="輔色3 10 10" xfId="40627"/>
    <cellStyle name="輔色3 10 11" xfId="41739"/>
    <cellStyle name="輔色3 10 2" xfId="25853"/>
    <cellStyle name="輔色3 10 3" xfId="29208"/>
    <cellStyle name="輔色3 10 4" xfId="30991"/>
    <cellStyle name="輔色3 10 5" xfId="32761"/>
    <cellStyle name="輔色3 10 6" xfId="34496"/>
    <cellStyle name="輔色3 10 7" xfId="36175"/>
    <cellStyle name="輔色3 10 8" xfId="37779"/>
    <cellStyle name="輔色3 10 9" xfId="39278"/>
    <cellStyle name="輔色3 11" xfId="11196"/>
    <cellStyle name="輔色3 11 10" xfId="40628"/>
    <cellStyle name="輔色3 11 11" xfId="41740"/>
    <cellStyle name="輔色3 11 2" xfId="25854"/>
    <cellStyle name="輔色3 11 3" xfId="29209"/>
    <cellStyle name="輔色3 11 4" xfId="30992"/>
    <cellStyle name="輔色3 11 5" xfId="32762"/>
    <cellStyle name="輔色3 11 6" xfId="34497"/>
    <cellStyle name="輔色3 11 7" xfId="36176"/>
    <cellStyle name="輔色3 11 8" xfId="37780"/>
    <cellStyle name="輔色3 11 9" xfId="39279"/>
    <cellStyle name="輔色3 12" xfId="11353"/>
    <cellStyle name="輔色3 12 10" xfId="40629"/>
    <cellStyle name="輔色3 12 11" xfId="41741"/>
    <cellStyle name="輔色3 12 2" xfId="25855"/>
    <cellStyle name="輔色3 12 3" xfId="29210"/>
    <cellStyle name="輔色3 12 4" xfId="30993"/>
    <cellStyle name="輔色3 12 5" xfId="32763"/>
    <cellStyle name="輔色3 12 6" xfId="34498"/>
    <cellStyle name="輔色3 12 7" xfId="36177"/>
    <cellStyle name="輔色3 12 8" xfId="37781"/>
    <cellStyle name="輔色3 12 9" xfId="39280"/>
    <cellStyle name="輔色3 13" xfId="10677"/>
    <cellStyle name="輔色3 13 10" xfId="40630"/>
    <cellStyle name="輔色3 13 11" xfId="41742"/>
    <cellStyle name="輔色3 13 2" xfId="25856"/>
    <cellStyle name="輔色3 13 3" xfId="29211"/>
    <cellStyle name="輔色3 13 4" xfId="30994"/>
    <cellStyle name="輔色3 13 5" xfId="32764"/>
    <cellStyle name="輔色3 13 6" xfId="34499"/>
    <cellStyle name="輔色3 13 7" xfId="36178"/>
    <cellStyle name="輔色3 13 8" xfId="37782"/>
    <cellStyle name="輔色3 13 9" xfId="39281"/>
    <cellStyle name="輔色3 14" xfId="14050"/>
    <cellStyle name="輔色3 14 10" xfId="40631"/>
    <cellStyle name="輔色3 14 11" xfId="41743"/>
    <cellStyle name="輔色3 14 2" xfId="25857"/>
    <cellStyle name="輔色3 14 3" xfId="29212"/>
    <cellStyle name="輔色3 14 4" xfId="30995"/>
    <cellStyle name="輔色3 14 5" xfId="32765"/>
    <cellStyle name="輔色3 14 6" xfId="34500"/>
    <cellStyle name="輔色3 14 7" xfId="36179"/>
    <cellStyle name="輔色3 14 8" xfId="37783"/>
    <cellStyle name="輔色3 14 9" xfId="39282"/>
    <cellStyle name="輔色3 15" xfId="13873"/>
    <cellStyle name="輔色3 15 10" xfId="40632"/>
    <cellStyle name="輔色3 15 11" xfId="41744"/>
    <cellStyle name="輔色3 15 2" xfId="25858"/>
    <cellStyle name="輔色3 15 3" xfId="29213"/>
    <cellStyle name="輔色3 15 4" xfId="30996"/>
    <cellStyle name="輔色3 15 5" xfId="32766"/>
    <cellStyle name="輔色3 15 6" xfId="34501"/>
    <cellStyle name="輔色3 15 7" xfId="36180"/>
    <cellStyle name="輔色3 15 8" xfId="37784"/>
    <cellStyle name="輔色3 15 9" xfId="39283"/>
    <cellStyle name="輔色3 16" xfId="16729"/>
    <cellStyle name="輔色3 16 10" xfId="40633"/>
    <cellStyle name="輔色3 16 11" xfId="41745"/>
    <cellStyle name="輔色3 16 2" xfId="25859"/>
    <cellStyle name="輔色3 16 3" xfId="29214"/>
    <cellStyle name="輔色3 16 4" xfId="30997"/>
    <cellStyle name="輔色3 16 5" xfId="32767"/>
    <cellStyle name="輔色3 16 6" xfId="34502"/>
    <cellStyle name="輔色3 16 7" xfId="36181"/>
    <cellStyle name="輔色3 16 8" xfId="37785"/>
    <cellStyle name="輔色3 16 9" xfId="39284"/>
    <cellStyle name="輔色3 17" xfId="17644"/>
    <cellStyle name="輔色3 17 10" xfId="40634"/>
    <cellStyle name="輔色3 17 11" xfId="41746"/>
    <cellStyle name="輔色3 17 2" xfId="25860"/>
    <cellStyle name="輔色3 17 3" xfId="29215"/>
    <cellStyle name="輔色3 17 4" xfId="30998"/>
    <cellStyle name="輔色3 17 5" xfId="32768"/>
    <cellStyle name="輔色3 17 6" xfId="34503"/>
    <cellStyle name="輔色3 17 7" xfId="36182"/>
    <cellStyle name="輔色3 17 8" xfId="37786"/>
    <cellStyle name="輔色3 17 9" xfId="39285"/>
    <cellStyle name="輔色3 18" xfId="18545"/>
    <cellStyle name="輔色3 18 10" xfId="40635"/>
    <cellStyle name="輔色3 18 11" xfId="41747"/>
    <cellStyle name="輔色3 18 2" xfId="25861"/>
    <cellStyle name="輔色3 18 3" xfId="29216"/>
    <cellStyle name="輔色3 18 4" xfId="30999"/>
    <cellStyle name="輔色3 18 5" xfId="32769"/>
    <cellStyle name="輔色3 18 6" xfId="34504"/>
    <cellStyle name="輔色3 18 7" xfId="36183"/>
    <cellStyle name="輔色3 18 8" xfId="37787"/>
    <cellStyle name="輔色3 18 9" xfId="39286"/>
    <cellStyle name="輔色3 19" xfId="19422"/>
    <cellStyle name="輔色3 19 10" xfId="40636"/>
    <cellStyle name="輔色3 19 11" xfId="41748"/>
    <cellStyle name="輔色3 19 2" xfId="25862"/>
    <cellStyle name="輔色3 19 3" xfId="29217"/>
    <cellStyle name="輔色3 19 4" xfId="31000"/>
    <cellStyle name="輔色3 19 5" xfId="32770"/>
    <cellStyle name="輔色3 19 6" xfId="34505"/>
    <cellStyle name="輔色3 19 7" xfId="36184"/>
    <cellStyle name="輔色3 19 8" xfId="37788"/>
    <cellStyle name="輔色3 19 9" xfId="39287"/>
    <cellStyle name="輔色3 2" xfId="8597"/>
    <cellStyle name="輔色3 2 10" xfId="40637"/>
    <cellStyle name="輔色3 2 11" xfId="41749"/>
    <cellStyle name="輔色3 2 12" xfId="9183"/>
    <cellStyle name="輔色3 2 2" xfId="9529"/>
    <cellStyle name="輔色3 2 2 2" xfId="25863"/>
    <cellStyle name="輔色3 2 3" xfId="29218"/>
    <cellStyle name="輔色3 2 4" xfId="31001"/>
    <cellStyle name="輔色3 2 5" xfId="32771"/>
    <cellStyle name="輔色3 2 6" xfId="34506"/>
    <cellStyle name="輔色3 2 7" xfId="36185"/>
    <cellStyle name="輔色3 2 8" xfId="37789"/>
    <cellStyle name="輔色3 2 9" xfId="39288"/>
    <cellStyle name="輔色3 20" xfId="19516"/>
    <cellStyle name="輔色3 20 10" xfId="40638"/>
    <cellStyle name="輔色3 20 11" xfId="41750"/>
    <cellStyle name="輔色3 20 2" xfId="25864"/>
    <cellStyle name="輔色3 20 3" xfId="29219"/>
    <cellStyle name="輔色3 20 4" xfId="31002"/>
    <cellStyle name="輔色3 20 5" xfId="32772"/>
    <cellStyle name="輔色3 20 6" xfId="34507"/>
    <cellStyle name="輔色3 20 7" xfId="36186"/>
    <cellStyle name="輔色3 20 8" xfId="37790"/>
    <cellStyle name="輔色3 20 9" xfId="39289"/>
    <cellStyle name="輔色3 21" xfId="18546"/>
    <cellStyle name="輔色3 21 10" xfId="40639"/>
    <cellStyle name="輔色3 21 11" xfId="41751"/>
    <cellStyle name="輔色3 21 2" xfId="25865"/>
    <cellStyle name="輔色3 21 3" xfId="29220"/>
    <cellStyle name="輔色3 21 4" xfId="31003"/>
    <cellStyle name="輔色3 21 5" xfId="32773"/>
    <cellStyle name="輔色3 21 6" xfId="34508"/>
    <cellStyle name="輔色3 21 7" xfId="36187"/>
    <cellStyle name="輔色3 21 8" xfId="37791"/>
    <cellStyle name="輔色3 21 9" xfId="39290"/>
    <cellStyle name="輔色3 22" xfId="21965"/>
    <cellStyle name="輔色3 22 10" xfId="40640"/>
    <cellStyle name="輔色3 22 11" xfId="41752"/>
    <cellStyle name="輔色3 22 2" xfId="25866"/>
    <cellStyle name="輔色3 22 3" xfId="29221"/>
    <cellStyle name="輔色3 22 4" xfId="31004"/>
    <cellStyle name="輔色3 22 5" xfId="32774"/>
    <cellStyle name="輔色3 22 6" xfId="34509"/>
    <cellStyle name="輔色3 22 7" xfId="36188"/>
    <cellStyle name="輔色3 22 8" xfId="37792"/>
    <cellStyle name="輔色3 22 9" xfId="39291"/>
    <cellStyle name="輔色3 23" xfId="22954"/>
    <cellStyle name="輔色3 23 10" xfId="40641"/>
    <cellStyle name="輔色3 23 11" xfId="41753"/>
    <cellStyle name="輔色3 23 2" xfId="25867"/>
    <cellStyle name="輔色3 23 3" xfId="29222"/>
    <cellStyle name="輔色3 23 4" xfId="31005"/>
    <cellStyle name="輔色3 23 5" xfId="32775"/>
    <cellStyle name="輔色3 23 6" xfId="34510"/>
    <cellStyle name="輔色3 23 7" xfId="36189"/>
    <cellStyle name="輔色3 23 8" xfId="37793"/>
    <cellStyle name="輔色3 23 9" xfId="39292"/>
    <cellStyle name="輔色3 24" xfId="25868"/>
    <cellStyle name="輔色3 25" xfId="25869"/>
    <cellStyle name="輔色3 26" xfId="25870"/>
    <cellStyle name="輔色3 27" xfId="25871"/>
    <cellStyle name="輔色3 28" xfId="25872"/>
    <cellStyle name="輔色3 29" xfId="25873"/>
    <cellStyle name="輔色3 3" xfId="9225"/>
    <cellStyle name="輔色3 3 10" xfId="40642"/>
    <cellStyle name="輔色3 3 11" xfId="41754"/>
    <cellStyle name="輔色3 3 2" xfId="10272"/>
    <cellStyle name="輔色3 3 2 2" xfId="25874"/>
    <cellStyle name="輔色3 3 3" xfId="29229"/>
    <cellStyle name="輔色3 3 4" xfId="31012"/>
    <cellStyle name="輔色3 3 5" xfId="32782"/>
    <cellStyle name="輔色3 3 6" xfId="34516"/>
    <cellStyle name="輔色3 3 7" xfId="36194"/>
    <cellStyle name="輔色3 3 8" xfId="37797"/>
    <cellStyle name="輔色3 3 9" xfId="39295"/>
    <cellStyle name="輔色3 30" xfId="25875"/>
    <cellStyle name="輔色3 31" xfId="25876"/>
    <cellStyle name="輔色3 32" xfId="25877"/>
    <cellStyle name="輔色3 33" xfId="25878"/>
    <cellStyle name="輔色3 34" xfId="25879"/>
    <cellStyle name="輔色3 35" xfId="25880"/>
    <cellStyle name="輔色3 36" xfId="25881"/>
    <cellStyle name="輔色3 37" xfId="25882"/>
    <cellStyle name="輔色3 38" xfId="25883"/>
    <cellStyle name="輔色3 39" xfId="25884"/>
    <cellStyle name="輔色3 4" xfId="10927"/>
    <cellStyle name="輔色3 4 10" xfId="40643"/>
    <cellStyle name="輔色3 4 11" xfId="41755"/>
    <cellStyle name="輔色3 4 2" xfId="25885"/>
    <cellStyle name="輔色3 4 3" xfId="29240"/>
    <cellStyle name="輔色3 4 4" xfId="31022"/>
    <cellStyle name="輔色3 4 5" xfId="32791"/>
    <cellStyle name="輔色3 4 6" xfId="34525"/>
    <cellStyle name="輔色3 4 7" xfId="36202"/>
    <cellStyle name="輔色3 4 8" xfId="37804"/>
    <cellStyle name="輔色3 4 9" xfId="39300"/>
    <cellStyle name="輔色3 40" xfId="25886"/>
    <cellStyle name="輔色3 41" xfId="25887"/>
    <cellStyle name="輔色3 42" xfId="25888"/>
    <cellStyle name="輔色3 43" xfId="25889"/>
    <cellStyle name="輔色3 44" xfId="25890"/>
    <cellStyle name="輔色3 45" xfId="25891"/>
    <cellStyle name="輔色3 46" xfId="25892"/>
    <cellStyle name="輔色3 47" xfId="25893"/>
    <cellStyle name="輔色3 48" xfId="25894"/>
    <cellStyle name="輔色3 49" xfId="25895"/>
    <cellStyle name="輔色3 5" xfId="10490"/>
    <cellStyle name="輔色3 5 10" xfId="40644"/>
    <cellStyle name="輔色3 5 11" xfId="41756"/>
    <cellStyle name="輔色3 5 2" xfId="25896"/>
    <cellStyle name="輔色3 5 3" xfId="29250"/>
    <cellStyle name="輔色3 5 4" xfId="31032"/>
    <cellStyle name="輔色3 5 5" xfId="32801"/>
    <cellStyle name="輔色3 5 6" xfId="34535"/>
    <cellStyle name="輔色3 5 7" xfId="36208"/>
    <cellStyle name="輔色3 5 8" xfId="37810"/>
    <cellStyle name="輔色3 5 9" xfId="39305"/>
    <cellStyle name="輔色3 50" xfId="25897"/>
    <cellStyle name="輔色3 51" xfId="25898"/>
    <cellStyle name="輔色3 52" xfId="25899"/>
    <cellStyle name="輔色3 53" xfId="25900"/>
    <cellStyle name="輔色3 54" xfId="25901"/>
    <cellStyle name="輔色3 55" xfId="25902"/>
    <cellStyle name="輔色3 56" xfId="25903"/>
    <cellStyle name="輔色3 57" xfId="25904"/>
    <cellStyle name="輔色3 58" xfId="25905"/>
    <cellStyle name="輔色3 59" xfId="25906"/>
    <cellStyle name="輔色3 6" xfId="10757"/>
    <cellStyle name="輔色3 6 10" xfId="40645"/>
    <cellStyle name="輔色3 6 11" xfId="41757"/>
    <cellStyle name="輔色3 6 2" xfId="25907"/>
    <cellStyle name="輔色3 6 3" xfId="29261"/>
    <cellStyle name="輔色3 6 4" xfId="31043"/>
    <cellStyle name="輔色3 6 5" xfId="32812"/>
    <cellStyle name="輔色3 6 6" xfId="34544"/>
    <cellStyle name="輔色3 6 7" xfId="36217"/>
    <cellStyle name="輔色3 6 8" xfId="37819"/>
    <cellStyle name="輔色3 6 9" xfId="39309"/>
    <cellStyle name="輔色3 60" xfId="25908"/>
    <cellStyle name="輔色3 61" xfId="25909"/>
    <cellStyle name="輔色3 62" xfId="23570"/>
    <cellStyle name="輔色3 63" xfId="28819"/>
    <cellStyle name="輔色3 64" xfId="30605"/>
    <cellStyle name="輔色3 65" xfId="32379"/>
    <cellStyle name="輔色3 66" xfId="34131"/>
    <cellStyle name="輔色3 67" xfId="35838"/>
    <cellStyle name="輔色3 68" xfId="37473"/>
    <cellStyle name="輔色3 69" xfId="39020"/>
    <cellStyle name="輔色3 7" xfId="11014"/>
    <cellStyle name="輔色3 7 10" xfId="40646"/>
    <cellStyle name="輔色3 7 11" xfId="41758"/>
    <cellStyle name="輔色3 7 2" xfId="25910"/>
    <cellStyle name="輔色3 7 3" xfId="29263"/>
    <cellStyle name="輔色3 7 4" xfId="31045"/>
    <cellStyle name="輔色3 7 5" xfId="32814"/>
    <cellStyle name="輔色3 7 6" xfId="34546"/>
    <cellStyle name="輔色3 7 7" xfId="36219"/>
    <cellStyle name="輔色3 7 8" xfId="37821"/>
    <cellStyle name="輔色3 7 9" xfId="39310"/>
    <cellStyle name="輔色3 70" xfId="40433"/>
    <cellStyle name="輔色3 71" xfId="8007"/>
    <cellStyle name="輔色3 72" xfId="7967"/>
    <cellStyle name="輔色3 8" xfId="11100"/>
    <cellStyle name="輔色3 8 10" xfId="40647"/>
    <cellStyle name="輔色3 8 11" xfId="41759"/>
    <cellStyle name="輔色3 8 2" xfId="25911"/>
    <cellStyle name="輔色3 8 3" xfId="29264"/>
    <cellStyle name="輔色3 8 4" xfId="31046"/>
    <cellStyle name="輔色3 8 5" xfId="32815"/>
    <cellStyle name="輔色3 8 6" xfId="34547"/>
    <cellStyle name="輔色3 8 7" xfId="36220"/>
    <cellStyle name="輔色3 8 8" xfId="37822"/>
    <cellStyle name="輔色3 8 9" xfId="39311"/>
    <cellStyle name="輔色3 9" xfId="11294"/>
    <cellStyle name="輔色3 9 10" xfId="40648"/>
    <cellStyle name="輔色3 9 11" xfId="41760"/>
    <cellStyle name="輔色3 9 2" xfId="25912"/>
    <cellStyle name="輔色3 9 3" xfId="29265"/>
    <cellStyle name="輔色3 9 4" xfId="31047"/>
    <cellStyle name="輔色3 9 5" xfId="32816"/>
    <cellStyle name="輔色3 9 6" xfId="34548"/>
    <cellStyle name="輔色3 9 7" xfId="36221"/>
    <cellStyle name="輔色3 9 8" xfId="37823"/>
    <cellStyle name="輔色3 9 9" xfId="39312"/>
    <cellStyle name="輔色4 10" xfId="12053"/>
    <cellStyle name="輔色4 10 10" xfId="40649"/>
    <cellStyle name="輔色4 10 11" xfId="41761"/>
    <cellStyle name="輔色4 10 2" xfId="25913"/>
    <cellStyle name="輔色4 10 3" xfId="29266"/>
    <cellStyle name="輔色4 10 4" xfId="31048"/>
    <cellStyle name="輔色4 10 5" xfId="32817"/>
    <cellStyle name="輔色4 10 6" xfId="34549"/>
    <cellStyle name="輔色4 10 7" xfId="36222"/>
    <cellStyle name="輔色4 10 8" xfId="37824"/>
    <cellStyle name="輔色4 10 9" xfId="39313"/>
    <cellStyle name="輔色4 11" xfId="12097"/>
    <cellStyle name="輔色4 11 10" xfId="40650"/>
    <cellStyle name="輔色4 11 11" xfId="41762"/>
    <cellStyle name="輔色4 11 2" xfId="25914"/>
    <cellStyle name="輔色4 11 3" xfId="29267"/>
    <cellStyle name="輔色4 11 4" xfId="31049"/>
    <cellStyle name="輔色4 11 5" xfId="32818"/>
    <cellStyle name="輔色4 11 6" xfId="34550"/>
    <cellStyle name="輔色4 11 7" xfId="36223"/>
    <cellStyle name="輔色4 11 8" xfId="37825"/>
    <cellStyle name="輔色4 11 9" xfId="39314"/>
    <cellStyle name="輔色4 12" xfId="11670"/>
    <cellStyle name="輔色4 12 10" xfId="40651"/>
    <cellStyle name="輔色4 12 11" xfId="41763"/>
    <cellStyle name="輔色4 12 2" xfId="25915"/>
    <cellStyle name="輔色4 12 3" xfId="29268"/>
    <cellStyle name="輔色4 12 4" xfId="31050"/>
    <cellStyle name="輔色4 12 5" xfId="32819"/>
    <cellStyle name="輔色4 12 6" xfId="34551"/>
    <cellStyle name="輔色4 12 7" xfId="36224"/>
    <cellStyle name="輔色4 12 8" xfId="37826"/>
    <cellStyle name="輔色4 12 9" xfId="39315"/>
    <cellStyle name="輔色4 13" xfId="11113"/>
    <cellStyle name="輔色4 13 10" xfId="40652"/>
    <cellStyle name="輔色4 13 11" xfId="41764"/>
    <cellStyle name="輔色4 13 2" xfId="25916"/>
    <cellStyle name="輔色4 13 3" xfId="29269"/>
    <cellStyle name="輔色4 13 4" xfId="31051"/>
    <cellStyle name="輔色4 13 5" xfId="32820"/>
    <cellStyle name="輔色4 13 6" xfId="34552"/>
    <cellStyle name="輔色4 13 7" xfId="36225"/>
    <cellStyle name="輔色4 13 8" xfId="37827"/>
    <cellStyle name="輔色4 13 9" xfId="39316"/>
    <cellStyle name="輔色4 14" xfId="13981"/>
    <cellStyle name="輔色4 14 10" xfId="40653"/>
    <cellStyle name="輔色4 14 11" xfId="41765"/>
    <cellStyle name="輔色4 14 2" xfId="25917"/>
    <cellStyle name="輔色4 14 3" xfId="29270"/>
    <cellStyle name="輔色4 14 4" xfId="31052"/>
    <cellStyle name="輔色4 14 5" xfId="32821"/>
    <cellStyle name="輔色4 14 6" xfId="34553"/>
    <cellStyle name="輔色4 14 7" xfId="36226"/>
    <cellStyle name="輔色4 14 8" xfId="37828"/>
    <cellStyle name="輔色4 14 9" xfId="39317"/>
    <cellStyle name="輔色4 15" xfId="14873"/>
    <cellStyle name="輔色4 15 10" xfId="40654"/>
    <cellStyle name="輔色4 15 11" xfId="41766"/>
    <cellStyle name="輔色4 15 2" xfId="25918"/>
    <cellStyle name="輔色4 15 3" xfId="29271"/>
    <cellStyle name="輔色4 15 4" xfId="31053"/>
    <cellStyle name="輔色4 15 5" xfId="32822"/>
    <cellStyle name="輔色4 15 6" xfId="34554"/>
    <cellStyle name="輔色4 15 7" xfId="36227"/>
    <cellStyle name="輔色4 15 8" xfId="37829"/>
    <cellStyle name="輔色4 15 9" xfId="39318"/>
    <cellStyle name="輔色4 16" xfId="15909"/>
    <cellStyle name="輔色4 16 10" xfId="40655"/>
    <cellStyle name="輔色4 16 11" xfId="41767"/>
    <cellStyle name="輔色4 16 2" xfId="25919"/>
    <cellStyle name="輔色4 16 3" xfId="29272"/>
    <cellStyle name="輔色4 16 4" xfId="31054"/>
    <cellStyle name="輔色4 16 5" xfId="32823"/>
    <cellStyle name="輔色4 16 6" xfId="34555"/>
    <cellStyle name="輔色4 16 7" xfId="36228"/>
    <cellStyle name="輔色4 16 8" xfId="37830"/>
    <cellStyle name="輔色4 16 9" xfId="39319"/>
    <cellStyle name="輔色4 17" xfId="16838"/>
    <cellStyle name="輔色4 17 10" xfId="40656"/>
    <cellStyle name="輔色4 17 11" xfId="41768"/>
    <cellStyle name="輔色4 17 2" xfId="25920"/>
    <cellStyle name="輔色4 17 3" xfId="29273"/>
    <cellStyle name="輔色4 17 4" xfId="31055"/>
    <cellStyle name="輔色4 17 5" xfId="32824"/>
    <cellStyle name="輔色4 17 6" xfId="34556"/>
    <cellStyle name="輔色4 17 7" xfId="36229"/>
    <cellStyle name="輔色4 17 8" xfId="37831"/>
    <cellStyle name="輔色4 17 9" xfId="39320"/>
    <cellStyle name="輔色4 18" xfId="17747"/>
    <cellStyle name="輔色4 18 10" xfId="40657"/>
    <cellStyle name="輔色4 18 11" xfId="41769"/>
    <cellStyle name="輔色4 18 2" xfId="25921"/>
    <cellStyle name="輔色4 18 3" xfId="29274"/>
    <cellStyle name="輔色4 18 4" xfId="31056"/>
    <cellStyle name="輔色4 18 5" xfId="32825"/>
    <cellStyle name="輔色4 18 6" xfId="34557"/>
    <cellStyle name="輔色4 18 7" xfId="36230"/>
    <cellStyle name="輔色4 18 8" xfId="37832"/>
    <cellStyle name="輔色4 18 9" xfId="39321"/>
    <cellStyle name="輔色4 19" xfId="18637"/>
    <cellStyle name="輔色4 19 10" xfId="40658"/>
    <cellStyle name="輔色4 19 11" xfId="41770"/>
    <cellStyle name="輔色4 19 2" xfId="25922"/>
    <cellStyle name="輔色4 19 3" xfId="29275"/>
    <cellStyle name="輔色4 19 4" xfId="31057"/>
    <cellStyle name="輔色4 19 5" xfId="32826"/>
    <cellStyle name="輔色4 19 6" xfId="34558"/>
    <cellStyle name="輔色4 19 7" xfId="36231"/>
    <cellStyle name="輔色4 19 8" xfId="37833"/>
    <cellStyle name="輔色4 19 9" xfId="39322"/>
    <cellStyle name="輔色4 2" xfId="8598"/>
    <cellStyle name="輔色4 2 10" xfId="40659"/>
    <cellStyle name="輔色4 2 11" xfId="41771"/>
    <cellStyle name="輔色4 2 12" xfId="9187"/>
    <cellStyle name="輔色4 2 2" xfId="9530"/>
    <cellStyle name="輔色4 2 2 2" xfId="25923"/>
    <cellStyle name="輔色4 2 3" xfId="29276"/>
    <cellStyle name="輔色4 2 4" xfId="31058"/>
    <cellStyle name="輔色4 2 5" xfId="32827"/>
    <cellStyle name="輔色4 2 6" xfId="34559"/>
    <cellStyle name="輔色4 2 7" xfId="36232"/>
    <cellStyle name="輔色4 2 8" xfId="37834"/>
    <cellStyle name="輔色4 2 9" xfId="39323"/>
    <cellStyle name="輔色4 20" xfId="17673"/>
    <cellStyle name="輔色4 20 10" xfId="40660"/>
    <cellStyle name="輔色4 20 11" xfId="41772"/>
    <cellStyle name="輔色4 20 2" xfId="25924"/>
    <cellStyle name="輔色4 20 3" xfId="29277"/>
    <cellStyle name="輔色4 20 4" xfId="31059"/>
    <cellStyle name="輔色4 20 5" xfId="32828"/>
    <cellStyle name="輔色4 20 6" xfId="34560"/>
    <cellStyle name="輔色4 20 7" xfId="36233"/>
    <cellStyle name="輔色4 20 8" xfId="37835"/>
    <cellStyle name="輔色4 20 9" xfId="39324"/>
    <cellStyle name="輔色4 21" xfId="19429"/>
    <cellStyle name="輔色4 21 10" xfId="40661"/>
    <cellStyle name="輔色4 21 11" xfId="41773"/>
    <cellStyle name="輔色4 21 2" xfId="25925"/>
    <cellStyle name="輔色4 21 3" xfId="29278"/>
    <cellStyle name="輔色4 21 4" xfId="31060"/>
    <cellStyle name="輔色4 21 5" xfId="32829"/>
    <cellStyle name="輔色4 21 6" xfId="34561"/>
    <cellStyle name="輔色4 21 7" xfId="36234"/>
    <cellStyle name="輔色4 21 8" xfId="37836"/>
    <cellStyle name="輔色4 21 9" xfId="39325"/>
    <cellStyle name="輔色4 22" xfId="21214"/>
    <cellStyle name="輔色4 22 10" xfId="40662"/>
    <cellStyle name="輔色4 22 11" xfId="41774"/>
    <cellStyle name="輔色4 22 2" xfId="25926"/>
    <cellStyle name="輔色4 22 3" xfId="29279"/>
    <cellStyle name="輔色4 22 4" xfId="31061"/>
    <cellStyle name="輔色4 22 5" xfId="32830"/>
    <cellStyle name="輔色4 22 6" xfId="34562"/>
    <cellStyle name="輔色4 22 7" xfId="36235"/>
    <cellStyle name="輔色4 22 8" xfId="37837"/>
    <cellStyle name="輔色4 22 9" xfId="39326"/>
    <cellStyle name="輔色4 23" xfId="22955"/>
    <cellStyle name="輔色4 23 10" xfId="40663"/>
    <cellStyle name="輔色4 23 11" xfId="41775"/>
    <cellStyle name="輔色4 23 2" xfId="25927"/>
    <cellStyle name="輔色4 23 3" xfId="29280"/>
    <cellStyle name="輔色4 23 4" xfId="31062"/>
    <cellStyle name="輔色4 23 5" xfId="32831"/>
    <cellStyle name="輔色4 23 6" xfId="34563"/>
    <cellStyle name="輔色4 23 7" xfId="36236"/>
    <cellStyle name="輔色4 23 8" xfId="37838"/>
    <cellStyle name="輔色4 23 9" xfId="39327"/>
    <cellStyle name="輔色4 24" xfId="25928"/>
    <cellStyle name="輔色4 25" xfId="25929"/>
    <cellStyle name="輔色4 26" xfId="25930"/>
    <cellStyle name="輔色4 27" xfId="25931"/>
    <cellStyle name="輔色4 28" xfId="25932"/>
    <cellStyle name="輔色4 29" xfId="25933"/>
    <cellStyle name="輔色4 3" xfId="9229"/>
    <cellStyle name="輔色4 3 10" xfId="40664"/>
    <cellStyle name="輔色4 3 11" xfId="41776"/>
    <cellStyle name="輔色4 3 2" xfId="10273"/>
    <cellStyle name="輔色4 3 2 2" xfId="25934"/>
    <cellStyle name="輔色4 3 3" xfId="29286"/>
    <cellStyle name="輔色4 3 4" xfId="31068"/>
    <cellStyle name="輔色4 3 5" xfId="32837"/>
    <cellStyle name="輔色4 3 6" xfId="34569"/>
    <cellStyle name="輔色4 3 7" xfId="36241"/>
    <cellStyle name="輔色4 3 8" xfId="37843"/>
    <cellStyle name="輔色4 3 9" xfId="39332"/>
    <cellStyle name="輔色4 30" xfId="25935"/>
    <cellStyle name="輔色4 31" xfId="25936"/>
    <cellStyle name="輔色4 32" xfId="25937"/>
    <cellStyle name="輔色4 33" xfId="25938"/>
    <cellStyle name="輔色4 34" xfId="25939"/>
    <cellStyle name="輔色4 35" xfId="25940"/>
    <cellStyle name="輔色4 36" xfId="25941"/>
    <cellStyle name="輔色4 37" xfId="25942"/>
    <cellStyle name="輔色4 38" xfId="25943"/>
    <cellStyle name="輔色4 39" xfId="25944"/>
    <cellStyle name="輔色4 4" xfId="10850"/>
    <cellStyle name="輔色4 4 10" xfId="40665"/>
    <cellStyle name="輔色4 4 11" xfId="41777"/>
    <cellStyle name="輔色4 4 2" xfId="25945"/>
    <cellStyle name="輔色4 4 3" xfId="29296"/>
    <cellStyle name="輔色4 4 4" xfId="31078"/>
    <cellStyle name="輔色4 4 5" xfId="32847"/>
    <cellStyle name="輔色4 4 6" xfId="34577"/>
    <cellStyle name="輔色4 4 7" xfId="36249"/>
    <cellStyle name="輔色4 4 8" xfId="37848"/>
    <cellStyle name="輔色4 4 9" xfId="39337"/>
    <cellStyle name="輔色4 40" xfId="25946"/>
    <cellStyle name="輔色4 41" xfId="25947"/>
    <cellStyle name="輔色4 42" xfId="25948"/>
    <cellStyle name="輔色4 43" xfId="25949"/>
    <cellStyle name="輔色4 44" xfId="25950"/>
    <cellStyle name="輔色4 45" xfId="25951"/>
    <cellStyle name="輔色4 46" xfId="25952"/>
    <cellStyle name="輔色4 47" xfId="25953"/>
    <cellStyle name="輔色4 48" xfId="25954"/>
    <cellStyle name="輔色4 49" xfId="25955"/>
    <cellStyle name="輔色4 5" xfId="10973"/>
    <cellStyle name="輔色4 5 10" xfId="40666"/>
    <cellStyle name="輔色4 5 11" xfId="41778"/>
    <cellStyle name="輔色4 5 2" xfId="25956"/>
    <cellStyle name="輔色4 5 3" xfId="29306"/>
    <cellStyle name="輔色4 5 4" xfId="31087"/>
    <cellStyle name="輔色4 5 5" xfId="32856"/>
    <cellStyle name="輔色4 5 6" xfId="34585"/>
    <cellStyle name="輔色4 5 7" xfId="36256"/>
    <cellStyle name="輔色4 5 8" xfId="37851"/>
    <cellStyle name="輔色4 5 9" xfId="39339"/>
    <cellStyle name="輔色4 50" xfId="25957"/>
    <cellStyle name="輔色4 51" xfId="25958"/>
    <cellStyle name="輔色4 52" xfId="25959"/>
    <cellStyle name="輔色4 53" xfId="25960"/>
    <cellStyle name="輔色4 54" xfId="25961"/>
    <cellStyle name="輔色4 55" xfId="25962"/>
    <cellStyle name="輔色4 56" xfId="25963"/>
    <cellStyle name="輔色4 57" xfId="25964"/>
    <cellStyle name="輔色4 58" xfId="25965"/>
    <cellStyle name="輔色4 59" xfId="25966"/>
    <cellStyle name="輔色4 6" xfId="11225"/>
    <cellStyle name="輔色4 6 10" xfId="40667"/>
    <cellStyle name="輔色4 6 11" xfId="41779"/>
    <cellStyle name="輔色4 6 2" xfId="25967"/>
    <cellStyle name="輔色4 6 3" xfId="29317"/>
    <cellStyle name="輔色4 6 4" xfId="31098"/>
    <cellStyle name="輔色4 6 5" xfId="32867"/>
    <cellStyle name="輔色4 6 6" xfId="34596"/>
    <cellStyle name="輔色4 6 7" xfId="36265"/>
    <cellStyle name="輔色4 6 8" xfId="37858"/>
    <cellStyle name="輔色4 6 9" xfId="39345"/>
    <cellStyle name="輔色4 60" xfId="25968"/>
    <cellStyle name="輔色4 61" xfId="25969"/>
    <cellStyle name="輔色4 62" xfId="23493"/>
    <cellStyle name="輔色4 63" xfId="28818"/>
    <cellStyle name="輔色4 64" xfId="30604"/>
    <cellStyle name="輔色4 65" xfId="32378"/>
    <cellStyle name="輔色4 66" xfId="34130"/>
    <cellStyle name="輔色4 67" xfId="35837"/>
    <cellStyle name="輔色4 68" xfId="37472"/>
    <cellStyle name="輔色4 69" xfId="39019"/>
    <cellStyle name="輔色4 7" xfId="11416"/>
    <cellStyle name="輔色4 7 10" xfId="40668"/>
    <cellStyle name="輔色4 7 11" xfId="41780"/>
    <cellStyle name="輔色4 7 2" xfId="25970"/>
    <cellStyle name="輔色4 7 3" xfId="29320"/>
    <cellStyle name="輔色4 7 4" xfId="31101"/>
    <cellStyle name="輔色4 7 5" xfId="32870"/>
    <cellStyle name="輔色4 7 6" xfId="34599"/>
    <cellStyle name="輔色4 7 7" xfId="36268"/>
    <cellStyle name="輔色4 7 8" xfId="37859"/>
    <cellStyle name="輔色4 7 9" xfId="39346"/>
    <cellStyle name="輔色4 70" xfId="40432"/>
    <cellStyle name="輔色4 71" xfId="8670"/>
    <cellStyle name="輔色4 72" xfId="8011"/>
    <cellStyle name="輔色4 73" xfId="7968"/>
    <cellStyle name="輔色4 8" xfId="11607"/>
    <cellStyle name="輔色4 8 10" xfId="40669"/>
    <cellStyle name="輔色4 8 11" xfId="41781"/>
    <cellStyle name="輔色4 8 2" xfId="25971"/>
    <cellStyle name="輔色4 8 3" xfId="29321"/>
    <cellStyle name="輔色4 8 4" xfId="31102"/>
    <cellStyle name="輔色4 8 5" xfId="32871"/>
    <cellStyle name="輔色4 8 6" xfId="34600"/>
    <cellStyle name="輔色4 8 7" xfId="36269"/>
    <cellStyle name="輔色4 8 8" xfId="37860"/>
    <cellStyle name="輔色4 8 9" xfId="39347"/>
    <cellStyle name="輔色4 9" xfId="11788"/>
    <cellStyle name="輔色4 9 10" xfId="40670"/>
    <cellStyle name="輔色4 9 11" xfId="41782"/>
    <cellStyle name="輔色4 9 2" xfId="25972"/>
    <cellStyle name="輔色4 9 3" xfId="29322"/>
    <cellStyle name="輔色4 9 4" xfId="31103"/>
    <cellStyle name="輔色4 9 5" xfId="32872"/>
    <cellStyle name="輔色4 9 6" xfId="34601"/>
    <cellStyle name="輔色4 9 7" xfId="36270"/>
    <cellStyle name="輔色4 9 8" xfId="37861"/>
    <cellStyle name="輔色4 9 9" xfId="39348"/>
    <cellStyle name="輔色5 10" xfId="11348"/>
    <cellStyle name="輔色5 10 10" xfId="40671"/>
    <cellStyle name="輔色5 10 11" xfId="41783"/>
    <cellStyle name="輔色5 10 2" xfId="25973"/>
    <cellStyle name="輔色5 10 3" xfId="29323"/>
    <cellStyle name="輔色5 10 4" xfId="31104"/>
    <cellStyle name="輔色5 10 5" xfId="32873"/>
    <cellStyle name="輔色5 10 6" xfId="34602"/>
    <cellStyle name="輔色5 10 7" xfId="36271"/>
    <cellStyle name="輔色5 10 8" xfId="37862"/>
    <cellStyle name="輔色5 10 9" xfId="39349"/>
    <cellStyle name="輔色5 11" xfId="12090"/>
    <cellStyle name="輔色5 11 10" xfId="40672"/>
    <cellStyle name="輔色5 11 11" xfId="41784"/>
    <cellStyle name="輔色5 11 2" xfId="25974"/>
    <cellStyle name="輔色5 11 3" xfId="29324"/>
    <cellStyle name="輔色5 11 4" xfId="31105"/>
    <cellStyle name="輔色5 11 5" xfId="32874"/>
    <cellStyle name="輔色5 11 6" xfId="34603"/>
    <cellStyle name="輔色5 11 7" xfId="36272"/>
    <cellStyle name="輔色5 11 8" xfId="37863"/>
    <cellStyle name="輔色5 11 9" xfId="39350"/>
    <cellStyle name="輔色5 12" xfId="11566"/>
    <cellStyle name="輔色5 12 10" xfId="40673"/>
    <cellStyle name="輔色5 12 11" xfId="41785"/>
    <cellStyle name="輔色5 12 2" xfId="25975"/>
    <cellStyle name="輔色5 12 3" xfId="29325"/>
    <cellStyle name="輔色5 12 4" xfId="31106"/>
    <cellStyle name="輔色5 12 5" xfId="32875"/>
    <cellStyle name="輔色5 12 6" xfId="34604"/>
    <cellStyle name="輔色5 12 7" xfId="36273"/>
    <cellStyle name="輔色5 12 8" xfId="37864"/>
    <cellStyle name="輔色5 12 9" xfId="39351"/>
    <cellStyle name="輔色5 13" xfId="10842"/>
    <cellStyle name="輔色5 13 10" xfId="40674"/>
    <cellStyle name="輔色5 13 11" xfId="41786"/>
    <cellStyle name="輔色5 13 2" xfId="25976"/>
    <cellStyle name="輔色5 13 3" xfId="29326"/>
    <cellStyle name="輔色5 13 4" xfId="31107"/>
    <cellStyle name="輔色5 13 5" xfId="32876"/>
    <cellStyle name="輔色5 13 6" xfId="34605"/>
    <cellStyle name="輔色5 13 7" xfId="36274"/>
    <cellStyle name="輔色5 13 8" xfId="37865"/>
    <cellStyle name="輔色5 13 9" xfId="39352"/>
    <cellStyle name="輔色5 14" xfId="13913"/>
    <cellStyle name="輔色5 14 10" xfId="40675"/>
    <cellStyle name="輔色5 14 11" xfId="41787"/>
    <cellStyle name="輔色5 14 2" xfId="25977"/>
    <cellStyle name="輔色5 14 3" xfId="29327"/>
    <cellStyle name="輔色5 14 4" xfId="31108"/>
    <cellStyle name="輔色5 14 5" xfId="32877"/>
    <cellStyle name="輔色5 14 6" xfId="34606"/>
    <cellStyle name="輔色5 14 7" xfId="36275"/>
    <cellStyle name="輔色5 14 8" xfId="37866"/>
    <cellStyle name="輔色5 14 9" xfId="39353"/>
    <cellStyle name="輔色5 15" xfId="11767"/>
    <cellStyle name="輔色5 15 10" xfId="40676"/>
    <cellStyle name="輔色5 15 11" xfId="41788"/>
    <cellStyle name="輔色5 15 2" xfId="25978"/>
    <cellStyle name="輔色5 15 3" xfId="29328"/>
    <cellStyle name="輔色5 15 4" xfId="31109"/>
    <cellStyle name="輔色5 15 5" xfId="32878"/>
    <cellStyle name="輔色5 15 6" xfId="34607"/>
    <cellStyle name="輔色5 15 7" xfId="36276"/>
    <cellStyle name="輔色5 15 8" xfId="37867"/>
    <cellStyle name="輔色5 15 9" xfId="39354"/>
    <cellStyle name="輔色5 16" xfId="12057"/>
    <cellStyle name="輔色5 16 10" xfId="40677"/>
    <cellStyle name="輔色5 16 11" xfId="41789"/>
    <cellStyle name="輔色5 16 2" xfId="25979"/>
    <cellStyle name="輔色5 16 3" xfId="29329"/>
    <cellStyle name="輔色5 16 4" xfId="31110"/>
    <cellStyle name="輔色5 16 5" xfId="32879"/>
    <cellStyle name="輔色5 16 6" xfId="34608"/>
    <cellStyle name="輔色5 16 7" xfId="36277"/>
    <cellStyle name="輔色5 16 8" xfId="37868"/>
    <cellStyle name="輔色5 16 9" xfId="39355"/>
    <cellStyle name="輔色5 17" xfId="14794"/>
    <cellStyle name="輔色5 17 10" xfId="40678"/>
    <cellStyle name="輔色5 17 11" xfId="41790"/>
    <cellStyle name="輔色5 17 2" xfId="25980"/>
    <cellStyle name="輔色5 17 3" xfId="29330"/>
    <cellStyle name="輔色5 17 4" xfId="31111"/>
    <cellStyle name="輔色5 17 5" xfId="32880"/>
    <cellStyle name="輔色5 17 6" xfId="34609"/>
    <cellStyle name="輔色5 17 7" xfId="36278"/>
    <cellStyle name="輔色5 17 8" xfId="37869"/>
    <cellStyle name="輔色5 17 9" xfId="39356"/>
    <cellStyle name="輔色5 18" xfId="10303"/>
    <cellStyle name="輔色5 18 10" xfId="40679"/>
    <cellStyle name="輔色5 18 11" xfId="41791"/>
    <cellStyle name="輔色5 18 2" xfId="25981"/>
    <cellStyle name="輔色5 18 3" xfId="29331"/>
    <cellStyle name="輔色5 18 4" xfId="31112"/>
    <cellStyle name="輔色5 18 5" xfId="32881"/>
    <cellStyle name="輔色5 18 6" xfId="34610"/>
    <cellStyle name="輔色5 18 7" xfId="36279"/>
    <cellStyle name="輔色5 18 8" xfId="37870"/>
    <cellStyle name="輔色5 18 9" xfId="39357"/>
    <cellStyle name="輔色5 19" xfId="16763"/>
    <cellStyle name="輔色5 19 10" xfId="40680"/>
    <cellStyle name="輔色5 19 11" xfId="41792"/>
    <cellStyle name="輔色5 19 2" xfId="25982"/>
    <cellStyle name="輔色5 19 3" xfId="29332"/>
    <cellStyle name="輔色5 19 4" xfId="31113"/>
    <cellStyle name="輔色5 19 5" xfId="32882"/>
    <cellStyle name="輔色5 19 6" xfId="34611"/>
    <cellStyle name="輔色5 19 7" xfId="36280"/>
    <cellStyle name="輔色5 19 8" xfId="37871"/>
    <cellStyle name="輔色5 19 9" xfId="39358"/>
    <cellStyle name="輔色5 2" xfId="8599"/>
    <cellStyle name="輔色5 2 10" xfId="40681"/>
    <cellStyle name="輔色5 2 11" xfId="41793"/>
    <cellStyle name="輔色5 2 12" xfId="9191"/>
    <cellStyle name="輔色5 2 2" xfId="9531"/>
    <cellStyle name="輔色5 2 2 2" xfId="25983"/>
    <cellStyle name="輔色5 2 3" xfId="29333"/>
    <cellStyle name="輔色5 2 4" xfId="31114"/>
    <cellStyle name="輔色5 2 5" xfId="32883"/>
    <cellStyle name="輔色5 2 6" xfId="34612"/>
    <cellStyle name="輔色5 2 7" xfId="36281"/>
    <cellStyle name="輔色5 2 8" xfId="37872"/>
    <cellStyle name="輔色5 2 9" xfId="39359"/>
    <cellStyle name="輔色5 20" xfId="14687"/>
    <cellStyle name="輔色5 20 10" xfId="40682"/>
    <cellStyle name="輔色5 20 11" xfId="41794"/>
    <cellStyle name="輔色5 20 2" xfId="25984"/>
    <cellStyle name="輔色5 20 3" xfId="29334"/>
    <cellStyle name="輔色5 20 4" xfId="31115"/>
    <cellStyle name="輔色5 20 5" xfId="32884"/>
    <cellStyle name="輔色5 20 6" xfId="34613"/>
    <cellStyle name="輔色5 20 7" xfId="36282"/>
    <cellStyle name="輔色5 20 8" xfId="37873"/>
    <cellStyle name="輔色5 20 9" xfId="39360"/>
    <cellStyle name="輔色5 21" xfId="20292"/>
    <cellStyle name="輔色5 21 10" xfId="40683"/>
    <cellStyle name="輔色5 21 11" xfId="41795"/>
    <cellStyle name="輔色5 21 2" xfId="25985"/>
    <cellStyle name="輔色5 21 3" xfId="29335"/>
    <cellStyle name="輔色5 21 4" xfId="31116"/>
    <cellStyle name="輔色5 21 5" xfId="32885"/>
    <cellStyle name="輔色5 21 6" xfId="34614"/>
    <cellStyle name="輔色5 21 7" xfId="36283"/>
    <cellStyle name="輔色5 21 8" xfId="37874"/>
    <cellStyle name="輔色5 21 9" xfId="39361"/>
    <cellStyle name="輔色5 22" xfId="19423"/>
    <cellStyle name="輔色5 22 10" xfId="40684"/>
    <cellStyle name="輔色5 22 11" xfId="41796"/>
    <cellStyle name="輔色5 22 2" xfId="25986"/>
    <cellStyle name="輔色5 22 3" xfId="29336"/>
    <cellStyle name="輔色5 22 4" xfId="31117"/>
    <cellStyle name="輔色5 22 5" xfId="32886"/>
    <cellStyle name="輔色5 22 6" xfId="34615"/>
    <cellStyle name="輔色5 22 7" xfId="36284"/>
    <cellStyle name="輔色5 22 8" xfId="37875"/>
    <cellStyle name="輔色5 22 9" xfId="39362"/>
    <cellStyle name="輔色5 23" xfId="22956"/>
    <cellStyle name="輔色5 23 10" xfId="40685"/>
    <cellStyle name="輔色5 23 11" xfId="41797"/>
    <cellStyle name="輔色5 23 2" xfId="25987"/>
    <cellStyle name="輔色5 23 3" xfId="29337"/>
    <cellStyle name="輔色5 23 4" xfId="31118"/>
    <cellStyle name="輔色5 23 5" xfId="32887"/>
    <cellStyle name="輔色5 23 6" xfId="34616"/>
    <cellStyle name="輔色5 23 7" xfId="36285"/>
    <cellStyle name="輔色5 23 8" xfId="37876"/>
    <cellStyle name="輔色5 23 9" xfId="39363"/>
    <cellStyle name="輔色5 24" xfId="25988"/>
    <cellStyle name="輔色5 25" xfId="25989"/>
    <cellStyle name="輔色5 26" xfId="25990"/>
    <cellStyle name="輔色5 27" xfId="25991"/>
    <cellStyle name="輔色5 28" xfId="25992"/>
    <cellStyle name="輔色5 29" xfId="25993"/>
    <cellStyle name="輔色5 3" xfId="9233"/>
    <cellStyle name="輔色5 3 10" xfId="40686"/>
    <cellStyle name="輔色5 3 11" xfId="41798"/>
    <cellStyle name="輔色5 3 2" xfId="10274"/>
    <cellStyle name="輔色5 3 2 2" xfId="25994"/>
    <cellStyle name="輔色5 3 3" xfId="29344"/>
    <cellStyle name="輔色5 3 4" xfId="31125"/>
    <cellStyle name="輔色5 3 5" xfId="32893"/>
    <cellStyle name="輔色5 3 6" xfId="34622"/>
    <cellStyle name="輔色5 3 7" xfId="36291"/>
    <cellStyle name="輔色5 3 8" xfId="37880"/>
    <cellStyle name="輔色5 3 9" xfId="39365"/>
    <cellStyle name="輔色5 30" xfId="25995"/>
    <cellStyle name="輔色5 31" xfId="25996"/>
    <cellStyle name="輔色5 32" xfId="25997"/>
    <cellStyle name="輔色5 33" xfId="25998"/>
    <cellStyle name="輔色5 34" xfId="25999"/>
    <cellStyle name="輔色5 35" xfId="26000"/>
    <cellStyle name="輔色5 36" xfId="26001"/>
    <cellStyle name="輔色5 37" xfId="26002"/>
    <cellStyle name="輔色5 38" xfId="26003"/>
    <cellStyle name="輔色5 39" xfId="26004"/>
    <cellStyle name="輔色5 4" xfId="10778"/>
    <cellStyle name="輔色5 4 10" xfId="40687"/>
    <cellStyle name="輔色5 4 11" xfId="41799"/>
    <cellStyle name="輔色5 4 2" xfId="26005"/>
    <cellStyle name="輔色5 4 3" xfId="29355"/>
    <cellStyle name="輔色5 4 4" xfId="31136"/>
    <cellStyle name="輔色5 4 5" xfId="32904"/>
    <cellStyle name="輔色5 4 6" xfId="34633"/>
    <cellStyle name="輔色5 4 7" xfId="36301"/>
    <cellStyle name="輔色5 4 8" xfId="37889"/>
    <cellStyle name="輔色5 4 9" xfId="39370"/>
    <cellStyle name="輔色5 40" xfId="26006"/>
    <cellStyle name="輔色5 41" xfId="26007"/>
    <cellStyle name="輔色5 42" xfId="26008"/>
    <cellStyle name="輔色5 43" xfId="26009"/>
    <cellStyle name="輔色5 44" xfId="26010"/>
    <cellStyle name="輔色5 45" xfId="26011"/>
    <cellStyle name="輔色5 46" xfId="26012"/>
    <cellStyle name="輔色5 47" xfId="26013"/>
    <cellStyle name="輔色5 48" xfId="26014"/>
    <cellStyle name="輔色5 49" xfId="26015"/>
    <cellStyle name="輔色5 5" xfId="10884"/>
    <cellStyle name="輔色5 5 10" xfId="40688"/>
    <cellStyle name="輔色5 5 11" xfId="41800"/>
    <cellStyle name="輔色5 5 2" xfId="26016"/>
    <cellStyle name="輔色5 5 3" xfId="29365"/>
    <cellStyle name="輔色5 5 4" xfId="31144"/>
    <cellStyle name="輔色5 5 5" xfId="32912"/>
    <cellStyle name="輔色5 5 6" xfId="34640"/>
    <cellStyle name="輔色5 5 7" xfId="36307"/>
    <cellStyle name="輔色5 5 8" xfId="37893"/>
    <cellStyle name="輔色5 5 9" xfId="39374"/>
    <cellStyle name="輔色5 50" xfId="26017"/>
    <cellStyle name="輔色5 51" xfId="26018"/>
    <cellStyle name="輔色5 52" xfId="26019"/>
    <cellStyle name="輔色5 53" xfId="26020"/>
    <cellStyle name="輔色5 54" xfId="26021"/>
    <cellStyle name="輔色5 55" xfId="26022"/>
    <cellStyle name="輔色5 56" xfId="26023"/>
    <cellStyle name="輔色5 57" xfId="26024"/>
    <cellStyle name="輔色5 58" xfId="26025"/>
    <cellStyle name="輔色5 59" xfId="26026"/>
    <cellStyle name="輔色5 6" xfId="10485"/>
    <cellStyle name="輔色5 6 10" xfId="40689"/>
    <cellStyle name="輔色5 6 11" xfId="41801"/>
    <cellStyle name="輔色5 6 2" xfId="26027"/>
    <cellStyle name="輔色5 6 3" xfId="29376"/>
    <cellStyle name="輔色5 6 4" xfId="31153"/>
    <cellStyle name="輔色5 6 5" xfId="32920"/>
    <cellStyle name="輔色5 6 6" xfId="34647"/>
    <cellStyle name="輔色5 6 7" xfId="36314"/>
    <cellStyle name="輔色5 6 8" xfId="37900"/>
    <cellStyle name="輔色5 6 9" xfId="39378"/>
    <cellStyle name="輔色5 60" xfId="26028"/>
    <cellStyle name="輔色5 61" xfId="26029"/>
    <cellStyle name="輔色5 62" xfId="23412"/>
    <cellStyle name="輔色5 63" xfId="28817"/>
    <cellStyle name="輔色5 64" xfId="30603"/>
    <cellStyle name="輔色5 65" xfId="32377"/>
    <cellStyle name="輔色5 66" xfId="34129"/>
    <cellStyle name="輔色5 67" xfId="35836"/>
    <cellStyle name="輔色5 68" xfId="37471"/>
    <cellStyle name="輔色5 69" xfId="39018"/>
    <cellStyle name="輔色5 7" xfId="11124"/>
    <cellStyle name="輔色5 7 10" xfId="40690"/>
    <cellStyle name="輔色5 7 11" xfId="41802"/>
    <cellStyle name="輔色5 7 2" xfId="26030"/>
    <cellStyle name="輔色5 7 3" xfId="29379"/>
    <cellStyle name="輔色5 7 4" xfId="31156"/>
    <cellStyle name="輔色5 7 5" xfId="32923"/>
    <cellStyle name="輔色5 7 6" xfId="34650"/>
    <cellStyle name="輔色5 7 7" xfId="36316"/>
    <cellStyle name="輔色5 7 8" xfId="37902"/>
    <cellStyle name="輔色5 7 9" xfId="39380"/>
    <cellStyle name="輔色5 70" xfId="40431"/>
    <cellStyle name="輔色5 71" xfId="8015"/>
    <cellStyle name="輔色5 72" xfId="7969"/>
    <cellStyle name="輔色5 8" xfId="11318"/>
    <cellStyle name="輔色5 8 10" xfId="40691"/>
    <cellStyle name="輔色5 8 11" xfId="41803"/>
    <cellStyle name="輔色5 8 2" xfId="26031"/>
    <cellStyle name="輔色5 8 3" xfId="29380"/>
    <cellStyle name="輔色5 8 4" xfId="31157"/>
    <cellStyle name="輔色5 8 5" xfId="32924"/>
    <cellStyle name="輔色5 8 6" xfId="34651"/>
    <cellStyle name="輔色5 8 7" xfId="36317"/>
    <cellStyle name="輔色5 8 8" xfId="37903"/>
    <cellStyle name="輔色5 8 9" xfId="39381"/>
    <cellStyle name="輔色5 9" xfId="11510"/>
    <cellStyle name="輔色5 9 10" xfId="40692"/>
    <cellStyle name="輔色5 9 11" xfId="41804"/>
    <cellStyle name="輔色5 9 2" xfId="26032"/>
    <cellStyle name="輔色5 9 3" xfId="29381"/>
    <cellStyle name="輔色5 9 4" xfId="31158"/>
    <cellStyle name="輔色5 9 5" xfId="32925"/>
    <cellStyle name="輔色5 9 6" xfId="34652"/>
    <cellStyle name="輔色5 9 7" xfId="36318"/>
    <cellStyle name="輔色5 9 8" xfId="37904"/>
    <cellStyle name="輔色5 9 9" xfId="39382"/>
    <cellStyle name="輔色6 10" xfId="10613"/>
    <cellStyle name="輔色6 10 10" xfId="40693"/>
    <cellStyle name="輔色6 10 11" xfId="41805"/>
    <cellStyle name="輔色6 10 2" xfId="26033"/>
    <cellStyle name="輔色6 10 3" xfId="29382"/>
    <cellStyle name="輔色6 10 4" xfId="31159"/>
    <cellStyle name="輔色6 10 5" xfId="32926"/>
    <cellStyle name="輔色6 10 6" xfId="34653"/>
    <cellStyle name="輔色6 10 7" xfId="36319"/>
    <cellStyle name="輔色6 10 8" xfId="37905"/>
    <cellStyle name="輔色6 10 9" xfId="39383"/>
    <cellStyle name="輔色6 11" xfId="10762"/>
    <cellStyle name="輔色6 11 10" xfId="40694"/>
    <cellStyle name="輔色6 11 11" xfId="41806"/>
    <cellStyle name="輔色6 11 2" xfId="26034"/>
    <cellStyle name="輔色6 11 3" xfId="29383"/>
    <cellStyle name="輔色6 11 4" xfId="31160"/>
    <cellStyle name="輔色6 11 5" xfId="32927"/>
    <cellStyle name="輔色6 11 6" xfId="34654"/>
    <cellStyle name="輔色6 11 7" xfId="36320"/>
    <cellStyle name="輔色6 11 8" xfId="37906"/>
    <cellStyle name="輔色6 11 9" xfId="39384"/>
    <cellStyle name="輔色6 12" xfId="12137"/>
    <cellStyle name="輔色6 12 10" xfId="40695"/>
    <cellStyle name="輔色6 12 11" xfId="41807"/>
    <cellStyle name="輔色6 12 2" xfId="26035"/>
    <cellStyle name="輔色6 12 3" xfId="29384"/>
    <cellStyle name="輔色6 12 4" xfId="31161"/>
    <cellStyle name="輔色6 12 5" xfId="32928"/>
    <cellStyle name="輔色6 12 6" xfId="34655"/>
    <cellStyle name="輔色6 12 7" xfId="36321"/>
    <cellStyle name="輔色6 12 8" xfId="37907"/>
    <cellStyle name="輔色6 12 9" xfId="39385"/>
    <cellStyle name="輔色6 13" xfId="12296"/>
    <cellStyle name="輔色6 13 10" xfId="40696"/>
    <cellStyle name="輔色6 13 11" xfId="41808"/>
    <cellStyle name="輔色6 13 2" xfId="26036"/>
    <cellStyle name="輔色6 13 3" xfId="29385"/>
    <cellStyle name="輔色6 13 4" xfId="31162"/>
    <cellStyle name="輔色6 13 5" xfId="32929"/>
    <cellStyle name="輔色6 13 6" xfId="34656"/>
    <cellStyle name="輔色6 13 7" xfId="36322"/>
    <cellStyle name="輔色6 13 8" xfId="37908"/>
    <cellStyle name="輔色6 13 9" xfId="39386"/>
    <cellStyle name="輔色6 14" xfId="13854"/>
    <cellStyle name="輔色6 14 10" xfId="40697"/>
    <cellStyle name="輔色6 14 11" xfId="41809"/>
    <cellStyle name="輔色6 14 2" xfId="26037"/>
    <cellStyle name="輔色6 14 3" xfId="29386"/>
    <cellStyle name="輔色6 14 4" xfId="31163"/>
    <cellStyle name="輔色6 14 5" xfId="32930"/>
    <cellStyle name="輔色6 14 6" xfId="34657"/>
    <cellStyle name="輔色6 14 7" xfId="36323"/>
    <cellStyle name="輔色6 14 8" xfId="37909"/>
    <cellStyle name="輔色6 14 9" xfId="39387"/>
    <cellStyle name="輔色6 15" xfId="11444"/>
    <cellStyle name="輔色6 15 10" xfId="40698"/>
    <cellStyle name="輔色6 15 11" xfId="41810"/>
    <cellStyle name="輔色6 15 2" xfId="26038"/>
    <cellStyle name="輔色6 15 3" xfId="29387"/>
    <cellStyle name="輔色6 15 4" xfId="31164"/>
    <cellStyle name="輔色6 15 5" xfId="32931"/>
    <cellStyle name="輔色6 15 6" xfId="34658"/>
    <cellStyle name="輔色6 15 7" xfId="36324"/>
    <cellStyle name="輔色6 15 8" xfId="37910"/>
    <cellStyle name="輔色6 15 9" xfId="39388"/>
    <cellStyle name="輔色6 16" xfId="13953"/>
    <cellStyle name="輔色6 16 10" xfId="40699"/>
    <cellStyle name="輔色6 16 11" xfId="41811"/>
    <cellStyle name="輔色6 16 2" xfId="26039"/>
    <cellStyle name="輔色6 16 3" xfId="29388"/>
    <cellStyle name="輔色6 16 4" xfId="31165"/>
    <cellStyle name="輔色6 16 5" xfId="32932"/>
    <cellStyle name="輔色6 16 6" xfId="34659"/>
    <cellStyle name="輔色6 16 7" xfId="36325"/>
    <cellStyle name="輔色6 16 8" xfId="37911"/>
    <cellStyle name="輔色6 16 9" xfId="39389"/>
    <cellStyle name="輔色6 17" xfId="12056"/>
    <cellStyle name="輔色6 17 10" xfId="40700"/>
    <cellStyle name="輔色6 17 11" xfId="41812"/>
    <cellStyle name="輔色6 17 2" xfId="26040"/>
    <cellStyle name="輔色6 17 3" xfId="29389"/>
    <cellStyle name="輔色6 17 4" xfId="31166"/>
    <cellStyle name="輔色6 17 5" xfId="32933"/>
    <cellStyle name="輔色6 17 6" xfId="34660"/>
    <cellStyle name="輔色6 17 7" xfId="36326"/>
    <cellStyle name="輔色6 17 8" xfId="37912"/>
    <cellStyle name="輔色6 17 9" xfId="39390"/>
    <cellStyle name="輔色6 18" xfId="14855"/>
    <cellStyle name="輔色6 18 10" xfId="40701"/>
    <cellStyle name="輔色6 18 11" xfId="41813"/>
    <cellStyle name="輔色6 18 2" xfId="26041"/>
    <cellStyle name="輔色6 18 3" xfId="29390"/>
    <cellStyle name="輔色6 18 4" xfId="31167"/>
    <cellStyle name="輔色6 18 5" xfId="32934"/>
    <cellStyle name="輔色6 18 6" xfId="34661"/>
    <cellStyle name="輔色6 18 7" xfId="36327"/>
    <cellStyle name="輔色6 18 8" xfId="37913"/>
    <cellStyle name="輔色6 18 9" xfId="39391"/>
    <cellStyle name="輔色6 19" xfId="12395"/>
    <cellStyle name="輔色6 19 10" xfId="40702"/>
    <cellStyle name="輔色6 19 11" xfId="41814"/>
    <cellStyle name="輔色6 19 2" xfId="26042"/>
    <cellStyle name="輔色6 19 3" xfId="29391"/>
    <cellStyle name="輔色6 19 4" xfId="31168"/>
    <cellStyle name="輔色6 19 5" xfId="32935"/>
    <cellStyle name="輔色6 19 6" xfId="34662"/>
    <cellStyle name="輔色6 19 7" xfId="36328"/>
    <cellStyle name="輔色6 19 8" xfId="37914"/>
    <cellStyle name="輔色6 19 9" xfId="39392"/>
    <cellStyle name="輔色6 2" xfId="8600"/>
    <cellStyle name="輔色6 2 10" xfId="40703"/>
    <cellStyle name="輔色6 2 11" xfId="41815"/>
    <cellStyle name="輔色6 2 12" xfId="9195"/>
    <cellStyle name="輔色6 2 2" xfId="9532"/>
    <cellStyle name="輔色6 2 2 2" xfId="26043"/>
    <cellStyle name="輔色6 2 3" xfId="29392"/>
    <cellStyle name="輔色6 2 4" xfId="31169"/>
    <cellStyle name="輔色6 2 5" xfId="32936"/>
    <cellStyle name="輔色6 2 6" xfId="34663"/>
    <cellStyle name="輔色6 2 7" xfId="36329"/>
    <cellStyle name="輔色6 2 8" xfId="37915"/>
    <cellStyle name="輔色6 2 9" xfId="39393"/>
    <cellStyle name="輔色6 20" xfId="15726"/>
    <cellStyle name="輔色6 20 10" xfId="40704"/>
    <cellStyle name="輔色6 20 11" xfId="41816"/>
    <cellStyle name="輔色6 20 2" xfId="26044"/>
    <cellStyle name="輔色6 20 3" xfId="29393"/>
    <cellStyle name="輔色6 20 4" xfId="31170"/>
    <cellStyle name="輔色6 20 5" xfId="32937"/>
    <cellStyle name="輔色6 20 6" xfId="34664"/>
    <cellStyle name="輔色6 20 7" xfId="36330"/>
    <cellStyle name="輔色6 20 8" xfId="37916"/>
    <cellStyle name="輔色6 20 9" xfId="39394"/>
    <cellStyle name="輔色6 21" xfId="14717"/>
    <cellStyle name="輔色6 21 10" xfId="40705"/>
    <cellStyle name="輔色6 21 11" xfId="41817"/>
    <cellStyle name="輔色6 21 2" xfId="26045"/>
    <cellStyle name="輔色6 21 3" xfId="29394"/>
    <cellStyle name="輔色6 21 4" xfId="31171"/>
    <cellStyle name="輔色6 21 5" xfId="32938"/>
    <cellStyle name="輔色6 21 6" xfId="34665"/>
    <cellStyle name="輔色6 21 7" xfId="36331"/>
    <cellStyle name="輔色6 21 8" xfId="37917"/>
    <cellStyle name="輔色6 21 9" xfId="39395"/>
    <cellStyle name="輔色6 22" xfId="19442"/>
    <cellStyle name="輔色6 22 10" xfId="40706"/>
    <cellStyle name="輔色6 22 11" xfId="41818"/>
    <cellStyle name="輔色6 22 2" xfId="26046"/>
    <cellStyle name="輔色6 22 3" xfId="29395"/>
    <cellStyle name="輔色6 22 4" xfId="31172"/>
    <cellStyle name="輔色6 22 5" xfId="32939"/>
    <cellStyle name="輔色6 22 6" xfId="34666"/>
    <cellStyle name="輔色6 22 7" xfId="36332"/>
    <cellStyle name="輔色6 22 8" xfId="37918"/>
    <cellStyle name="輔色6 22 9" xfId="39396"/>
    <cellStyle name="輔色6 23" xfId="22957"/>
    <cellStyle name="輔色6 23 10" xfId="40707"/>
    <cellStyle name="輔色6 23 11" xfId="41819"/>
    <cellStyle name="輔色6 23 2" xfId="26047"/>
    <cellStyle name="輔色6 23 3" xfId="29396"/>
    <cellStyle name="輔色6 23 4" xfId="31173"/>
    <cellStyle name="輔色6 23 5" xfId="32940"/>
    <cellStyle name="輔色6 23 6" xfId="34667"/>
    <cellStyle name="輔色6 23 7" xfId="36333"/>
    <cellStyle name="輔色6 23 8" xfId="37919"/>
    <cellStyle name="輔色6 23 9" xfId="39397"/>
    <cellStyle name="輔色6 24" xfId="26048"/>
    <cellStyle name="輔色6 25" xfId="26049"/>
    <cellStyle name="輔色6 26" xfId="26050"/>
    <cellStyle name="輔色6 27" xfId="26051"/>
    <cellStyle name="輔色6 28" xfId="26052"/>
    <cellStyle name="輔色6 29" xfId="26053"/>
    <cellStyle name="輔色6 3" xfId="9237"/>
    <cellStyle name="輔色6 3 10" xfId="40708"/>
    <cellStyle name="輔色6 3 11" xfId="41820"/>
    <cellStyle name="輔色6 3 2" xfId="10275"/>
    <cellStyle name="輔色6 3 2 2" xfId="26054"/>
    <cellStyle name="輔色6 3 3" xfId="29403"/>
    <cellStyle name="輔色6 3 4" xfId="31180"/>
    <cellStyle name="輔色6 3 5" xfId="32947"/>
    <cellStyle name="輔色6 3 6" xfId="34673"/>
    <cellStyle name="輔色6 3 7" xfId="36339"/>
    <cellStyle name="輔色6 3 8" xfId="37925"/>
    <cellStyle name="輔色6 3 9" xfId="39400"/>
    <cellStyle name="輔色6 30" xfId="26055"/>
    <cellStyle name="輔色6 31" xfId="26056"/>
    <cellStyle name="輔色6 32" xfId="26057"/>
    <cellStyle name="輔色6 33" xfId="26058"/>
    <cellStyle name="輔色6 34" xfId="26059"/>
    <cellStyle name="輔色6 35" xfId="26060"/>
    <cellStyle name="輔色6 36" xfId="26061"/>
    <cellStyle name="輔色6 37" xfId="26062"/>
    <cellStyle name="輔色6 38" xfId="26063"/>
    <cellStyle name="輔色6 39" xfId="26064"/>
    <cellStyle name="輔色6 4" xfId="10702"/>
    <cellStyle name="輔色6 4 10" xfId="40709"/>
    <cellStyle name="輔色6 4 11" xfId="41821"/>
    <cellStyle name="輔色6 4 2" xfId="26065"/>
    <cellStyle name="輔色6 4 3" xfId="29412"/>
    <cellStyle name="輔色6 4 4" xfId="31189"/>
    <cellStyle name="輔色6 4 5" xfId="32956"/>
    <cellStyle name="輔色6 4 6" xfId="34680"/>
    <cellStyle name="輔色6 4 7" xfId="36346"/>
    <cellStyle name="輔色6 4 8" xfId="37932"/>
    <cellStyle name="輔色6 4 9" xfId="39402"/>
    <cellStyle name="輔色6 40" xfId="26066"/>
    <cellStyle name="輔色6 41" xfId="26067"/>
    <cellStyle name="輔色6 42" xfId="26068"/>
    <cellStyle name="輔色6 43" xfId="26069"/>
    <cellStyle name="輔色6 44" xfId="26070"/>
    <cellStyle name="輔色6 45" xfId="26071"/>
    <cellStyle name="輔色6 46" xfId="26072"/>
    <cellStyle name="輔色6 47" xfId="26073"/>
    <cellStyle name="輔色6 48" xfId="26074"/>
    <cellStyle name="輔色6 49" xfId="26075"/>
    <cellStyle name="輔色6 5" xfId="10993"/>
    <cellStyle name="輔色6 5 10" xfId="40710"/>
    <cellStyle name="輔色6 5 11" xfId="41822"/>
    <cellStyle name="輔色6 5 2" xfId="26076"/>
    <cellStyle name="輔色6 5 3" xfId="29423"/>
    <cellStyle name="輔色6 5 4" xfId="31200"/>
    <cellStyle name="輔色6 5 5" xfId="32966"/>
    <cellStyle name="輔色6 5 6" xfId="34689"/>
    <cellStyle name="輔色6 5 7" xfId="36352"/>
    <cellStyle name="輔色6 5 8" xfId="37938"/>
    <cellStyle name="輔色6 5 9" xfId="39408"/>
    <cellStyle name="輔色6 50" xfId="26077"/>
    <cellStyle name="輔色6 51" xfId="26078"/>
    <cellStyle name="輔色6 52" xfId="26079"/>
    <cellStyle name="輔色6 53" xfId="26080"/>
    <cellStyle name="輔色6 54" xfId="26081"/>
    <cellStyle name="輔色6 55" xfId="26082"/>
    <cellStyle name="輔色6 56" xfId="26083"/>
    <cellStyle name="輔色6 57" xfId="26084"/>
    <cellStyle name="輔色6 58" xfId="26085"/>
    <cellStyle name="輔色6 59" xfId="26086"/>
    <cellStyle name="輔色6 6" xfId="10506"/>
    <cellStyle name="輔色6 6 10" xfId="40716"/>
    <cellStyle name="輔色6 6 11" xfId="41823"/>
    <cellStyle name="輔色6 6 2" xfId="26087"/>
    <cellStyle name="輔色6 6 3" xfId="29433"/>
    <cellStyle name="輔色6 6 4" xfId="31210"/>
    <cellStyle name="輔色6 6 5" xfId="32975"/>
    <cellStyle name="輔色6 6 6" xfId="34698"/>
    <cellStyle name="輔色6 6 7" xfId="36361"/>
    <cellStyle name="輔色6 6 8" xfId="37946"/>
    <cellStyle name="輔色6 6 9" xfId="39416"/>
    <cellStyle name="輔色6 60" xfId="26088"/>
    <cellStyle name="輔色6 61" xfId="26089"/>
    <cellStyle name="輔色6 62" xfId="23328"/>
    <cellStyle name="輔色6 63" xfId="28816"/>
    <cellStyle name="輔色6 64" xfId="30602"/>
    <cellStyle name="輔色6 65" xfId="32376"/>
    <cellStyle name="輔色6 66" xfId="34128"/>
    <cellStyle name="輔色6 67" xfId="35835"/>
    <cellStyle name="輔色6 68" xfId="37470"/>
    <cellStyle name="輔色6 69" xfId="39017"/>
    <cellStyle name="輔色6 7" xfId="11189"/>
    <cellStyle name="輔色6 7 10" xfId="40717"/>
    <cellStyle name="輔色6 7 11" xfId="41824"/>
    <cellStyle name="輔色6 7 2" xfId="26090"/>
    <cellStyle name="輔色6 7 3" xfId="29436"/>
    <cellStyle name="輔色6 7 4" xfId="31213"/>
    <cellStyle name="輔色6 7 5" xfId="32978"/>
    <cellStyle name="輔色6 7 6" xfId="34700"/>
    <cellStyle name="輔色6 7 7" xfId="36362"/>
    <cellStyle name="輔色6 7 8" xfId="37947"/>
    <cellStyle name="輔色6 7 9" xfId="39417"/>
    <cellStyle name="輔色6 70" xfId="40430"/>
    <cellStyle name="輔色6 71" xfId="8019"/>
    <cellStyle name="輔色6 72" xfId="7970"/>
    <cellStyle name="輔色6 8" xfId="11381"/>
    <cellStyle name="輔色6 8 10" xfId="40718"/>
    <cellStyle name="輔色6 8 11" xfId="41825"/>
    <cellStyle name="輔色6 8 2" xfId="26091"/>
    <cellStyle name="輔色6 8 3" xfId="29437"/>
    <cellStyle name="輔色6 8 4" xfId="31214"/>
    <cellStyle name="輔色6 8 5" xfId="32979"/>
    <cellStyle name="輔色6 8 6" xfId="34701"/>
    <cellStyle name="輔色6 8 7" xfId="36363"/>
    <cellStyle name="輔色6 8 8" xfId="37948"/>
    <cellStyle name="輔色6 8 9" xfId="39418"/>
    <cellStyle name="輔色6 9" xfId="11571"/>
    <cellStyle name="輔色6 9 10" xfId="40719"/>
    <cellStyle name="輔色6 9 11" xfId="41826"/>
    <cellStyle name="輔色6 9 2" xfId="26092"/>
    <cellStyle name="輔色6 9 3" xfId="29438"/>
    <cellStyle name="輔色6 9 4" xfId="31215"/>
    <cellStyle name="輔色6 9 5" xfId="32980"/>
    <cellStyle name="輔色6 9 6" xfId="34702"/>
    <cellStyle name="輔色6 9 7" xfId="36364"/>
    <cellStyle name="輔色6 9 8" xfId="37949"/>
    <cellStyle name="輔色6 9 9" xfId="39419"/>
    <cellStyle name="輸入 10" xfId="12255"/>
    <cellStyle name="輸入 10 10" xfId="40720"/>
    <cellStyle name="輸入 10 11" xfId="41827"/>
    <cellStyle name="輸入 10 2" xfId="26093"/>
    <cellStyle name="輸入 10 3" xfId="29439"/>
    <cellStyle name="輸入 10 4" xfId="31216"/>
    <cellStyle name="輸入 10 5" xfId="32981"/>
    <cellStyle name="輸入 10 6" xfId="34703"/>
    <cellStyle name="輸入 10 7" xfId="36365"/>
    <cellStyle name="輸入 10 8" xfId="37950"/>
    <cellStyle name="輸入 10 9" xfId="39420"/>
    <cellStyle name="輸入 11" xfId="12445"/>
    <cellStyle name="輸入 11 10" xfId="40721"/>
    <cellStyle name="輸入 11 11" xfId="41828"/>
    <cellStyle name="輸入 11 2" xfId="26094"/>
    <cellStyle name="輸入 11 3" xfId="29440"/>
    <cellStyle name="輸入 11 4" xfId="31217"/>
    <cellStyle name="輸入 11 5" xfId="32982"/>
    <cellStyle name="輸入 11 6" xfId="34704"/>
    <cellStyle name="輸入 11 7" xfId="36366"/>
    <cellStyle name="輸入 11 8" xfId="37951"/>
    <cellStyle name="輸入 11 9" xfId="39421"/>
    <cellStyle name="輸入 12" xfId="10463"/>
    <cellStyle name="輸入 12 10" xfId="40722"/>
    <cellStyle name="輸入 12 11" xfId="41829"/>
    <cellStyle name="輸入 12 2" xfId="26095"/>
    <cellStyle name="輸入 12 3" xfId="29441"/>
    <cellStyle name="輸入 12 4" xfId="31218"/>
    <cellStyle name="輸入 12 5" xfId="32983"/>
    <cellStyle name="輸入 12 6" xfId="34705"/>
    <cellStyle name="輸入 12 7" xfId="36367"/>
    <cellStyle name="輸入 12 8" xfId="37952"/>
    <cellStyle name="輸入 12 9" xfId="39422"/>
    <cellStyle name="輸入 13" xfId="12789"/>
    <cellStyle name="輸入 13 10" xfId="40723"/>
    <cellStyle name="輸入 13 11" xfId="41830"/>
    <cellStyle name="輸入 13 2" xfId="26096"/>
    <cellStyle name="輸入 13 3" xfId="29442"/>
    <cellStyle name="輸入 13 4" xfId="31219"/>
    <cellStyle name="輸入 13 5" xfId="32984"/>
    <cellStyle name="輸入 13 6" xfId="34706"/>
    <cellStyle name="輸入 13 7" xfId="36368"/>
    <cellStyle name="輸入 13 8" xfId="37953"/>
    <cellStyle name="輸入 13 9" xfId="39423"/>
    <cellStyle name="輸入 14" xfId="11411"/>
    <cellStyle name="輸入 14 10" xfId="40724"/>
    <cellStyle name="輸入 14 11" xfId="41831"/>
    <cellStyle name="輸入 14 2" xfId="26097"/>
    <cellStyle name="輸入 14 3" xfId="29443"/>
    <cellStyle name="輸入 14 4" xfId="31220"/>
    <cellStyle name="輸入 14 5" xfId="32985"/>
    <cellStyle name="輸入 14 6" xfId="34707"/>
    <cellStyle name="輸入 14 7" xfId="36369"/>
    <cellStyle name="輸入 14 8" xfId="37954"/>
    <cellStyle name="輸入 14 9" xfId="39424"/>
    <cellStyle name="輸入 15" xfId="12015"/>
    <cellStyle name="輸入 15 10" xfId="40725"/>
    <cellStyle name="輸入 15 11" xfId="41832"/>
    <cellStyle name="輸入 15 2" xfId="26098"/>
    <cellStyle name="輸入 15 3" xfId="29444"/>
    <cellStyle name="輸入 15 4" xfId="31221"/>
    <cellStyle name="輸入 15 5" xfId="32986"/>
    <cellStyle name="輸入 15 6" xfId="34708"/>
    <cellStyle name="輸入 15 7" xfId="36370"/>
    <cellStyle name="輸入 15 8" xfId="37955"/>
    <cellStyle name="輸入 15 9" xfId="39425"/>
    <cellStyle name="輸入 16" xfId="12210"/>
    <cellStyle name="輸入 16 10" xfId="40726"/>
    <cellStyle name="輸入 16 11" xfId="41833"/>
    <cellStyle name="輸入 16 2" xfId="26099"/>
    <cellStyle name="輸入 16 3" xfId="29445"/>
    <cellStyle name="輸入 16 4" xfId="31222"/>
    <cellStyle name="輸入 16 5" xfId="32987"/>
    <cellStyle name="輸入 16 6" xfId="34709"/>
    <cellStyle name="輸入 16 7" xfId="36371"/>
    <cellStyle name="輸入 16 8" xfId="37956"/>
    <cellStyle name="輸入 16 9" xfId="39426"/>
    <cellStyle name="輸入 17" xfId="16686"/>
    <cellStyle name="輸入 17 10" xfId="40727"/>
    <cellStyle name="輸入 17 11" xfId="41834"/>
    <cellStyle name="輸入 17 2" xfId="26100"/>
    <cellStyle name="輸入 17 3" xfId="29446"/>
    <cellStyle name="輸入 17 4" xfId="31223"/>
    <cellStyle name="輸入 17 5" xfId="32988"/>
    <cellStyle name="輸入 17 6" xfId="34710"/>
    <cellStyle name="輸入 17 7" xfId="36372"/>
    <cellStyle name="輸入 17 8" xfId="37957"/>
    <cellStyle name="輸入 17 9" xfId="39427"/>
    <cellStyle name="輸入 18" xfId="17610"/>
    <cellStyle name="輸入 18 10" xfId="40728"/>
    <cellStyle name="輸入 18 11" xfId="41835"/>
    <cellStyle name="輸入 18 2" xfId="26101"/>
    <cellStyle name="輸入 18 3" xfId="29447"/>
    <cellStyle name="輸入 18 4" xfId="31224"/>
    <cellStyle name="輸入 18 5" xfId="32989"/>
    <cellStyle name="輸入 18 6" xfId="34711"/>
    <cellStyle name="輸入 18 7" xfId="36373"/>
    <cellStyle name="輸入 18 8" xfId="37958"/>
    <cellStyle name="輸入 18 9" xfId="39428"/>
    <cellStyle name="輸入 19" xfId="18512"/>
    <cellStyle name="輸入 19 10" xfId="40729"/>
    <cellStyle name="輸入 19 11" xfId="41836"/>
    <cellStyle name="輸入 19 2" xfId="26102"/>
    <cellStyle name="輸入 19 3" xfId="29448"/>
    <cellStyle name="輸入 19 4" xfId="31225"/>
    <cellStyle name="輸入 19 5" xfId="32990"/>
    <cellStyle name="輸入 19 6" xfId="34712"/>
    <cellStyle name="輸入 19 7" xfId="36374"/>
    <cellStyle name="輸入 19 8" xfId="37959"/>
    <cellStyle name="輸入 19 9" xfId="39429"/>
    <cellStyle name="輸入 2" xfId="8606"/>
    <cellStyle name="輸入 2 10" xfId="40730"/>
    <cellStyle name="輸入 2 11" xfId="41837"/>
    <cellStyle name="輸入 2 12" xfId="9166"/>
    <cellStyle name="輸入 2 2" xfId="9538"/>
    <cellStyle name="輸入 2 2 2" xfId="26103"/>
    <cellStyle name="輸入 2 3" xfId="29449"/>
    <cellStyle name="輸入 2 4" xfId="31226"/>
    <cellStyle name="輸入 2 5" xfId="32991"/>
    <cellStyle name="輸入 2 6" xfId="34713"/>
    <cellStyle name="輸入 2 7" xfId="36375"/>
    <cellStyle name="輸入 2 8" xfId="37960"/>
    <cellStyle name="輸入 2 9" xfId="39430"/>
    <cellStyle name="輸入 20" xfId="19363"/>
    <cellStyle name="輸入 20 10" xfId="40731"/>
    <cellStyle name="輸入 20 11" xfId="41838"/>
    <cellStyle name="輸入 20 2" xfId="26104"/>
    <cellStyle name="輸入 20 3" xfId="29450"/>
    <cellStyle name="輸入 20 4" xfId="31227"/>
    <cellStyle name="輸入 20 5" xfId="32992"/>
    <cellStyle name="輸入 20 6" xfId="34714"/>
    <cellStyle name="輸入 20 7" xfId="36376"/>
    <cellStyle name="輸入 20 8" xfId="37961"/>
    <cellStyle name="輸入 20 9" xfId="39431"/>
    <cellStyle name="輸入 21" xfId="11833"/>
    <cellStyle name="輸入 21 10" xfId="40732"/>
    <cellStyle name="輸入 21 11" xfId="41839"/>
    <cellStyle name="輸入 21 2" xfId="26105"/>
    <cellStyle name="輸入 21 3" xfId="29451"/>
    <cellStyle name="輸入 21 4" xfId="31228"/>
    <cellStyle name="輸入 21 5" xfId="32993"/>
    <cellStyle name="輸入 21 6" xfId="34715"/>
    <cellStyle name="輸入 21 7" xfId="36377"/>
    <cellStyle name="輸入 21 8" xfId="37962"/>
    <cellStyle name="輸入 21 9" xfId="39432"/>
    <cellStyle name="輸入 22" xfId="13978"/>
    <cellStyle name="輸入 22 10" xfId="40733"/>
    <cellStyle name="輸入 22 11" xfId="41840"/>
    <cellStyle name="輸入 22 2" xfId="26106"/>
    <cellStyle name="輸入 22 3" xfId="29452"/>
    <cellStyle name="輸入 22 4" xfId="31229"/>
    <cellStyle name="輸入 22 5" xfId="32994"/>
    <cellStyle name="輸入 22 6" xfId="34716"/>
    <cellStyle name="輸入 22 7" xfId="36378"/>
    <cellStyle name="輸入 22 8" xfId="37963"/>
    <cellStyle name="輸入 22 9" xfId="39433"/>
    <cellStyle name="輸入 23" xfId="22963"/>
    <cellStyle name="輸入 23 10" xfId="40734"/>
    <cellStyle name="輸入 23 11" xfId="41841"/>
    <cellStyle name="輸入 23 2" xfId="26107"/>
    <cellStyle name="輸入 23 3" xfId="29453"/>
    <cellStyle name="輸入 23 4" xfId="31230"/>
    <cellStyle name="輸入 23 5" xfId="32995"/>
    <cellStyle name="輸入 23 6" xfId="34717"/>
    <cellStyle name="輸入 23 7" xfId="36379"/>
    <cellStyle name="輸入 23 8" xfId="37964"/>
    <cellStyle name="輸入 23 9" xfId="39434"/>
    <cellStyle name="輸入 24" xfId="26108"/>
    <cellStyle name="輸入 25" xfId="26109"/>
    <cellStyle name="輸入 26" xfId="26110"/>
    <cellStyle name="輸入 27" xfId="26111"/>
    <cellStyle name="輸入 28" xfId="26112"/>
    <cellStyle name="輸入 29" xfId="26113"/>
    <cellStyle name="輸入 3" xfId="9208"/>
    <cellStyle name="輸入 3 10" xfId="40736"/>
    <cellStyle name="輸入 3 11" xfId="41842"/>
    <cellStyle name="輸入 3 2" xfId="10281"/>
    <cellStyle name="輸入 3 2 2" xfId="26114"/>
    <cellStyle name="輸入 3 3" xfId="29458"/>
    <cellStyle name="輸入 3 4" xfId="31235"/>
    <cellStyle name="輸入 3 5" xfId="33000"/>
    <cellStyle name="輸入 3 6" xfId="34721"/>
    <cellStyle name="輸入 3 7" xfId="36381"/>
    <cellStyle name="輸入 3 8" xfId="37966"/>
    <cellStyle name="輸入 3 9" xfId="39436"/>
    <cellStyle name="輸入 30" xfId="26115"/>
    <cellStyle name="輸入 31" xfId="26116"/>
    <cellStyle name="輸入 32" xfId="26117"/>
    <cellStyle name="輸入 33" xfId="26118"/>
    <cellStyle name="輸入 34" xfId="26119"/>
    <cellStyle name="輸入 35" xfId="26120"/>
    <cellStyle name="輸入 36" xfId="26121"/>
    <cellStyle name="輸入 37" xfId="26122"/>
    <cellStyle name="輸入 38" xfId="26123"/>
    <cellStyle name="輸入 39" xfId="26124"/>
    <cellStyle name="輸入 4" xfId="11143"/>
    <cellStyle name="輸入 4 10" xfId="40742"/>
    <cellStyle name="輸入 4 11" xfId="41843"/>
    <cellStyle name="輸入 4 2" xfId="26125"/>
    <cellStyle name="輸入 4 3" xfId="29467"/>
    <cellStyle name="輸入 4 4" xfId="31244"/>
    <cellStyle name="輸入 4 5" xfId="33009"/>
    <cellStyle name="輸入 4 6" xfId="34730"/>
    <cellStyle name="輸入 4 7" xfId="36390"/>
    <cellStyle name="輸入 4 8" xfId="37974"/>
    <cellStyle name="輸入 4 9" xfId="39443"/>
    <cellStyle name="輸入 40" xfId="26126"/>
    <cellStyle name="輸入 41" xfId="26127"/>
    <cellStyle name="輸入 42" xfId="26128"/>
    <cellStyle name="輸入 43" xfId="26129"/>
    <cellStyle name="輸入 44" xfId="26130"/>
    <cellStyle name="輸入 45" xfId="26131"/>
    <cellStyle name="輸入 46" xfId="26132"/>
    <cellStyle name="輸入 47" xfId="26133"/>
    <cellStyle name="輸入 48" xfId="26134"/>
    <cellStyle name="輸入 49" xfId="26135"/>
    <cellStyle name="輸入 5" xfId="11337"/>
    <cellStyle name="輸入 5 10" xfId="40744"/>
    <cellStyle name="輸入 5 11" xfId="41844"/>
    <cellStyle name="輸入 5 2" xfId="26136"/>
    <cellStyle name="輸入 5 3" xfId="29478"/>
    <cellStyle name="輸入 5 4" xfId="31255"/>
    <cellStyle name="輸入 5 5" xfId="33019"/>
    <cellStyle name="輸入 5 6" xfId="34740"/>
    <cellStyle name="輸入 5 7" xfId="36398"/>
    <cellStyle name="輸入 5 8" xfId="37982"/>
    <cellStyle name="輸入 5 9" xfId="39451"/>
    <cellStyle name="輸入 50" xfId="26137"/>
    <cellStyle name="輸入 51" xfId="26138"/>
    <cellStyle name="輸入 52" xfId="26139"/>
    <cellStyle name="輸入 53" xfId="26140"/>
    <cellStyle name="輸入 54" xfId="26141"/>
    <cellStyle name="輸入 55" xfId="26142"/>
    <cellStyle name="輸入 56" xfId="26143"/>
    <cellStyle name="輸入 57" xfId="26144"/>
    <cellStyle name="輸入 58" xfId="26145"/>
    <cellStyle name="輸入 59" xfId="26146"/>
    <cellStyle name="輸入 6" xfId="11530"/>
    <cellStyle name="輸入 6 10" xfId="40752"/>
    <cellStyle name="輸入 6 11" xfId="41845"/>
    <cellStyle name="輸入 6 2" xfId="26147"/>
    <cellStyle name="輸入 6 3" xfId="29489"/>
    <cellStyle name="輸入 6 4" xfId="31266"/>
    <cellStyle name="輸入 6 5" xfId="33030"/>
    <cellStyle name="輸入 6 6" xfId="34750"/>
    <cellStyle name="輸入 6 7" xfId="36407"/>
    <cellStyle name="輸入 6 8" xfId="37990"/>
    <cellStyle name="輸入 6 9" xfId="39459"/>
    <cellStyle name="輸入 60" xfId="26148"/>
    <cellStyle name="輸入 61" xfId="26149"/>
    <cellStyle name="輸入 62" xfId="24851"/>
    <cellStyle name="輸入 63" xfId="28810"/>
    <cellStyle name="輸入 64" xfId="30596"/>
    <cellStyle name="輸入 65" xfId="32370"/>
    <cellStyle name="輸入 66" xfId="34122"/>
    <cellStyle name="輸入 67" xfId="35829"/>
    <cellStyle name="輸入 68" xfId="37464"/>
    <cellStyle name="輸入 69" xfId="39011"/>
    <cellStyle name="輸入 7" xfId="11709"/>
    <cellStyle name="輸入 7 10" xfId="40755"/>
    <cellStyle name="輸入 7 11" xfId="41846"/>
    <cellStyle name="輸入 7 2" xfId="26150"/>
    <cellStyle name="輸入 7 3" xfId="29492"/>
    <cellStyle name="輸入 7 4" xfId="31269"/>
    <cellStyle name="輸入 7 5" xfId="33033"/>
    <cellStyle name="輸入 7 6" xfId="34753"/>
    <cellStyle name="輸入 7 7" xfId="36410"/>
    <cellStyle name="輸入 7 8" xfId="37993"/>
    <cellStyle name="輸入 7 9" xfId="39462"/>
    <cellStyle name="輸入 70" xfId="40424"/>
    <cellStyle name="輸入 71" xfId="8676"/>
    <cellStyle name="輸入 72" xfId="7990"/>
    <cellStyle name="輸入 73" xfId="7976"/>
    <cellStyle name="輸入 8" xfId="11894"/>
    <cellStyle name="輸入 8 10" xfId="40756"/>
    <cellStyle name="輸入 8 11" xfId="41847"/>
    <cellStyle name="輸入 8 2" xfId="26151"/>
    <cellStyle name="輸入 8 3" xfId="29493"/>
    <cellStyle name="輸入 8 4" xfId="31270"/>
    <cellStyle name="輸入 8 5" xfId="33034"/>
    <cellStyle name="輸入 8 6" xfId="34754"/>
    <cellStyle name="輸入 8 7" xfId="36411"/>
    <cellStyle name="輸入 8 8" xfId="37994"/>
    <cellStyle name="輸入 8 9" xfId="39463"/>
    <cellStyle name="輸入 9" xfId="12080"/>
    <cellStyle name="輸入 9 10" xfId="40757"/>
    <cellStyle name="輸入 9 11" xfId="41848"/>
    <cellStyle name="輸入 9 2" xfId="26152"/>
    <cellStyle name="輸入 9 3" xfId="29494"/>
    <cellStyle name="輸入 9 4" xfId="31271"/>
    <cellStyle name="輸入 9 5" xfId="33035"/>
    <cellStyle name="輸入 9 6" xfId="34755"/>
    <cellStyle name="輸入 9 7" xfId="36412"/>
    <cellStyle name="輸入 9 8" xfId="37995"/>
    <cellStyle name="輸入 9 9" xfId="39464"/>
    <cellStyle name="輸出 10" xfId="11322"/>
    <cellStyle name="輸出 10 10" xfId="40758"/>
    <cellStyle name="輸出 10 11" xfId="41849"/>
    <cellStyle name="輸出 10 2" xfId="26153"/>
    <cellStyle name="輸出 10 3" xfId="29495"/>
    <cellStyle name="輸出 10 4" xfId="31272"/>
    <cellStyle name="輸出 10 5" xfId="33036"/>
    <cellStyle name="輸出 10 6" xfId="34756"/>
    <cellStyle name="輸出 10 7" xfId="36413"/>
    <cellStyle name="輸出 10 8" xfId="37996"/>
    <cellStyle name="輸出 10 9" xfId="39465"/>
    <cellStyle name="輸出 11" xfId="12378"/>
    <cellStyle name="輸出 11 10" xfId="40759"/>
    <cellStyle name="輸出 11 11" xfId="41850"/>
    <cellStyle name="輸出 11 2" xfId="26154"/>
    <cellStyle name="輸出 11 3" xfId="29496"/>
    <cellStyle name="輸出 11 4" xfId="31273"/>
    <cellStyle name="輸出 11 5" xfId="33037"/>
    <cellStyle name="輸出 11 6" xfId="34757"/>
    <cellStyle name="輸出 11 7" xfId="36414"/>
    <cellStyle name="輸出 11 8" xfId="37997"/>
    <cellStyle name="輸出 11 9" xfId="39466"/>
    <cellStyle name="輸出 12" xfId="11128"/>
    <cellStyle name="輸出 12 10" xfId="40760"/>
    <cellStyle name="輸出 12 11" xfId="41851"/>
    <cellStyle name="輸出 12 2" xfId="26155"/>
    <cellStyle name="輸出 12 3" xfId="29497"/>
    <cellStyle name="輸出 12 4" xfId="31274"/>
    <cellStyle name="輸出 12 5" xfId="33038"/>
    <cellStyle name="輸出 12 6" xfId="34758"/>
    <cellStyle name="輸出 12 7" xfId="36415"/>
    <cellStyle name="輸出 12 8" xfId="37998"/>
    <cellStyle name="輸出 12 9" xfId="39467"/>
    <cellStyle name="輸出 13" xfId="12314"/>
    <cellStyle name="輸出 13 10" xfId="40761"/>
    <cellStyle name="輸出 13 11" xfId="41852"/>
    <cellStyle name="輸出 13 2" xfId="26156"/>
    <cellStyle name="輸出 13 3" xfId="29498"/>
    <cellStyle name="輸出 13 4" xfId="31275"/>
    <cellStyle name="輸出 13 5" xfId="33039"/>
    <cellStyle name="輸出 13 6" xfId="34759"/>
    <cellStyle name="輸出 13 7" xfId="36416"/>
    <cellStyle name="輸出 13 8" xfId="37999"/>
    <cellStyle name="輸出 13 9" xfId="39468"/>
    <cellStyle name="輸出 14" xfId="12209"/>
    <cellStyle name="輸出 14 10" xfId="40762"/>
    <cellStyle name="輸出 14 11" xfId="41853"/>
    <cellStyle name="輸出 14 2" xfId="26157"/>
    <cellStyle name="輸出 14 3" xfId="29499"/>
    <cellStyle name="輸出 14 4" xfId="31276"/>
    <cellStyle name="輸出 14 5" xfId="33040"/>
    <cellStyle name="輸出 14 6" xfId="34760"/>
    <cellStyle name="輸出 14 7" xfId="36417"/>
    <cellStyle name="輸出 14 8" xfId="38000"/>
    <cellStyle name="輸出 14 9" xfId="39469"/>
    <cellStyle name="輸出 15" xfId="15831"/>
    <cellStyle name="輸出 15 10" xfId="40763"/>
    <cellStyle name="輸出 15 11" xfId="41854"/>
    <cellStyle name="輸出 15 2" xfId="26158"/>
    <cellStyle name="輸出 15 3" xfId="29500"/>
    <cellStyle name="輸出 15 4" xfId="31277"/>
    <cellStyle name="輸出 15 5" xfId="33041"/>
    <cellStyle name="輸出 15 6" xfId="34761"/>
    <cellStyle name="輸出 15 7" xfId="36418"/>
    <cellStyle name="輸出 15 8" xfId="38001"/>
    <cellStyle name="輸出 15 9" xfId="39470"/>
    <cellStyle name="輸出 16" xfId="11552"/>
    <cellStyle name="輸出 16 10" xfId="40764"/>
    <cellStyle name="輸出 16 11" xfId="41855"/>
    <cellStyle name="輸出 16 2" xfId="26159"/>
    <cellStyle name="輸出 16 3" xfId="29501"/>
    <cellStyle name="輸出 16 4" xfId="31278"/>
    <cellStyle name="輸出 16 5" xfId="33042"/>
    <cellStyle name="輸出 16 6" xfId="34762"/>
    <cellStyle name="輸出 16 7" xfId="36419"/>
    <cellStyle name="輸出 16 8" xfId="38002"/>
    <cellStyle name="輸出 16 9" xfId="39471"/>
    <cellStyle name="輸出 17" xfId="16649"/>
    <cellStyle name="輸出 17 10" xfId="40765"/>
    <cellStyle name="輸出 17 11" xfId="41856"/>
    <cellStyle name="輸出 17 2" xfId="26160"/>
    <cellStyle name="輸出 17 3" xfId="29502"/>
    <cellStyle name="輸出 17 4" xfId="31279"/>
    <cellStyle name="輸出 17 5" xfId="33043"/>
    <cellStyle name="輸出 17 6" xfId="34763"/>
    <cellStyle name="輸出 17 7" xfId="36420"/>
    <cellStyle name="輸出 17 8" xfId="38003"/>
    <cellStyle name="輸出 17 9" xfId="39472"/>
    <cellStyle name="輸出 18" xfId="17577"/>
    <cellStyle name="輸出 18 10" xfId="40766"/>
    <cellStyle name="輸出 18 11" xfId="41857"/>
    <cellStyle name="輸出 18 2" xfId="26161"/>
    <cellStyle name="輸出 18 3" xfId="29503"/>
    <cellStyle name="輸出 18 4" xfId="31280"/>
    <cellStyle name="輸出 18 5" xfId="33044"/>
    <cellStyle name="輸出 18 6" xfId="34764"/>
    <cellStyle name="輸出 18 7" xfId="36421"/>
    <cellStyle name="輸出 18 8" xfId="38004"/>
    <cellStyle name="輸出 18 9" xfId="39473"/>
    <cellStyle name="輸出 19" xfId="18479"/>
    <cellStyle name="輸出 19 10" xfId="40767"/>
    <cellStyle name="輸出 19 11" xfId="41858"/>
    <cellStyle name="輸出 19 2" xfId="26162"/>
    <cellStyle name="輸出 19 3" xfId="29504"/>
    <cellStyle name="輸出 19 4" xfId="31281"/>
    <cellStyle name="輸出 19 5" xfId="33045"/>
    <cellStyle name="輸出 19 6" xfId="34765"/>
    <cellStyle name="輸出 19 7" xfId="36422"/>
    <cellStyle name="輸出 19 8" xfId="38005"/>
    <cellStyle name="輸出 19 9" xfId="39474"/>
    <cellStyle name="輸出 2" xfId="8607"/>
    <cellStyle name="輸出 2 10" xfId="40768"/>
    <cellStyle name="輸出 2 11" xfId="41859"/>
    <cellStyle name="輸出 2 12" xfId="9167"/>
    <cellStyle name="輸出 2 2" xfId="9539"/>
    <cellStyle name="輸出 2 2 2" xfId="26163"/>
    <cellStyle name="輸出 2 3" xfId="29505"/>
    <cellStyle name="輸出 2 4" xfId="31282"/>
    <cellStyle name="輸出 2 5" xfId="33046"/>
    <cellStyle name="輸出 2 6" xfId="34766"/>
    <cellStyle name="輸出 2 7" xfId="36423"/>
    <cellStyle name="輸出 2 8" xfId="38006"/>
    <cellStyle name="輸出 2 9" xfId="39475"/>
    <cellStyle name="輸出 20" xfId="13917"/>
    <cellStyle name="輸出 20 10" xfId="40769"/>
    <cellStyle name="輸出 20 11" xfId="41860"/>
    <cellStyle name="輸出 20 2" xfId="26164"/>
    <cellStyle name="輸出 20 3" xfId="29506"/>
    <cellStyle name="輸出 20 4" xfId="31283"/>
    <cellStyle name="輸出 20 5" xfId="33047"/>
    <cellStyle name="輸出 20 6" xfId="34767"/>
    <cellStyle name="輸出 20 7" xfId="36424"/>
    <cellStyle name="輸出 20 8" xfId="38007"/>
    <cellStyle name="輸出 20 9" xfId="39476"/>
    <cellStyle name="輸出 21" xfId="13890"/>
    <cellStyle name="輸出 21 10" xfId="40770"/>
    <cellStyle name="輸出 21 11" xfId="41861"/>
    <cellStyle name="輸出 21 2" xfId="26165"/>
    <cellStyle name="輸出 21 3" xfId="29507"/>
    <cellStyle name="輸出 21 4" xfId="31284"/>
    <cellStyle name="輸出 21 5" xfId="33048"/>
    <cellStyle name="輸出 21 6" xfId="34768"/>
    <cellStyle name="輸出 21 7" xfId="36425"/>
    <cellStyle name="輸出 21 8" xfId="38008"/>
    <cellStyle name="輸出 21 9" xfId="39477"/>
    <cellStyle name="輸出 22" xfId="18567"/>
    <cellStyle name="輸出 22 10" xfId="40771"/>
    <cellStyle name="輸出 22 11" xfId="41862"/>
    <cellStyle name="輸出 22 2" xfId="26166"/>
    <cellStyle name="輸出 22 3" xfId="29508"/>
    <cellStyle name="輸出 22 4" xfId="31285"/>
    <cellStyle name="輸出 22 5" xfId="33049"/>
    <cellStyle name="輸出 22 6" xfId="34769"/>
    <cellStyle name="輸出 22 7" xfId="36426"/>
    <cellStyle name="輸出 22 8" xfId="38009"/>
    <cellStyle name="輸出 22 9" xfId="39478"/>
    <cellStyle name="輸出 23" xfId="22964"/>
    <cellStyle name="輸出 23 10" xfId="40772"/>
    <cellStyle name="輸出 23 11" xfId="41863"/>
    <cellStyle name="輸出 23 2" xfId="26167"/>
    <cellStyle name="輸出 23 3" xfId="29509"/>
    <cellStyle name="輸出 23 4" xfId="31286"/>
    <cellStyle name="輸出 23 5" xfId="33050"/>
    <cellStyle name="輸出 23 6" xfId="34770"/>
    <cellStyle name="輸出 23 7" xfId="36427"/>
    <cellStyle name="輸出 23 8" xfId="38010"/>
    <cellStyle name="輸出 23 9" xfId="39479"/>
    <cellStyle name="輸出 24" xfId="26168"/>
    <cellStyle name="輸出 25" xfId="26169"/>
    <cellStyle name="輸出 26" xfId="26170"/>
    <cellStyle name="輸出 27" xfId="26171"/>
    <cellStyle name="輸出 28" xfId="26172"/>
    <cellStyle name="輸出 29" xfId="26173"/>
    <cellStyle name="輸出 3" xfId="9209"/>
    <cellStyle name="輸出 3 10" xfId="40774"/>
    <cellStyle name="輸出 3 11" xfId="41864"/>
    <cellStyle name="輸出 3 2" xfId="10282"/>
    <cellStyle name="輸出 3 2 2" xfId="26174"/>
    <cellStyle name="輸出 3 3" xfId="29515"/>
    <cellStyle name="輸出 3 4" xfId="31292"/>
    <cellStyle name="輸出 3 5" xfId="33056"/>
    <cellStyle name="輸出 3 6" xfId="34776"/>
    <cellStyle name="輸出 3 7" xfId="36433"/>
    <cellStyle name="輸出 3 8" xfId="38016"/>
    <cellStyle name="輸出 3 9" xfId="39481"/>
    <cellStyle name="輸出 30" xfId="26175"/>
    <cellStyle name="輸出 31" xfId="26176"/>
    <cellStyle name="輸出 32" xfId="26177"/>
    <cellStyle name="輸出 33" xfId="26178"/>
    <cellStyle name="輸出 34" xfId="26179"/>
    <cellStyle name="輸出 35" xfId="26180"/>
    <cellStyle name="輸出 36" xfId="26181"/>
    <cellStyle name="輸出 37" xfId="26182"/>
    <cellStyle name="輸出 38" xfId="26183"/>
    <cellStyle name="輸出 39" xfId="26184"/>
    <cellStyle name="輸出 4" xfId="11070"/>
    <cellStyle name="輸出 4 10" xfId="40777"/>
    <cellStyle name="輸出 4 11" xfId="41865"/>
    <cellStyle name="輸出 4 2" xfId="26185"/>
    <cellStyle name="輸出 4 3" xfId="29526"/>
    <cellStyle name="輸出 4 4" xfId="31302"/>
    <cellStyle name="輸出 4 5" xfId="33066"/>
    <cellStyle name="輸出 4 6" xfId="34785"/>
    <cellStyle name="輸出 4 7" xfId="36440"/>
    <cellStyle name="輸出 4 8" xfId="38023"/>
    <cellStyle name="輸出 4 9" xfId="39486"/>
    <cellStyle name="輸出 40" xfId="26186"/>
    <cellStyle name="輸出 41" xfId="26187"/>
    <cellStyle name="輸出 42" xfId="26188"/>
    <cellStyle name="輸出 43" xfId="26189"/>
    <cellStyle name="輸出 44" xfId="26190"/>
    <cellStyle name="輸出 45" xfId="26191"/>
    <cellStyle name="輸出 46" xfId="26192"/>
    <cellStyle name="輸出 47" xfId="26193"/>
    <cellStyle name="輸出 48" xfId="26194"/>
    <cellStyle name="輸出 49" xfId="26195"/>
    <cellStyle name="輸出 5" xfId="9667"/>
    <cellStyle name="輸出 5 10" xfId="40781"/>
    <cellStyle name="輸出 5 11" xfId="41866"/>
    <cellStyle name="輸出 5 2" xfId="26196"/>
    <cellStyle name="輸出 5 3" xfId="29531"/>
    <cellStyle name="輸出 5 4" xfId="31307"/>
    <cellStyle name="輸出 5 5" xfId="33071"/>
    <cellStyle name="輸出 5 6" xfId="34790"/>
    <cellStyle name="輸出 5 7" xfId="36445"/>
    <cellStyle name="輸出 5 8" xfId="38028"/>
    <cellStyle name="輸出 5 9" xfId="39490"/>
    <cellStyle name="輸出 50" xfId="26197"/>
    <cellStyle name="輸出 51" xfId="26198"/>
    <cellStyle name="輸出 52" xfId="26199"/>
    <cellStyle name="輸出 53" xfId="26200"/>
    <cellStyle name="輸出 54" xfId="26201"/>
    <cellStyle name="輸出 55" xfId="26202"/>
    <cellStyle name="輸出 56" xfId="26203"/>
    <cellStyle name="輸出 57" xfId="26204"/>
    <cellStyle name="輸出 58" xfId="26205"/>
    <cellStyle name="輸出 59" xfId="26206"/>
    <cellStyle name="輸出 6" xfId="10893"/>
    <cellStyle name="輸出 6 10" xfId="40788"/>
    <cellStyle name="輸出 6 11" xfId="41867"/>
    <cellStyle name="輸出 6 2" xfId="26207"/>
    <cellStyle name="輸出 6 3" xfId="29541"/>
    <cellStyle name="輸出 6 4" xfId="31317"/>
    <cellStyle name="輸出 6 5" xfId="33081"/>
    <cellStyle name="輸出 6 6" xfId="34800"/>
    <cellStyle name="輸出 6 7" xfId="36455"/>
    <cellStyle name="輸出 6 8" xfId="38038"/>
    <cellStyle name="輸出 6 9" xfId="39497"/>
    <cellStyle name="輸出 60" xfId="26208"/>
    <cellStyle name="輸出 61" xfId="26209"/>
    <cellStyle name="輸出 62" xfId="23690"/>
    <cellStyle name="輸出 63" xfId="28808"/>
    <cellStyle name="輸出 64" xfId="30594"/>
    <cellStyle name="輸出 65" xfId="32368"/>
    <cellStyle name="輸出 66" xfId="34120"/>
    <cellStyle name="輸出 67" xfId="35827"/>
    <cellStyle name="輸出 68" xfId="37462"/>
    <cellStyle name="輸出 69" xfId="39009"/>
    <cellStyle name="輸出 7" xfId="10712"/>
    <cellStyle name="輸出 7 10" xfId="40789"/>
    <cellStyle name="輸出 7 11" xfId="41868"/>
    <cellStyle name="輸出 7 2" xfId="26210"/>
    <cellStyle name="輸出 7 3" xfId="29544"/>
    <cellStyle name="輸出 7 4" xfId="31320"/>
    <cellStyle name="輸出 7 5" xfId="33084"/>
    <cellStyle name="輸出 7 6" xfId="34803"/>
    <cellStyle name="輸出 7 7" xfId="36458"/>
    <cellStyle name="輸出 7 8" xfId="38041"/>
    <cellStyle name="輸出 7 9" xfId="39499"/>
    <cellStyle name="輸出 70" xfId="40422"/>
    <cellStyle name="輸出 71" xfId="8677"/>
    <cellStyle name="輸出 72" xfId="7991"/>
    <cellStyle name="輸出 73" xfId="7977"/>
    <cellStyle name="輸出 8" xfId="10992"/>
    <cellStyle name="輸出 8 10" xfId="40790"/>
    <cellStyle name="輸出 8 11" xfId="41869"/>
    <cellStyle name="輸出 8 2" xfId="26211"/>
    <cellStyle name="輸出 8 3" xfId="29545"/>
    <cellStyle name="輸出 8 4" xfId="31321"/>
    <cellStyle name="輸出 8 5" xfId="33085"/>
    <cellStyle name="輸出 8 6" xfId="34804"/>
    <cellStyle name="輸出 8 7" xfId="36459"/>
    <cellStyle name="輸出 8 8" xfId="38042"/>
    <cellStyle name="輸出 8 9" xfId="39500"/>
    <cellStyle name="輸出 9" xfId="10582"/>
    <cellStyle name="輸出 9 10" xfId="40791"/>
    <cellStyle name="輸出 9 11" xfId="41870"/>
    <cellStyle name="輸出 9 2" xfId="26212"/>
    <cellStyle name="輸出 9 3" xfId="29546"/>
    <cellStyle name="輸出 9 4" xfId="31322"/>
    <cellStyle name="輸出 9 5" xfId="33086"/>
    <cellStyle name="輸出 9 6" xfId="34805"/>
    <cellStyle name="輸出 9 7" xfId="36460"/>
    <cellStyle name="輸出 9 8" xfId="38043"/>
    <cellStyle name="輸出 9 9" xfId="39501"/>
    <cellStyle name="输入 10" xfId="8375"/>
    <cellStyle name="输入 11" xfId="8417"/>
    <cellStyle name="输入 12" xfId="8459"/>
    <cellStyle name="输入 13" xfId="8501"/>
    <cellStyle name="输入 14" xfId="8543"/>
    <cellStyle name="输入 15" xfId="43228"/>
    <cellStyle name="输入 16" xfId="43270"/>
    <cellStyle name="输入 2" xfId="8040"/>
    <cellStyle name="输入 3" xfId="8082"/>
    <cellStyle name="输入 4" xfId="8124"/>
    <cellStyle name="输入 5" xfId="8166"/>
    <cellStyle name="输入 6" xfId="8207"/>
    <cellStyle name="输入 7" xfId="8249"/>
    <cellStyle name="输入 8" xfId="8291"/>
    <cellStyle name="输入 9" xfId="8333"/>
    <cellStyle name="输出 10" xfId="8376"/>
    <cellStyle name="输出 11" xfId="8418"/>
    <cellStyle name="输出 12" xfId="8460"/>
    <cellStyle name="输出 13" xfId="8502"/>
    <cellStyle name="输出 14" xfId="8544"/>
    <cellStyle name="输出 15" xfId="43229"/>
    <cellStyle name="输出 16" xfId="43271"/>
    <cellStyle name="输出 2" xfId="8041"/>
    <cellStyle name="输出 3" xfId="8083"/>
    <cellStyle name="输出 4" xfId="8125"/>
    <cellStyle name="输出 5" xfId="8167"/>
    <cellStyle name="输出 6" xfId="8208"/>
    <cellStyle name="输出 7" xfId="8250"/>
    <cellStyle name="输出 8" xfId="8292"/>
    <cellStyle name="输出 9" xfId="8334"/>
    <cellStyle name="适中 10" xfId="8374"/>
    <cellStyle name="适中 11" xfId="8416"/>
    <cellStyle name="适中 12" xfId="8458"/>
    <cellStyle name="适中 13" xfId="8500"/>
    <cellStyle name="适中 14" xfId="8542"/>
    <cellStyle name="适中 15" xfId="43227"/>
    <cellStyle name="适中 16" xfId="43269"/>
    <cellStyle name="适中 2" xfId="8039"/>
    <cellStyle name="适中 3" xfId="8081"/>
    <cellStyle name="适中 4" xfId="8123"/>
    <cellStyle name="适中 5" xfId="8165"/>
    <cellStyle name="适中 6" xfId="8206"/>
    <cellStyle name="适中 7" xfId="8248"/>
    <cellStyle name="适中 8" xfId="8290"/>
    <cellStyle name="适中 9" xfId="8332"/>
    <cellStyle name="連結的儲存格 10" xfId="12362"/>
    <cellStyle name="連結的儲存格 10 10" xfId="40792"/>
    <cellStyle name="連結的儲存格 10 11" xfId="41871"/>
    <cellStyle name="連結的儲存格 10 2" xfId="26213"/>
    <cellStyle name="連結的儲存格 10 3" xfId="29547"/>
    <cellStyle name="連結的儲存格 10 4" xfId="31323"/>
    <cellStyle name="連結的儲存格 10 5" xfId="33087"/>
    <cellStyle name="連結的儲存格 10 6" xfId="34806"/>
    <cellStyle name="連結的儲存格 10 7" xfId="36461"/>
    <cellStyle name="連結的儲存格 10 8" xfId="38044"/>
    <cellStyle name="連結的儲存格 10 9" xfId="39502"/>
    <cellStyle name="連結的儲存格 11" xfId="12546"/>
    <cellStyle name="連結的儲存格 11 10" xfId="40793"/>
    <cellStyle name="連結的儲存格 11 11" xfId="41872"/>
    <cellStyle name="連結的儲存格 11 2" xfId="26214"/>
    <cellStyle name="連結的儲存格 11 3" xfId="29548"/>
    <cellStyle name="連結的儲存格 11 4" xfId="31324"/>
    <cellStyle name="連結的儲存格 11 5" xfId="33088"/>
    <cellStyle name="連結的儲存格 11 6" xfId="34807"/>
    <cellStyle name="連結的儲存格 11 7" xfId="36462"/>
    <cellStyle name="連結的儲存格 11 8" xfId="38045"/>
    <cellStyle name="連結的儲存格 11 9" xfId="39503"/>
    <cellStyle name="連結的儲存格 12" xfId="12623"/>
    <cellStyle name="連結的儲存格 12 10" xfId="40794"/>
    <cellStyle name="連結的儲存格 12 11" xfId="41873"/>
    <cellStyle name="連結的儲存格 12 2" xfId="26215"/>
    <cellStyle name="連結的儲存格 12 3" xfId="29549"/>
    <cellStyle name="連結的儲存格 12 4" xfId="31325"/>
    <cellStyle name="連結的儲存格 12 5" xfId="33089"/>
    <cellStyle name="連結的儲存格 12 6" xfId="34808"/>
    <cellStyle name="連結的儲存格 12 7" xfId="36463"/>
    <cellStyle name="連結的儲存格 12 8" xfId="38046"/>
    <cellStyle name="連結的儲存格 12 9" xfId="39504"/>
    <cellStyle name="連結的儲存格 13" xfId="12920"/>
    <cellStyle name="連結的儲存格 13 10" xfId="40795"/>
    <cellStyle name="連結的儲存格 13 11" xfId="41874"/>
    <cellStyle name="連結的儲存格 13 2" xfId="26216"/>
    <cellStyle name="連結的儲存格 13 3" xfId="29550"/>
    <cellStyle name="連結的儲存格 13 4" xfId="31326"/>
    <cellStyle name="連結的儲存格 13 5" xfId="33090"/>
    <cellStyle name="連結的儲存格 13 6" xfId="34809"/>
    <cellStyle name="連結的儲存格 13 7" xfId="36464"/>
    <cellStyle name="連結的儲存格 13 8" xfId="38047"/>
    <cellStyle name="連結的儲存格 13 9" xfId="39505"/>
    <cellStyle name="連結的儲存格 14" xfId="11853"/>
    <cellStyle name="連結的儲存格 14 10" xfId="40796"/>
    <cellStyle name="連結的儲存格 14 11" xfId="41875"/>
    <cellStyle name="連結的儲存格 14 2" xfId="26217"/>
    <cellStyle name="連結的儲存格 14 3" xfId="29551"/>
    <cellStyle name="連結的儲存格 14 4" xfId="31327"/>
    <cellStyle name="連結的儲存格 14 5" xfId="33091"/>
    <cellStyle name="連結的儲存格 14 6" xfId="34810"/>
    <cellStyle name="連結的儲存格 14 7" xfId="36465"/>
    <cellStyle name="連結的儲存格 14 8" xfId="38048"/>
    <cellStyle name="連結的儲存格 14 9" xfId="39506"/>
    <cellStyle name="連結的儲存格 15" xfId="12585"/>
    <cellStyle name="連結的儲存格 15 10" xfId="40797"/>
    <cellStyle name="連結的儲存格 15 11" xfId="41876"/>
    <cellStyle name="連結的儲存格 15 2" xfId="26218"/>
    <cellStyle name="連結的儲存格 15 3" xfId="29552"/>
    <cellStyle name="連結的儲存格 15 4" xfId="31328"/>
    <cellStyle name="連結的儲存格 15 5" xfId="33092"/>
    <cellStyle name="連結的儲存格 15 6" xfId="34811"/>
    <cellStyle name="連結的儲存格 15 7" xfId="36466"/>
    <cellStyle name="連結的儲存格 15 8" xfId="38049"/>
    <cellStyle name="連結的儲存格 15 9" xfId="39507"/>
    <cellStyle name="連結的儲存格 16" xfId="11213"/>
    <cellStyle name="連結的儲存格 16 10" xfId="40798"/>
    <cellStyle name="連結的儲存格 16 11" xfId="41877"/>
    <cellStyle name="連結的儲存格 16 2" xfId="26219"/>
    <cellStyle name="連結的儲存格 16 3" xfId="29553"/>
    <cellStyle name="連結的儲存格 16 4" xfId="31329"/>
    <cellStyle name="連結的儲存格 16 5" xfId="33093"/>
    <cellStyle name="連結的儲存格 16 6" xfId="34812"/>
    <cellStyle name="連結的儲存格 16 7" xfId="36467"/>
    <cellStyle name="連結的儲存格 16 8" xfId="38050"/>
    <cellStyle name="連結的儲存格 16 9" xfId="39508"/>
    <cellStyle name="連結的儲存格 17" xfId="16621"/>
    <cellStyle name="連結的儲存格 17 10" xfId="40799"/>
    <cellStyle name="連結的儲存格 17 11" xfId="41878"/>
    <cellStyle name="連結的儲存格 17 2" xfId="26220"/>
    <cellStyle name="連結的儲存格 17 3" xfId="29554"/>
    <cellStyle name="連結的儲存格 17 4" xfId="31330"/>
    <cellStyle name="連結的儲存格 17 5" xfId="33094"/>
    <cellStyle name="連結的儲存格 17 6" xfId="34813"/>
    <cellStyle name="連結的儲存格 17 7" xfId="36468"/>
    <cellStyle name="連結的儲存格 17 8" xfId="38051"/>
    <cellStyle name="連結的儲存格 17 9" xfId="39509"/>
    <cellStyle name="連結的儲存格 18" xfId="17552"/>
    <cellStyle name="連結的儲存格 18 10" xfId="40800"/>
    <cellStyle name="連結的儲存格 18 11" xfId="41879"/>
    <cellStyle name="連結的儲存格 18 2" xfId="26221"/>
    <cellStyle name="連結的儲存格 18 3" xfId="29555"/>
    <cellStyle name="連結的儲存格 18 4" xfId="31331"/>
    <cellStyle name="連結的儲存格 18 5" xfId="33095"/>
    <cellStyle name="連結的儲存格 18 6" xfId="34814"/>
    <cellStyle name="連結的儲存格 18 7" xfId="36469"/>
    <cellStyle name="連結的儲存格 18 8" xfId="38052"/>
    <cellStyle name="連結的儲存格 18 9" xfId="39510"/>
    <cellStyle name="連結的儲存格 19" xfId="18455"/>
    <cellStyle name="連結的儲存格 19 10" xfId="40801"/>
    <cellStyle name="連結的儲存格 19 11" xfId="41880"/>
    <cellStyle name="連結的儲存格 19 2" xfId="26222"/>
    <cellStyle name="連結的儲存格 19 3" xfId="29556"/>
    <cellStyle name="連結的儲存格 19 4" xfId="31332"/>
    <cellStyle name="連結的儲存格 19 5" xfId="33096"/>
    <cellStyle name="連結的儲存格 19 6" xfId="34815"/>
    <cellStyle name="連結的儲存格 19 7" xfId="36470"/>
    <cellStyle name="連結的儲存格 19 8" xfId="38053"/>
    <cellStyle name="連結的儲存格 19 9" xfId="39511"/>
    <cellStyle name="連結的儲存格 2" xfId="8592"/>
    <cellStyle name="連結的儲存格 2 10" xfId="40802"/>
    <cellStyle name="連結的儲存格 2 11" xfId="41881"/>
    <cellStyle name="連結的儲存格 2 12" xfId="9169"/>
    <cellStyle name="連結的儲存格 2 2" xfId="9524"/>
    <cellStyle name="連結的儲存格 2 2 2" xfId="26223"/>
    <cellStyle name="連結的儲存格 2 3" xfId="29557"/>
    <cellStyle name="連結的儲存格 2 4" xfId="31333"/>
    <cellStyle name="連結的儲存格 2 5" xfId="33097"/>
    <cellStyle name="連結的儲存格 2 6" xfId="34816"/>
    <cellStyle name="連結的儲存格 2 7" xfId="36471"/>
    <cellStyle name="連結的儲存格 2 8" xfId="38054"/>
    <cellStyle name="連結的儲存格 2 9" xfId="39512"/>
    <cellStyle name="連結的儲存格 20" xfId="15799"/>
    <cellStyle name="連結的儲存格 20 10" xfId="40803"/>
    <cellStyle name="連結的儲存格 20 11" xfId="41882"/>
    <cellStyle name="連結的儲存格 20 2" xfId="26224"/>
    <cellStyle name="連結的儲存格 20 3" xfId="29558"/>
    <cellStyle name="連結的儲存格 20 4" xfId="31334"/>
    <cellStyle name="連結的儲存格 20 5" xfId="33098"/>
    <cellStyle name="連結的儲存格 20 6" xfId="34817"/>
    <cellStyle name="連結的儲存格 20 7" xfId="36472"/>
    <cellStyle name="連結的儲存格 20 8" xfId="38055"/>
    <cellStyle name="連結的儲存格 20 9" xfId="39513"/>
    <cellStyle name="連結的儲存格 21" xfId="19408"/>
    <cellStyle name="連結的儲存格 21 10" xfId="40804"/>
    <cellStyle name="連結的儲存格 21 11" xfId="41883"/>
    <cellStyle name="連結的儲存格 21 2" xfId="26225"/>
    <cellStyle name="連結的儲存格 21 3" xfId="29559"/>
    <cellStyle name="連結的儲存格 21 4" xfId="31335"/>
    <cellStyle name="連結的儲存格 21 5" xfId="33099"/>
    <cellStyle name="連結的儲存格 21 6" xfId="34818"/>
    <cellStyle name="連結的儲存格 21 7" xfId="36473"/>
    <cellStyle name="連結的儲存格 21 8" xfId="38056"/>
    <cellStyle name="連結的儲存格 21 9" xfId="39514"/>
    <cellStyle name="連結的儲存格 22" xfId="14853"/>
    <cellStyle name="連結的儲存格 22 10" xfId="40805"/>
    <cellStyle name="連結的儲存格 22 11" xfId="41884"/>
    <cellStyle name="連結的儲存格 22 2" xfId="26226"/>
    <cellStyle name="連結的儲存格 22 3" xfId="29560"/>
    <cellStyle name="連結的儲存格 22 4" xfId="31336"/>
    <cellStyle name="連結的儲存格 22 5" xfId="33100"/>
    <cellStyle name="連結的儲存格 22 6" xfId="34819"/>
    <cellStyle name="連結的儲存格 22 7" xfId="36474"/>
    <cellStyle name="連結的儲存格 22 8" xfId="38057"/>
    <cellStyle name="連結的儲存格 22 9" xfId="39515"/>
    <cellStyle name="連結的儲存格 23" xfId="22949"/>
    <cellStyle name="連結的儲存格 23 10" xfId="40806"/>
    <cellStyle name="連結的儲存格 23 11" xfId="41885"/>
    <cellStyle name="連結的儲存格 23 2" xfId="26227"/>
    <cellStyle name="連結的儲存格 23 3" xfId="29561"/>
    <cellStyle name="連結的儲存格 23 4" xfId="31337"/>
    <cellStyle name="連結的儲存格 23 5" xfId="33101"/>
    <cellStyle name="連結的儲存格 23 6" xfId="34820"/>
    <cellStyle name="連結的儲存格 23 7" xfId="36475"/>
    <cellStyle name="連結的儲存格 23 8" xfId="38058"/>
    <cellStyle name="連結的儲存格 23 9" xfId="39516"/>
    <cellStyle name="連結的儲存格 24" xfId="26228"/>
    <cellStyle name="連結的儲存格 25" xfId="26229"/>
    <cellStyle name="連結的儲存格 26" xfId="26230"/>
    <cellStyle name="連結的儲存格 27" xfId="26231"/>
    <cellStyle name="連結的儲存格 28" xfId="26232"/>
    <cellStyle name="連結的儲存格 29" xfId="26233"/>
    <cellStyle name="連結的儲存格 3" xfId="9211"/>
    <cellStyle name="連結的儲存格 3 10" xfId="40807"/>
    <cellStyle name="連結的儲存格 3 11" xfId="41886"/>
    <cellStyle name="連結的儲存格 3 2" xfId="10267"/>
    <cellStyle name="連結的儲存格 3 2 2" xfId="26234"/>
    <cellStyle name="連結的儲存格 3 3" xfId="29567"/>
    <cellStyle name="連結的儲存格 3 4" xfId="31343"/>
    <cellStyle name="連結的儲存格 3 5" xfId="33107"/>
    <cellStyle name="連結的儲存格 3 6" xfId="34825"/>
    <cellStyle name="連結的儲存格 3 7" xfId="36480"/>
    <cellStyle name="連結的儲存格 3 8" xfId="38062"/>
    <cellStyle name="連結的儲存格 3 9" xfId="39519"/>
    <cellStyle name="連結的儲存格 30" xfId="26235"/>
    <cellStyle name="連結的儲存格 31" xfId="26236"/>
    <cellStyle name="連結的儲存格 32" xfId="26237"/>
    <cellStyle name="連結的儲存格 33" xfId="26238"/>
    <cellStyle name="連結的儲存格 34" xfId="26239"/>
    <cellStyle name="連結的儲存格 35" xfId="26240"/>
    <cellStyle name="連結的儲存格 36" xfId="26241"/>
    <cellStyle name="連結的儲存格 37" xfId="26242"/>
    <cellStyle name="連結的儲存格 38" xfId="26243"/>
    <cellStyle name="連結的儲存格 39" xfId="26244"/>
    <cellStyle name="連結的儲存格 4" xfId="11257"/>
    <cellStyle name="連結的儲存格 4 10" xfId="40808"/>
    <cellStyle name="連結的儲存格 4 11" xfId="41887"/>
    <cellStyle name="連結的儲存格 4 2" xfId="26245"/>
    <cellStyle name="連結的儲存格 4 3" xfId="29578"/>
    <cellStyle name="連結的儲存格 4 4" xfId="31354"/>
    <cellStyle name="連結的儲存格 4 5" xfId="33118"/>
    <cellStyle name="連結的儲存格 4 6" xfId="34836"/>
    <cellStyle name="連結的儲存格 4 7" xfId="36489"/>
    <cellStyle name="連結的儲存格 4 8" xfId="38069"/>
    <cellStyle name="連結的儲存格 4 9" xfId="39525"/>
    <cellStyle name="連結的儲存格 40" xfId="26246"/>
    <cellStyle name="連結的儲存格 41" xfId="26247"/>
    <cellStyle name="連結的儲存格 42" xfId="26248"/>
    <cellStyle name="連結的儲存格 43" xfId="26249"/>
    <cellStyle name="連結的儲存格 44" xfId="26250"/>
    <cellStyle name="連結的儲存格 45" xfId="26251"/>
    <cellStyle name="連結的儲存格 46" xfId="26252"/>
    <cellStyle name="連結的儲存格 47" xfId="26253"/>
    <cellStyle name="連結的儲存格 48" xfId="26254"/>
    <cellStyle name="連結的儲存格 49" xfId="26255"/>
    <cellStyle name="連結的儲存格 5" xfId="11448"/>
    <cellStyle name="連結的儲存格 5 10" xfId="40809"/>
    <cellStyle name="連結的儲存格 5 11" xfId="41888"/>
    <cellStyle name="連結的儲存格 5 2" xfId="26256"/>
    <cellStyle name="連結的儲存格 5 3" xfId="29589"/>
    <cellStyle name="連結的儲存格 5 4" xfId="31365"/>
    <cellStyle name="連結的儲存格 5 5" xfId="33128"/>
    <cellStyle name="連結的儲存格 5 6" xfId="34846"/>
    <cellStyle name="連結的儲存格 5 7" xfId="36499"/>
    <cellStyle name="連結的儲存格 5 8" xfId="38077"/>
    <cellStyle name="連結的儲存格 5 9" xfId="39531"/>
    <cellStyle name="連結的儲存格 50" xfId="26257"/>
    <cellStyle name="連結的儲存格 51" xfId="26258"/>
    <cellStyle name="連結的儲存格 52" xfId="26259"/>
    <cellStyle name="連結的儲存格 53" xfId="26260"/>
    <cellStyle name="連結的儲存格 54" xfId="26261"/>
    <cellStyle name="連結的儲存格 55" xfId="26262"/>
    <cellStyle name="連結的儲存格 56" xfId="26263"/>
    <cellStyle name="連結的儲存格 57" xfId="26264"/>
    <cellStyle name="連結的儲存格 58" xfId="26265"/>
    <cellStyle name="連結的儲存格 59" xfId="26266"/>
    <cellStyle name="連結的儲存格 6" xfId="11635"/>
    <cellStyle name="連結的儲存格 6 10" xfId="40810"/>
    <cellStyle name="連結的儲存格 6 11" xfId="41889"/>
    <cellStyle name="連結的儲存格 6 2" xfId="26267"/>
    <cellStyle name="連結的儲存格 6 3" xfId="29598"/>
    <cellStyle name="連結的儲存格 6 4" xfId="31373"/>
    <cellStyle name="連結的儲存格 6 5" xfId="33136"/>
    <cellStyle name="連結的儲存格 6 6" xfId="34854"/>
    <cellStyle name="連結的儲存格 6 7" xfId="36507"/>
    <cellStyle name="連結的儲存格 6 8" xfId="38081"/>
    <cellStyle name="連結的儲存格 6 9" xfId="39534"/>
    <cellStyle name="連結的儲存格 60" xfId="26268"/>
    <cellStyle name="連結的儲存格 61" xfId="26269"/>
    <cellStyle name="連結的儲存格 62" xfId="26697"/>
    <cellStyle name="連結的儲存格 63" xfId="28825"/>
    <cellStyle name="連結的儲存格 64" xfId="30611"/>
    <cellStyle name="連結的儲存格 65" xfId="32385"/>
    <cellStyle name="連結的儲存格 66" xfId="34137"/>
    <cellStyle name="連結的儲存格 67" xfId="35844"/>
    <cellStyle name="連結的儲存格 68" xfId="37479"/>
    <cellStyle name="連結的儲存格 69" xfId="39026"/>
    <cellStyle name="連結的儲存格 7" xfId="11819"/>
    <cellStyle name="連結的儲存格 7 10" xfId="40811"/>
    <cellStyle name="連結的儲存格 7 11" xfId="41890"/>
    <cellStyle name="連結的儲存格 7 2" xfId="26270"/>
    <cellStyle name="連結的儲存格 7 3" xfId="29601"/>
    <cellStyle name="連結的儲存格 7 4" xfId="31376"/>
    <cellStyle name="連結的儲存格 7 5" xfId="33139"/>
    <cellStyle name="連結的儲存格 7 6" xfId="34857"/>
    <cellStyle name="連結的儲存格 7 7" xfId="36510"/>
    <cellStyle name="連結的儲存格 7 8" xfId="38084"/>
    <cellStyle name="連結的儲存格 7 9" xfId="39537"/>
    <cellStyle name="連結的儲存格 70" xfId="40439"/>
    <cellStyle name="連結的儲存格 71" xfId="7993"/>
    <cellStyle name="連結的儲存格 72" xfId="7962"/>
    <cellStyle name="連結的儲存格 8" xfId="12001"/>
    <cellStyle name="連結的儲存格 8 10" xfId="40812"/>
    <cellStyle name="連結的儲存格 8 11" xfId="41891"/>
    <cellStyle name="連結的儲存格 8 2" xfId="26271"/>
    <cellStyle name="連結的儲存格 8 3" xfId="29602"/>
    <cellStyle name="連結的儲存格 8 4" xfId="31377"/>
    <cellStyle name="連結的儲存格 8 5" xfId="33140"/>
    <cellStyle name="連結的儲存格 8 6" xfId="34858"/>
    <cellStyle name="連結的儲存格 8 7" xfId="36511"/>
    <cellStyle name="連結的儲存格 8 8" xfId="38085"/>
    <cellStyle name="連結的儲存格 8 9" xfId="39538"/>
    <cellStyle name="連結的儲存格 9" xfId="12175"/>
    <cellStyle name="連結的儲存格 9 10" xfId="40813"/>
    <cellStyle name="連結的儲存格 9 11" xfId="41892"/>
    <cellStyle name="連結的儲存格 9 2" xfId="26272"/>
    <cellStyle name="連結的儲存格 9 3" xfId="29603"/>
    <cellStyle name="連結的儲存格 9 4" xfId="31378"/>
    <cellStyle name="連結的儲存格 9 5" xfId="33141"/>
    <cellStyle name="連結的儲存格 9 6" xfId="34859"/>
    <cellStyle name="連結的儲存格 9 7" xfId="36512"/>
    <cellStyle name="連結的儲存格 9 8" xfId="38086"/>
    <cellStyle name="連結的儲存格 9 9" xfId="39539"/>
    <cellStyle name="链接单元格 10" xfId="8378"/>
    <cellStyle name="链接单元格 11" xfId="8420"/>
    <cellStyle name="链接单元格 12" xfId="8462"/>
    <cellStyle name="链接单元格 13" xfId="8504"/>
    <cellStyle name="链接单元格 14" xfId="8546"/>
    <cellStyle name="链接单元格 15" xfId="43231"/>
    <cellStyle name="链接单元格 16" xfId="43273"/>
    <cellStyle name="链接单元格 2" xfId="8043"/>
    <cellStyle name="链接单元格 3" xfId="8085"/>
    <cellStyle name="链接单元格 4" xfId="8127"/>
    <cellStyle name="链接单元格 5" xfId="8169"/>
    <cellStyle name="链接单元格 6" xfId="8210"/>
    <cellStyle name="链接单元格 7" xfId="8252"/>
    <cellStyle name="链接单元格 8" xfId="8294"/>
    <cellStyle name="链接单元格 9" xfId="8336"/>
  </cellStyles>
  <dxfs count="0"/>
  <tableStyles count="0" defaultTableStyle="TableStyleMedium2" defaultPivotStyle="PivotStyleLight16"/>
  <colors>
    <mruColors>
      <color rgb="FF3C2777"/>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gi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510987</xdr:colOff>
      <xdr:row>11</xdr:row>
      <xdr:rowOff>123903</xdr:rowOff>
    </xdr:from>
    <xdr:to>
      <xdr:col>8</xdr:col>
      <xdr:colOff>454407</xdr:colOff>
      <xdr:row>15</xdr:row>
      <xdr:rowOff>119173</xdr:rowOff>
    </xdr:to>
    <xdr:pic>
      <xdr:nvPicPr>
        <xdr:cNvPr id="2" name="Picture 1"/>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931458" y="2465932"/>
          <a:ext cx="2363890" cy="974984"/>
        </a:xfrm>
        <a:prstGeom prst="rect">
          <a:avLst/>
        </a:prstGeom>
      </xdr:spPr>
    </xdr:pic>
    <xdr:clientData/>
  </xdr:twoCellAnchor>
  <xdr:twoCellAnchor editAs="oneCell">
    <xdr:from>
      <xdr:col>9</xdr:col>
      <xdr:colOff>340498</xdr:colOff>
      <xdr:row>8</xdr:row>
      <xdr:rowOff>92449</xdr:rowOff>
    </xdr:from>
    <xdr:to>
      <xdr:col>13</xdr:col>
      <xdr:colOff>496715</xdr:colOff>
      <xdr:row>10</xdr:row>
      <xdr:rowOff>138626</xdr:rowOff>
    </xdr:to>
    <xdr:pic>
      <xdr:nvPicPr>
        <xdr:cNvPr id="3" name="Picture 2"/>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786557" y="1862978"/>
          <a:ext cx="2576687" cy="536035"/>
        </a:xfrm>
        <a:prstGeom prst="rect">
          <a:avLst/>
        </a:prstGeom>
      </xdr:spPr>
    </xdr:pic>
    <xdr:clientData/>
  </xdr:twoCellAnchor>
  <xdr:twoCellAnchor editAs="oneCell">
    <xdr:from>
      <xdr:col>9</xdr:col>
      <xdr:colOff>558854</xdr:colOff>
      <xdr:row>13</xdr:row>
      <xdr:rowOff>4433</xdr:rowOff>
    </xdr:from>
    <xdr:to>
      <xdr:col>13</xdr:col>
      <xdr:colOff>370117</xdr:colOff>
      <xdr:row>14</xdr:row>
      <xdr:rowOff>223513</xdr:rowOff>
    </xdr:to>
    <xdr:pic>
      <xdr:nvPicPr>
        <xdr:cNvPr id="4" name="Picture 3"/>
        <xdr:cNvPicPr>
          <a:picLocks noChangeAspect="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4913" y="2727462"/>
          <a:ext cx="2231733" cy="464009"/>
        </a:xfrm>
        <a:prstGeom prst="rect">
          <a:avLst/>
        </a:prstGeom>
      </xdr:spPr>
    </xdr:pic>
    <xdr:clientData/>
  </xdr:twoCellAnchor>
  <xdr:twoCellAnchor editAs="oneCell">
    <xdr:from>
      <xdr:col>0</xdr:col>
      <xdr:colOff>259091</xdr:colOff>
      <xdr:row>12</xdr:row>
      <xdr:rowOff>127187</xdr:rowOff>
    </xdr:from>
    <xdr:to>
      <xdr:col>3</xdr:col>
      <xdr:colOff>576726</xdr:colOff>
      <xdr:row>15</xdr:row>
      <xdr:rowOff>100332</xdr:rowOff>
    </xdr:to>
    <xdr:pic>
      <xdr:nvPicPr>
        <xdr:cNvPr id="5" name="Picture 4"/>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59091" y="2659716"/>
          <a:ext cx="2132988" cy="707930"/>
        </a:xfrm>
        <a:prstGeom prst="rect">
          <a:avLst/>
        </a:prstGeom>
      </xdr:spPr>
    </xdr:pic>
    <xdr:clientData/>
  </xdr:twoCellAnchor>
  <xdr:twoCellAnchor editAs="oneCell">
    <xdr:from>
      <xdr:col>5</xdr:col>
      <xdr:colOff>9449</xdr:colOff>
      <xdr:row>8</xdr:row>
      <xdr:rowOff>82924</xdr:rowOff>
    </xdr:from>
    <xdr:to>
      <xdr:col>8</xdr:col>
      <xdr:colOff>501684</xdr:colOff>
      <xdr:row>10</xdr:row>
      <xdr:rowOff>87803</xdr:rowOff>
    </xdr:to>
    <xdr:pic>
      <xdr:nvPicPr>
        <xdr:cNvPr id="6" name="Picture 5"/>
        <xdr:cNvPicPr>
          <a:picLocks noChangeAspect="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035037" y="1853453"/>
          <a:ext cx="2307588" cy="494737"/>
        </a:xfrm>
        <a:prstGeom prst="rect">
          <a:avLst/>
        </a:prstGeom>
      </xdr:spPr>
    </xdr:pic>
    <xdr:clientData/>
  </xdr:twoCellAnchor>
  <xdr:twoCellAnchor editAs="oneCell">
    <xdr:from>
      <xdr:col>0</xdr:col>
      <xdr:colOff>1</xdr:colOff>
      <xdr:row>8</xdr:row>
      <xdr:rowOff>130550</xdr:rowOff>
    </xdr:from>
    <xdr:to>
      <xdr:col>3</xdr:col>
      <xdr:colOff>494692</xdr:colOff>
      <xdr:row>10</xdr:row>
      <xdr:rowOff>222332</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 y="1901079"/>
          <a:ext cx="2310044" cy="581640"/>
        </a:xfrm>
        <a:prstGeom prst="rect">
          <a:avLst/>
        </a:prstGeom>
      </xdr:spPr>
    </xdr:pic>
    <xdr:clientData/>
  </xdr:twoCellAnchor>
  <xdr:twoCellAnchor editAs="oneCell">
    <xdr:from>
      <xdr:col>1</xdr:col>
      <xdr:colOff>179853</xdr:colOff>
      <xdr:row>14</xdr:row>
      <xdr:rowOff>113180</xdr:rowOff>
    </xdr:from>
    <xdr:to>
      <xdr:col>13</xdr:col>
      <xdr:colOff>123265</xdr:colOff>
      <xdr:row>25</xdr:row>
      <xdr:rowOff>110289</xdr:rowOff>
    </xdr:to>
    <xdr:pic>
      <xdr:nvPicPr>
        <xdr:cNvPr id="8" name="Picture 7"/>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84971" y="3026709"/>
          <a:ext cx="7204823" cy="2664109"/>
        </a:xfrm>
        <a:prstGeom prst="rect">
          <a:avLst/>
        </a:prstGeom>
      </xdr:spPr>
    </xdr:pic>
    <xdr:clientData/>
  </xdr:twoCellAnchor>
  <xdr:twoCellAnchor editAs="oneCell">
    <xdr:from>
      <xdr:col>0</xdr:col>
      <xdr:colOff>156882</xdr:colOff>
      <xdr:row>1</xdr:row>
      <xdr:rowOff>22411</xdr:rowOff>
    </xdr:from>
    <xdr:to>
      <xdr:col>6</xdr:col>
      <xdr:colOff>584913</xdr:colOff>
      <xdr:row>5</xdr:row>
      <xdr:rowOff>179578</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6882" y="212911"/>
          <a:ext cx="4058737" cy="1055239"/>
        </a:xfrm>
        <a:prstGeom prst="rect">
          <a:avLst/>
        </a:prstGeom>
      </xdr:spPr>
    </xdr:pic>
    <xdr:clientData/>
  </xdr:twoCellAnchor>
  <xdr:twoCellAnchor>
    <xdr:from>
      <xdr:col>6</xdr:col>
      <xdr:colOff>593913</xdr:colOff>
      <xdr:row>0</xdr:row>
      <xdr:rowOff>100853</xdr:rowOff>
    </xdr:from>
    <xdr:to>
      <xdr:col>14</xdr:col>
      <xdr:colOff>56031</xdr:colOff>
      <xdr:row>6</xdr:row>
      <xdr:rowOff>246529</xdr:rowOff>
    </xdr:to>
    <xdr:sp macro="" textlink="">
      <xdr:nvSpPr>
        <xdr:cNvPr id="10" name="TextBox 9"/>
        <xdr:cNvSpPr txBox="1"/>
      </xdr:nvSpPr>
      <xdr:spPr>
        <a:xfrm>
          <a:off x="4224619" y="100853"/>
          <a:ext cx="4303059" cy="1288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sz="1100"/>
        </a:p>
        <a:p>
          <a:r>
            <a:rPr lang="en-ZA" sz="1100"/>
            <a:t> Unit F6, Centurion Business Park, 	TEL 021 551 8982 </a:t>
          </a:r>
        </a:p>
        <a:p>
          <a:r>
            <a:rPr lang="en-ZA" sz="1100"/>
            <a:t>Cnr Bosmansdam &amp; Democracy Roads 	TEL 021 838 2608 </a:t>
          </a:r>
        </a:p>
        <a:p>
          <a:r>
            <a:rPr lang="en-ZA" sz="1100"/>
            <a:t>Milnerton, 7441 		FAX 086 579 9625 </a:t>
          </a:r>
        </a:p>
        <a:p>
          <a:r>
            <a:rPr lang="en-ZA" sz="1100"/>
            <a:t>P.O Box 45633, Ottery, 7808 		sales@digicomp.co.za </a:t>
          </a:r>
        </a:p>
        <a:p>
          <a:r>
            <a:rPr lang="en-ZA" sz="1100"/>
            <a:t>			www..digicomp.co.za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1971675</xdr:colOff>
      <xdr:row>0</xdr:row>
      <xdr:rowOff>881607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3390899" cy="881606"/>
        </a:xfrm>
        <a:prstGeom prst="rect">
          <a:avLst/>
        </a:prstGeom>
      </xdr:spPr>
    </xdr:pic>
    <xdr:clientData/>
  </xdr:twoCellAnchor>
  <xdr:oneCellAnchor>
    <xdr:from>
      <xdr:col>2</xdr:col>
      <xdr:colOff>1202585</xdr:colOff>
      <xdr:row>0</xdr:row>
      <xdr:rowOff>16960</xdr:rowOff>
    </xdr:from>
    <xdr:ext cx="6824562" cy="937629"/>
    <xdr:sp macro="" textlink="">
      <xdr:nvSpPr>
        <xdr:cNvPr id="2" name="Rectangle 1"/>
        <xdr:cNvSpPr/>
      </xdr:nvSpPr>
      <xdr:spPr>
        <a:xfrm>
          <a:off x="4555385" y="16960"/>
          <a:ext cx="6824562"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computer products</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93293</xdr:colOff>
      <xdr:row>0</xdr:row>
      <xdr:rowOff>121735</xdr:rowOff>
    </xdr:from>
    <xdr:ext cx="6204712" cy="718466"/>
    <xdr:sp macro="" textlink="">
      <xdr:nvSpPr>
        <xdr:cNvPr id="2" name="Rectangle 1"/>
        <xdr:cNvSpPr/>
      </xdr:nvSpPr>
      <xdr:spPr>
        <a:xfrm>
          <a:off x="3465143" y="121735"/>
          <a:ext cx="6204712" cy="718466"/>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4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CAR SOUND &amp; ACCESSORIES</a:t>
          </a:r>
        </a:p>
      </xdr:txBody>
    </xdr:sp>
    <xdr:clientData/>
  </xdr:oneCellAnchor>
  <xdr:twoCellAnchor editAs="oneCell">
    <xdr:from>
      <xdr:col>0</xdr:col>
      <xdr:colOff>0</xdr:colOff>
      <xdr:row>0</xdr:row>
      <xdr:rowOff>0</xdr:rowOff>
    </xdr:from>
    <xdr:to>
      <xdr:col>2</xdr:col>
      <xdr:colOff>19049</xdr:colOff>
      <xdr:row>0</xdr:row>
      <xdr:rowOff>881606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90899" cy="881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1642781</xdr:colOff>
      <xdr:row>0</xdr:row>
      <xdr:rowOff>881606</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390899" cy="881606"/>
        </a:xfrm>
        <a:prstGeom prst="rect">
          <a:avLst/>
        </a:prstGeom>
      </xdr:spPr>
    </xdr:pic>
    <xdr:clientData/>
  </xdr:twoCellAnchor>
  <xdr:oneCellAnchor>
    <xdr:from>
      <xdr:col>1</xdr:col>
      <xdr:colOff>1614530</xdr:colOff>
      <xdr:row>0</xdr:row>
      <xdr:rowOff>69068</xdr:rowOff>
    </xdr:from>
    <xdr:ext cx="8189742" cy="937629"/>
    <xdr:sp macro="" textlink="">
      <xdr:nvSpPr>
        <xdr:cNvPr id="4" name="Rectangle 3"/>
        <xdr:cNvSpPr/>
      </xdr:nvSpPr>
      <xdr:spPr>
        <a:xfrm>
          <a:off x="3362648" y="69068"/>
          <a:ext cx="8189742" cy="937629"/>
        </a:xfrm>
        <a:prstGeom prst="rect">
          <a:avLst/>
        </a:prstGeom>
        <a:noFill/>
      </xdr:spPr>
      <xdr:txBody>
        <a:bodyPr wrap="none" lIns="91440" tIns="45720" rIns="91440" bIns="45720">
          <a:sp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leads,</a:t>
          </a:r>
          <a:r>
            <a:rPr lang="en-US" sz="54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rPr>
            <a:t> plugs &amp; adaptors</a:t>
          </a:r>
          <a:endParaRPr lang="en-US" sz="54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igicomp.co.z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1.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tint="-0.89999084444715716"/>
  </sheetPr>
  <dimension ref="A1:AM119"/>
  <sheetViews>
    <sheetView topLeftCell="E1" zoomScale="55" zoomScaleNormal="55" workbookViewId="0">
      <selection activeCell="Q6" sqref="Q6"/>
    </sheetView>
  </sheetViews>
  <sheetFormatPr defaultRowHeight="15"/>
  <cols>
    <col min="15" max="15" width="9.140625" style="43"/>
    <col min="16" max="16" width="31.28515625" style="43" customWidth="1"/>
    <col min="17" max="17" width="35" style="43" customWidth="1"/>
    <col min="18" max="18" width="26.85546875" style="43" customWidth="1"/>
    <col min="19" max="19" width="29.5703125" style="43" customWidth="1"/>
    <col min="20" max="39" width="9.140625" style="43"/>
  </cols>
  <sheetData>
    <row r="1" spans="1:39" ht="25.5" customHeight="1">
      <c r="A1" s="137"/>
      <c r="B1" s="137"/>
      <c r="C1" s="137"/>
      <c r="D1" s="137"/>
      <c r="E1" s="137"/>
      <c r="F1" s="137"/>
      <c r="G1" s="137"/>
      <c r="H1" s="137"/>
      <c r="I1" s="137"/>
      <c r="J1" s="137"/>
      <c r="K1" s="137"/>
      <c r="L1" s="137"/>
      <c r="M1" s="137"/>
      <c r="N1" s="137"/>
      <c r="O1" s="137"/>
      <c r="P1" s="129" t="s">
        <v>676</v>
      </c>
      <c r="Q1" s="130"/>
      <c r="R1" s="133" t="s">
        <v>677</v>
      </c>
      <c r="S1" s="135" t="s">
        <v>680</v>
      </c>
    </row>
    <row r="2" spans="1:39" ht="15.75" thickBot="1">
      <c r="A2" s="137"/>
      <c r="B2" s="137"/>
      <c r="C2" s="137"/>
      <c r="D2" s="137"/>
      <c r="E2" s="137"/>
      <c r="F2" s="137"/>
      <c r="G2" s="137"/>
      <c r="H2" s="137"/>
      <c r="I2" s="137"/>
      <c r="J2" s="137"/>
      <c r="K2" s="137"/>
      <c r="L2" s="137"/>
      <c r="M2" s="137"/>
      <c r="N2" s="137"/>
      <c r="O2" s="137"/>
      <c r="P2" s="131"/>
      <c r="Q2" s="132"/>
      <c r="R2" s="134"/>
      <c r="S2" s="136"/>
    </row>
    <row r="3" spans="1:39" ht="18">
      <c r="A3" s="137"/>
      <c r="B3" s="137"/>
      <c r="C3" s="137"/>
      <c r="D3" s="137"/>
      <c r="E3" s="137"/>
      <c r="F3" s="137"/>
      <c r="G3" s="137"/>
      <c r="H3" s="137"/>
      <c r="I3" s="137"/>
      <c r="J3" s="137"/>
      <c r="K3" s="137"/>
      <c r="L3" s="137"/>
      <c r="M3" s="137"/>
      <c r="N3" s="137"/>
      <c r="O3" s="137"/>
      <c r="P3" s="122" t="s">
        <v>655</v>
      </c>
      <c r="Q3" s="123" t="s">
        <v>669</v>
      </c>
      <c r="R3" s="123" t="s">
        <v>312</v>
      </c>
      <c r="S3" s="124" t="s">
        <v>627</v>
      </c>
    </row>
    <row r="4" spans="1:39" ht="18">
      <c r="A4" s="137"/>
      <c r="B4" s="137"/>
      <c r="C4" s="137"/>
      <c r="D4" s="137"/>
      <c r="E4" s="137"/>
      <c r="F4" s="137"/>
      <c r="G4" s="137"/>
      <c r="H4" s="137"/>
      <c r="I4" s="137"/>
      <c r="J4" s="137"/>
      <c r="K4" s="137"/>
      <c r="L4" s="137"/>
      <c r="M4" s="137"/>
      <c r="N4" s="137"/>
      <c r="O4" s="137"/>
      <c r="P4" s="125" t="s">
        <v>656</v>
      </c>
      <c r="Q4" s="123" t="s">
        <v>670</v>
      </c>
      <c r="R4" s="123" t="s">
        <v>313</v>
      </c>
      <c r="S4" s="123" t="s">
        <v>628</v>
      </c>
    </row>
    <row r="5" spans="1:39" ht="18">
      <c r="A5" s="137"/>
      <c r="B5" s="137"/>
      <c r="C5" s="137"/>
      <c r="D5" s="137"/>
      <c r="E5" s="137"/>
      <c r="F5" s="137"/>
      <c r="G5" s="137"/>
      <c r="H5" s="137"/>
      <c r="I5" s="137"/>
      <c r="J5" s="137"/>
      <c r="K5" s="137"/>
      <c r="L5" s="137"/>
      <c r="M5" s="137"/>
      <c r="N5" s="137"/>
      <c r="O5" s="137"/>
      <c r="P5" s="125" t="s">
        <v>657</v>
      </c>
      <c r="Q5" s="123" t="s">
        <v>404</v>
      </c>
      <c r="R5" s="123" t="s">
        <v>678</v>
      </c>
      <c r="S5" s="123" t="s">
        <v>629</v>
      </c>
    </row>
    <row r="6" spans="1:39" ht="18">
      <c r="A6" s="137"/>
      <c r="B6" s="137"/>
      <c r="C6" s="137"/>
      <c r="D6" s="137"/>
      <c r="E6" s="137"/>
      <c r="F6" s="137"/>
      <c r="G6" s="137"/>
      <c r="H6" s="137"/>
      <c r="I6" s="137"/>
      <c r="J6" s="137"/>
      <c r="K6" s="137"/>
      <c r="L6" s="137"/>
      <c r="M6" s="137"/>
      <c r="N6" s="137"/>
      <c r="O6" s="137"/>
      <c r="P6" s="125" t="s">
        <v>658</v>
      </c>
      <c r="Q6" s="123" t="s">
        <v>681</v>
      </c>
      <c r="R6" s="123" t="s">
        <v>679</v>
      </c>
      <c r="S6" s="123" t="s">
        <v>630</v>
      </c>
    </row>
    <row r="7" spans="1:39" ht="20.100000000000001" customHeight="1">
      <c r="A7" s="137"/>
      <c r="B7" s="137"/>
      <c r="C7" s="137"/>
      <c r="D7" s="137"/>
      <c r="E7" s="137"/>
      <c r="F7" s="137"/>
      <c r="G7" s="137"/>
      <c r="H7" s="137"/>
      <c r="I7" s="137"/>
      <c r="J7" s="137"/>
      <c r="K7" s="137"/>
      <c r="L7" s="137"/>
      <c r="M7" s="137"/>
      <c r="N7" s="137"/>
      <c r="O7" s="137"/>
      <c r="P7" s="125" t="s">
        <v>660</v>
      </c>
      <c r="Q7" s="123" t="s">
        <v>671</v>
      </c>
      <c r="R7" s="126"/>
      <c r="S7" s="123" t="s">
        <v>631</v>
      </c>
    </row>
    <row r="8" spans="1:39" s="89" customFormat="1" ht="20.100000000000001" customHeight="1">
      <c r="A8" s="88"/>
      <c r="B8" s="88"/>
      <c r="C8" s="88"/>
      <c r="D8" s="88"/>
      <c r="E8" s="88"/>
      <c r="F8" s="88"/>
      <c r="G8" s="88"/>
      <c r="H8" s="88"/>
      <c r="I8" s="88"/>
      <c r="J8" s="88"/>
      <c r="K8" s="88"/>
      <c r="L8" s="88"/>
      <c r="M8" s="88"/>
      <c r="N8" s="88"/>
      <c r="O8" s="88"/>
      <c r="P8" s="125" t="s">
        <v>661</v>
      </c>
      <c r="Q8" s="123" t="s">
        <v>672</v>
      </c>
      <c r="R8" s="126"/>
      <c r="S8" s="123" t="s">
        <v>632</v>
      </c>
      <c r="T8" s="86"/>
      <c r="U8" s="86"/>
      <c r="V8" s="86"/>
      <c r="W8" s="86"/>
      <c r="X8" s="86"/>
      <c r="Y8" s="86"/>
      <c r="Z8" s="86"/>
      <c r="AA8" s="86"/>
      <c r="AB8" s="86"/>
      <c r="AC8" s="86"/>
      <c r="AD8" s="86"/>
      <c r="AE8" s="86"/>
      <c r="AF8" s="86"/>
      <c r="AG8" s="86"/>
      <c r="AH8" s="86"/>
      <c r="AI8" s="86"/>
      <c r="AJ8" s="86"/>
      <c r="AK8" s="86"/>
      <c r="AL8" s="86"/>
      <c r="AM8" s="86"/>
    </row>
    <row r="9" spans="1:39" s="89" customFormat="1" ht="20.100000000000001" customHeight="1">
      <c r="A9" s="138"/>
      <c r="B9" s="138"/>
      <c r="C9" s="138"/>
      <c r="D9" s="138"/>
      <c r="E9" s="138"/>
      <c r="F9" s="138"/>
      <c r="G9" s="138"/>
      <c r="H9" s="138"/>
      <c r="I9" s="138"/>
      <c r="J9" s="138"/>
      <c r="K9" s="138"/>
      <c r="L9" s="138"/>
      <c r="M9" s="138"/>
      <c r="N9" s="138"/>
      <c r="O9" s="138"/>
      <c r="P9" s="125" t="s">
        <v>662</v>
      </c>
      <c r="Q9" s="123" t="s">
        <v>673</v>
      </c>
      <c r="R9" s="126"/>
      <c r="S9" s="123" t="s">
        <v>633</v>
      </c>
      <c r="T9" s="86"/>
      <c r="U9" s="86"/>
      <c r="V9" s="86"/>
      <c r="W9" s="86"/>
      <c r="X9" s="86"/>
      <c r="Y9" s="86"/>
      <c r="Z9" s="86"/>
      <c r="AA9" s="86"/>
      <c r="AB9" s="86"/>
      <c r="AC9" s="86"/>
      <c r="AD9" s="86"/>
      <c r="AE9" s="86"/>
      <c r="AF9" s="86"/>
      <c r="AG9" s="86"/>
      <c r="AH9" s="86"/>
      <c r="AI9" s="86"/>
      <c r="AJ9" s="86"/>
      <c r="AK9" s="86"/>
      <c r="AL9" s="86"/>
      <c r="AM9" s="86"/>
    </row>
    <row r="10" spans="1:39" s="89" customFormat="1" ht="20.100000000000001" customHeight="1">
      <c r="A10" s="138"/>
      <c r="B10" s="138"/>
      <c r="C10" s="138"/>
      <c r="D10" s="138"/>
      <c r="E10" s="138"/>
      <c r="F10" s="138"/>
      <c r="G10" s="138"/>
      <c r="H10" s="138"/>
      <c r="I10" s="138"/>
      <c r="J10" s="138"/>
      <c r="K10" s="138"/>
      <c r="L10" s="138"/>
      <c r="M10" s="138"/>
      <c r="N10" s="138"/>
      <c r="O10" s="138"/>
      <c r="P10" s="125" t="s">
        <v>663</v>
      </c>
      <c r="Q10" s="123" t="s">
        <v>357</v>
      </c>
      <c r="R10" s="126"/>
      <c r="S10" s="126"/>
      <c r="T10" s="86"/>
      <c r="U10" s="86"/>
      <c r="V10" s="86"/>
      <c r="W10" s="86"/>
      <c r="X10" s="86"/>
      <c r="Y10" s="86"/>
      <c r="Z10" s="86"/>
      <c r="AA10" s="86"/>
      <c r="AB10" s="86"/>
      <c r="AC10" s="86"/>
      <c r="AD10" s="86"/>
      <c r="AE10" s="86"/>
      <c r="AF10" s="86"/>
      <c r="AG10" s="86"/>
      <c r="AH10" s="86"/>
      <c r="AI10" s="86"/>
      <c r="AJ10" s="86"/>
      <c r="AK10" s="86"/>
      <c r="AL10" s="86"/>
      <c r="AM10" s="86"/>
    </row>
    <row r="11" spans="1:39" s="89" customFormat="1" ht="20.100000000000001" customHeight="1">
      <c r="A11" s="138"/>
      <c r="B11" s="138"/>
      <c r="C11" s="138"/>
      <c r="D11" s="138"/>
      <c r="E11" s="138"/>
      <c r="F11" s="138"/>
      <c r="G11" s="138"/>
      <c r="H11" s="138"/>
      <c r="I11" s="138"/>
      <c r="J11" s="138"/>
      <c r="K11" s="138"/>
      <c r="L11" s="138"/>
      <c r="M11" s="138"/>
      <c r="N11" s="138"/>
      <c r="O11" s="138"/>
      <c r="P11" s="125" t="s">
        <v>664</v>
      </c>
      <c r="Q11" s="123" t="s">
        <v>674</v>
      </c>
      <c r="R11" s="126"/>
      <c r="S11" s="126"/>
      <c r="T11" s="86"/>
      <c r="U11" s="86"/>
      <c r="V11" s="86"/>
      <c r="W11" s="86"/>
      <c r="X11" s="86"/>
      <c r="Y11" s="86"/>
      <c r="Z11" s="86"/>
      <c r="AA11" s="86"/>
      <c r="AB11" s="86"/>
      <c r="AC11" s="86"/>
      <c r="AD11" s="86"/>
      <c r="AE11" s="86"/>
      <c r="AF11" s="86"/>
      <c r="AG11" s="86"/>
      <c r="AH11" s="86"/>
      <c r="AI11" s="86"/>
      <c r="AJ11" s="86"/>
      <c r="AK11" s="86"/>
      <c r="AL11" s="86"/>
      <c r="AM11" s="86"/>
    </row>
    <row r="12" spans="1:39" s="89" customFormat="1" ht="20.100000000000001" customHeight="1">
      <c r="A12" s="138"/>
      <c r="B12" s="138"/>
      <c r="C12" s="138"/>
      <c r="D12" s="138"/>
      <c r="E12" s="138"/>
      <c r="F12" s="138"/>
      <c r="G12" s="138"/>
      <c r="H12" s="138"/>
      <c r="I12" s="138"/>
      <c r="J12" s="138"/>
      <c r="K12" s="138"/>
      <c r="L12" s="138"/>
      <c r="M12" s="138"/>
      <c r="N12" s="138"/>
      <c r="O12" s="138"/>
      <c r="P12" s="125" t="s">
        <v>665</v>
      </c>
      <c r="Q12" s="123" t="s">
        <v>675</v>
      </c>
      <c r="R12" s="126"/>
      <c r="S12" s="126"/>
      <c r="T12" s="86"/>
      <c r="U12" s="86"/>
      <c r="V12" s="86"/>
      <c r="W12" s="86"/>
      <c r="X12" s="86"/>
      <c r="Y12" s="86"/>
      <c r="Z12" s="86"/>
      <c r="AA12" s="86"/>
      <c r="AB12" s="86"/>
      <c r="AC12" s="86"/>
      <c r="AD12" s="86"/>
      <c r="AE12" s="86"/>
      <c r="AF12" s="86"/>
      <c r="AG12" s="86"/>
      <c r="AH12" s="86"/>
      <c r="AI12" s="86"/>
      <c r="AJ12" s="86"/>
      <c r="AK12" s="86"/>
      <c r="AL12" s="86"/>
      <c r="AM12" s="86"/>
    </row>
    <row r="13" spans="1:39" s="89" customFormat="1" ht="20.100000000000001" customHeight="1">
      <c r="A13" s="138"/>
      <c r="B13" s="138"/>
      <c r="C13" s="138"/>
      <c r="D13" s="138"/>
      <c r="E13" s="138"/>
      <c r="F13" s="138"/>
      <c r="G13" s="138"/>
      <c r="H13" s="138"/>
      <c r="I13" s="138"/>
      <c r="J13" s="138"/>
      <c r="K13" s="138"/>
      <c r="L13" s="138"/>
      <c r="M13" s="138"/>
      <c r="N13" s="138"/>
      <c r="O13" s="138"/>
      <c r="P13" s="125" t="s">
        <v>666</v>
      </c>
      <c r="Q13" s="123" t="s">
        <v>414</v>
      </c>
      <c r="R13" s="126"/>
      <c r="S13" s="126"/>
      <c r="T13" s="86"/>
      <c r="U13" s="86"/>
      <c r="V13" s="86"/>
      <c r="W13" s="86"/>
      <c r="X13" s="86"/>
      <c r="Y13" s="86"/>
      <c r="Z13" s="86"/>
      <c r="AA13" s="86"/>
      <c r="AB13" s="86"/>
      <c r="AC13" s="86"/>
      <c r="AD13" s="86"/>
      <c r="AE13" s="86"/>
      <c r="AF13" s="86"/>
      <c r="AG13" s="86"/>
      <c r="AH13" s="86"/>
      <c r="AI13" s="86"/>
      <c r="AJ13" s="86"/>
      <c r="AK13" s="86"/>
      <c r="AL13" s="86"/>
      <c r="AM13" s="86"/>
    </row>
    <row r="14" spans="1:39" s="89" customFormat="1" ht="20.100000000000001" customHeight="1">
      <c r="A14" s="138"/>
      <c r="B14" s="138"/>
      <c r="C14" s="138"/>
      <c r="D14" s="138"/>
      <c r="E14" s="138"/>
      <c r="F14" s="138"/>
      <c r="G14" s="138"/>
      <c r="H14" s="138"/>
      <c r="I14" s="138"/>
      <c r="J14" s="138"/>
      <c r="K14" s="138"/>
      <c r="L14" s="138"/>
      <c r="M14" s="138"/>
      <c r="N14" s="138"/>
      <c r="O14" s="138"/>
      <c r="P14" s="125" t="s">
        <v>667</v>
      </c>
      <c r="Q14" s="123" t="s">
        <v>416</v>
      </c>
      <c r="R14" s="126"/>
      <c r="S14" s="126"/>
      <c r="T14" s="86"/>
      <c r="U14" s="86"/>
      <c r="V14" s="86"/>
      <c r="W14" s="86"/>
      <c r="X14" s="86"/>
      <c r="Y14" s="86"/>
      <c r="Z14" s="86"/>
      <c r="AA14" s="86"/>
      <c r="AB14" s="86"/>
      <c r="AC14" s="86"/>
      <c r="AD14" s="86"/>
      <c r="AE14" s="86"/>
      <c r="AF14" s="86"/>
      <c r="AG14" s="86"/>
      <c r="AH14" s="86"/>
      <c r="AI14" s="86"/>
      <c r="AJ14" s="86"/>
      <c r="AK14" s="86"/>
      <c r="AL14" s="86"/>
      <c r="AM14" s="86"/>
    </row>
    <row r="15" spans="1:39" s="89" customFormat="1" ht="20.100000000000001" customHeight="1">
      <c r="A15" s="138"/>
      <c r="B15" s="138"/>
      <c r="C15" s="138"/>
      <c r="D15" s="138"/>
      <c r="E15" s="138"/>
      <c r="F15" s="138"/>
      <c r="G15" s="138"/>
      <c r="H15" s="138"/>
      <c r="I15" s="138"/>
      <c r="J15" s="138"/>
      <c r="K15" s="138"/>
      <c r="L15" s="138"/>
      <c r="M15" s="138"/>
      <c r="N15" s="138"/>
      <c r="O15" s="138"/>
      <c r="P15" s="125" t="s">
        <v>668</v>
      </c>
      <c r="Q15" s="123"/>
      <c r="R15" s="126"/>
      <c r="S15" s="126"/>
      <c r="T15" s="86"/>
      <c r="U15" s="86"/>
      <c r="V15" s="86"/>
      <c r="W15" s="86"/>
      <c r="X15" s="86"/>
      <c r="Y15" s="86"/>
      <c r="Z15" s="86"/>
      <c r="AA15" s="86"/>
      <c r="AB15" s="86"/>
      <c r="AC15" s="86"/>
      <c r="AD15" s="86"/>
      <c r="AE15" s="86"/>
      <c r="AF15" s="86"/>
      <c r="AG15" s="86"/>
      <c r="AH15" s="86"/>
      <c r="AI15" s="86"/>
      <c r="AJ15" s="86"/>
      <c r="AK15" s="86"/>
      <c r="AL15" s="86"/>
      <c r="AM15" s="86"/>
    </row>
    <row r="16" spans="1:39" s="89" customFormat="1" ht="20.100000000000001" customHeight="1">
      <c r="A16" s="138"/>
      <c r="B16" s="138"/>
      <c r="C16" s="138"/>
      <c r="D16" s="138"/>
      <c r="E16" s="138"/>
      <c r="F16" s="138"/>
      <c r="G16" s="138"/>
      <c r="H16" s="138"/>
      <c r="I16" s="138"/>
      <c r="J16" s="138"/>
      <c r="K16" s="138"/>
      <c r="L16" s="138"/>
      <c r="M16" s="138"/>
      <c r="N16" s="138"/>
      <c r="O16" s="138"/>
      <c r="P16" s="93"/>
      <c r="Q16" s="93"/>
      <c r="R16" s="94"/>
      <c r="S16" s="94"/>
      <c r="T16" s="86"/>
      <c r="U16" s="86"/>
      <c r="V16" s="86"/>
      <c r="W16" s="86"/>
      <c r="X16" s="86"/>
      <c r="Y16" s="86"/>
      <c r="Z16" s="86"/>
      <c r="AA16" s="86"/>
      <c r="AB16" s="86"/>
      <c r="AC16" s="86"/>
      <c r="AD16" s="86"/>
      <c r="AE16" s="86"/>
      <c r="AF16" s="86"/>
      <c r="AG16" s="86"/>
      <c r="AH16" s="86"/>
      <c r="AI16" s="86"/>
      <c r="AJ16" s="86"/>
      <c r="AK16" s="86"/>
      <c r="AL16" s="86"/>
      <c r="AM16" s="86"/>
    </row>
    <row r="17" spans="1:39" s="89" customFormat="1" ht="20.100000000000001" customHeight="1">
      <c r="A17" s="138"/>
      <c r="B17" s="138"/>
      <c r="C17" s="138"/>
      <c r="D17" s="138"/>
      <c r="E17" s="138"/>
      <c r="F17" s="138"/>
      <c r="G17" s="138"/>
      <c r="H17" s="138"/>
      <c r="I17" s="138"/>
      <c r="J17" s="138"/>
      <c r="K17" s="138"/>
      <c r="L17" s="138"/>
      <c r="M17" s="138"/>
      <c r="N17" s="138"/>
      <c r="O17" s="138"/>
      <c r="P17" s="91"/>
      <c r="Q17" s="91"/>
      <c r="R17" s="92"/>
      <c r="S17" s="92"/>
      <c r="T17" s="86"/>
      <c r="U17" s="86"/>
      <c r="V17" s="86"/>
      <c r="W17" s="86"/>
      <c r="X17" s="86"/>
      <c r="Y17" s="86"/>
      <c r="Z17" s="86"/>
      <c r="AA17" s="86"/>
      <c r="AB17" s="86"/>
      <c r="AC17" s="86"/>
      <c r="AD17" s="86"/>
      <c r="AE17" s="86"/>
      <c r="AF17" s="86"/>
      <c r="AG17" s="86"/>
      <c r="AH17" s="86"/>
      <c r="AI17" s="86"/>
      <c r="AJ17" s="86"/>
      <c r="AK17" s="86"/>
      <c r="AL17" s="86"/>
      <c r="AM17" s="86"/>
    </row>
    <row r="18" spans="1:39" s="89" customFormat="1" ht="20.100000000000001" customHeight="1">
      <c r="A18" s="138"/>
      <c r="B18" s="138"/>
      <c r="C18" s="138"/>
      <c r="D18" s="138"/>
      <c r="E18" s="138"/>
      <c r="F18" s="138"/>
      <c r="G18" s="138"/>
      <c r="H18" s="138"/>
      <c r="I18" s="138"/>
      <c r="J18" s="138"/>
      <c r="K18" s="138"/>
      <c r="L18" s="138"/>
      <c r="M18" s="138"/>
      <c r="N18" s="138"/>
      <c r="O18" s="138"/>
      <c r="P18" s="91"/>
      <c r="Q18" s="91"/>
      <c r="R18" s="92"/>
      <c r="S18" s="92"/>
      <c r="T18" s="86"/>
      <c r="U18" s="86"/>
      <c r="V18" s="86"/>
      <c r="W18" s="86"/>
      <c r="X18" s="86"/>
      <c r="Y18" s="86"/>
      <c r="Z18" s="86"/>
      <c r="AA18" s="86"/>
      <c r="AB18" s="86"/>
      <c r="AC18" s="86"/>
      <c r="AD18" s="86"/>
      <c r="AE18" s="86"/>
      <c r="AF18" s="86"/>
      <c r="AG18" s="86"/>
      <c r="AH18" s="86"/>
      <c r="AI18" s="86"/>
      <c r="AJ18" s="86"/>
      <c r="AK18" s="86"/>
      <c r="AL18" s="86"/>
      <c r="AM18" s="86"/>
    </row>
    <row r="19" spans="1:39" s="89" customFormat="1" ht="6.75" customHeight="1">
      <c r="A19" s="138"/>
      <c r="B19" s="138"/>
      <c r="C19" s="138"/>
      <c r="D19" s="138"/>
      <c r="E19" s="138"/>
      <c r="F19" s="138"/>
      <c r="G19" s="138"/>
      <c r="H19" s="138"/>
      <c r="I19" s="138"/>
      <c r="J19" s="138"/>
      <c r="K19" s="138"/>
      <c r="L19" s="138"/>
      <c r="M19" s="138"/>
      <c r="N19" s="138"/>
      <c r="O19" s="138"/>
      <c r="P19" s="127"/>
      <c r="Q19" s="127"/>
      <c r="R19" s="128"/>
      <c r="S19" s="128"/>
      <c r="T19" s="86"/>
      <c r="U19" s="86"/>
      <c r="V19" s="86"/>
      <c r="W19" s="86"/>
      <c r="X19" s="86"/>
      <c r="Y19" s="86"/>
      <c r="Z19" s="86"/>
      <c r="AA19" s="86"/>
      <c r="AB19" s="86"/>
      <c r="AC19" s="86"/>
      <c r="AD19" s="86"/>
      <c r="AE19" s="86"/>
      <c r="AF19" s="86"/>
      <c r="AG19" s="86"/>
      <c r="AH19" s="86"/>
      <c r="AI19" s="86"/>
      <c r="AJ19" s="86"/>
      <c r="AK19" s="86"/>
      <c r="AL19" s="86"/>
      <c r="AM19" s="86"/>
    </row>
    <row r="20" spans="1:39" s="89" customFormat="1" ht="30" customHeight="1">
      <c r="A20" s="138"/>
      <c r="B20" s="138"/>
      <c r="C20" s="138"/>
      <c r="D20" s="138"/>
      <c r="E20" s="138"/>
      <c r="F20" s="138"/>
      <c r="G20" s="138"/>
      <c r="H20" s="138"/>
      <c r="I20" s="138"/>
      <c r="J20" s="138"/>
      <c r="K20" s="138"/>
      <c r="L20" s="138"/>
      <c r="M20" s="138"/>
      <c r="N20" s="138"/>
      <c r="O20" s="138"/>
      <c r="P20" s="139" t="s">
        <v>692</v>
      </c>
      <c r="Q20" s="139"/>
      <c r="R20" s="139"/>
      <c r="S20" s="139"/>
      <c r="T20" s="121"/>
      <c r="U20" s="86"/>
      <c r="V20" s="86"/>
      <c r="W20" s="86"/>
      <c r="X20" s="86"/>
      <c r="Y20" s="86"/>
      <c r="Z20" s="86"/>
      <c r="AA20" s="86"/>
      <c r="AB20" s="86"/>
      <c r="AC20" s="86"/>
      <c r="AD20" s="86"/>
      <c r="AE20" s="86"/>
      <c r="AF20" s="86"/>
      <c r="AG20" s="86"/>
      <c r="AH20" s="86"/>
      <c r="AI20" s="86"/>
      <c r="AJ20" s="86"/>
      <c r="AK20" s="86"/>
      <c r="AL20" s="86"/>
      <c r="AM20" s="86"/>
    </row>
    <row r="21" spans="1:39" s="89" customFormat="1" ht="20.100000000000001" customHeight="1">
      <c r="A21" s="138"/>
      <c r="B21" s="138"/>
      <c r="C21" s="138"/>
      <c r="D21" s="138"/>
      <c r="E21" s="138"/>
      <c r="F21" s="138"/>
      <c r="G21" s="138"/>
      <c r="H21" s="138"/>
      <c r="I21" s="138"/>
      <c r="J21" s="138"/>
      <c r="K21" s="138"/>
      <c r="L21" s="138"/>
      <c r="M21" s="138"/>
      <c r="N21" s="138"/>
      <c r="O21" s="138"/>
      <c r="P21" s="91"/>
      <c r="Q21" s="140"/>
      <c r="R21" s="140"/>
      <c r="S21" s="92"/>
      <c r="T21" s="86"/>
      <c r="U21" s="86"/>
      <c r="V21" s="86"/>
      <c r="W21" s="86"/>
      <c r="X21" s="86"/>
      <c r="Y21" s="86"/>
      <c r="Z21" s="86"/>
      <c r="AA21" s="86"/>
      <c r="AB21" s="86"/>
      <c r="AC21" s="86"/>
      <c r="AD21" s="86"/>
      <c r="AE21" s="86"/>
      <c r="AF21" s="86"/>
      <c r="AG21" s="86"/>
      <c r="AH21" s="86"/>
      <c r="AI21" s="86"/>
      <c r="AJ21" s="86"/>
      <c r="AK21" s="86"/>
      <c r="AL21" s="86"/>
      <c r="AM21" s="86"/>
    </row>
    <row r="22" spans="1:39" s="89" customFormat="1" ht="20.100000000000001" customHeight="1">
      <c r="A22" s="138"/>
      <c r="B22" s="138"/>
      <c r="C22" s="138"/>
      <c r="D22" s="138"/>
      <c r="E22" s="138"/>
      <c r="F22" s="138"/>
      <c r="G22" s="138"/>
      <c r="H22" s="138"/>
      <c r="I22" s="138"/>
      <c r="J22" s="138"/>
      <c r="K22" s="138"/>
      <c r="L22" s="138"/>
      <c r="M22" s="138"/>
      <c r="N22" s="138"/>
      <c r="O22" s="138"/>
      <c r="P22" s="91"/>
      <c r="Q22" s="91"/>
      <c r="R22" s="92"/>
      <c r="S22" s="92"/>
      <c r="T22" s="86"/>
      <c r="U22" s="86"/>
      <c r="V22" s="86"/>
      <c r="W22" s="86"/>
      <c r="X22" s="86"/>
      <c r="Y22" s="86"/>
      <c r="Z22" s="86"/>
      <c r="AA22" s="86"/>
      <c r="AB22" s="86"/>
      <c r="AC22" s="86"/>
      <c r="AD22" s="86"/>
      <c r="AE22" s="86"/>
      <c r="AF22" s="86"/>
      <c r="AG22" s="86"/>
      <c r="AH22" s="86"/>
      <c r="AI22" s="86"/>
      <c r="AJ22" s="86"/>
      <c r="AK22" s="86"/>
      <c r="AL22" s="86"/>
      <c r="AM22" s="86"/>
    </row>
    <row r="23" spans="1:39" s="89" customFormat="1" ht="20.100000000000001" customHeight="1">
      <c r="A23" s="138"/>
      <c r="B23" s="138"/>
      <c r="C23" s="138"/>
      <c r="D23" s="138"/>
      <c r="E23" s="138"/>
      <c r="F23" s="138"/>
      <c r="G23" s="138"/>
      <c r="H23" s="138"/>
      <c r="I23" s="138"/>
      <c r="J23" s="138"/>
      <c r="K23" s="138"/>
      <c r="L23" s="138"/>
      <c r="M23" s="138"/>
      <c r="N23" s="138"/>
      <c r="O23" s="138"/>
      <c r="P23" s="91"/>
      <c r="Q23" s="91"/>
      <c r="R23" s="92"/>
      <c r="S23" s="92"/>
      <c r="T23" s="86"/>
      <c r="U23" s="86"/>
      <c r="V23" s="86"/>
      <c r="W23" s="86"/>
      <c r="X23" s="86"/>
      <c r="Y23" s="86"/>
      <c r="Z23" s="86"/>
      <c r="AA23" s="86"/>
      <c r="AB23" s="86"/>
      <c r="AC23" s="86"/>
      <c r="AD23" s="86"/>
      <c r="AE23" s="86"/>
      <c r="AF23" s="86"/>
      <c r="AG23" s="86"/>
      <c r="AH23" s="86"/>
      <c r="AI23" s="86"/>
      <c r="AJ23" s="86"/>
      <c r="AK23" s="86"/>
      <c r="AL23" s="86"/>
      <c r="AM23" s="86"/>
    </row>
    <row r="24" spans="1:39" s="86" customFormat="1" ht="20.100000000000001" customHeight="1">
      <c r="A24" s="138"/>
      <c r="B24" s="138"/>
      <c r="C24" s="138"/>
      <c r="D24" s="138"/>
      <c r="E24" s="138"/>
      <c r="F24" s="138"/>
      <c r="G24" s="138"/>
      <c r="H24" s="138"/>
      <c r="I24" s="138"/>
      <c r="J24" s="138"/>
      <c r="K24" s="138"/>
      <c r="L24" s="138"/>
      <c r="M24" s="138"/>
      <c r="N24" s="138"/>
      <c r="O24" s="138"/>
      <c r="P24" s="91"/>
      <c r="Q24" s="91"/>
      <c r="R24" s="92"/>
      <c r="S24" s="92"/>
    </row>
    <row r="25" spans="1:39" s="86" customFormat="1" ht="20.100000000000001" customHeight="1">
      <c r="A25" s="138"/>
      <c r="B25" s="138"/>
      <c r="C25" s="138"/>
      <c r="D25" s="138"/>
      <c r="E25" s="138"/>
      <c r="F25" s="138"/>
      <c r="G25" s="138"/>
      <c r="H25" s="138"/>
      <c r="I25" s="138"/>
      <c r="J25" s="138"/>
      <c r="K25" s="138"/>
      <c r="L25" s="138"/>
      <c r="M25" s="138"/>
      <c r="N25" s="138"/>
      <c r="O25" s="138"/>
      <c r="P25" s="91"/>
      <c r="Q25" s="91"/>
      <c r="R25" s="92"/>
      <c r="S25" s="92"/>
    </row>
    <row r="26" spans="1:39" s="86" customFormat="1" ht="20.100000000000001" customHeight="1">
      <c r="A26" s="90"/>
      <c r="B26" s="90"/>
      <c r="C26" s="90"/>
      <c r="D26" s="90"/>
      <c r="E26" s="90"/>
      <c r="F26" s="90"/>
      <c r="G26" s="90"/>
      <c r="H26" s="90"/>
      <c r="I26" s="90"/>
      <c r="J26" s="90"/>
      <c r="K26" s="90"/>
      <c r="L26" s="90"/>
      <c r="M26" s="90"/>
      <c r="N26" s="90"/>
      <c r="O26" s="90"/>
      <c r="P26" s="91"/>
      <c r="Q26" s="91"/>
      <c r="R26" s="92"/>
      <c r="S26" s="92"/>
    </row>
    <row r="27" spans="1:39" s="86" customFormat="1" ht="20.100000000000001" customHeight="1">
      <c r="A27" s="90"/>
      <c r="B27" s="90"/>
      <c r="C27" s="90"/>
      <c r="D27" s="90"/>
      <c r="E27" s="90"/>
      <c r="F27" s="90"/>
      <c r="G27" s="90"/>
      <c r="H27" s="90"/>
      <c r="I27" s="90"/>
      <c r="J27" s="90"/>
      <c r="K27" s="90"/>
      <c r="L27" s="90"/>
      <c r="M27" s="90"/>
      <c r="N27" s="90"/>
      <c r="O27" s="90"/>
      <c r="P27" s="91"/>
      <c r="Q27" s="91"/>
      <c r="R27" s="92"/>
      <c r="S27" s="92"/>
    </row>
    <row r="28" spans="1:39" s="43" customFormat="1" ht="24.95" customHeight="1">
      <c r="A28" s="87"/>
      <c r="B28" s="87"/>
      <c r="C28" s="87"/>
      <c r="D28" s="87"/>
      <c r="E28" s="87"/>
      <c r="F28" s="87"/>
      <c r="G28" s="87"/>
      <c r="H28" s="87"/>
      <c r="I28" s="87"/>
      <c r="J28" s="87"/>
      <c r="K28" s="87"/>
      <c r="L28" s="87"/>
      <c r="M28" s="87"/>
      <c r="N28" s="87"/>
      <c r="O28" s="87"/>
    </row>
    <row r="29" spans="1:39" s="43" customFormat="1" ht="24.95" customHeight="1">
      <c r="A29" s="87"/>
      <c r="B29" s="87"/>
      <c r="C29" s="87"/>
      <c r="D29" s="87"/>
      <c r="E29" s="87"/>
      <c r="F29" s="87"/>
      <c r="G29" s="87"/>
      <c r="H29" s="87"/>
      <c r="I29" s="87"/>
      <c r="J29" s="87"/>
      <c r="K29" s="87"/>
      <c r="L29" s="87"/>
      <c r="M29" s="87"/>
      <c r="N29" s="87"/>
      <c r="O29" s="87"/>
    </row>
    <row r="30" spans="1:39" s="43" customFormat="1" ht="24.95" customHeight="1"/>
    <row r="31" spans="1:39" s="43" customFormat="1"/>
    <row r="32" spans="1:39" s="43" customFormat="1"/>
    <row r="33" s="43" customFormat="1"/>
    <row r="34" s="43" customFormat="1"/>
    <row r="35" s="43" customFormat="1"/>
    <row r="36" s="43" customFormat="1"/>
    <row r="37" s="43" customFormat="1"/>
    <row r="38" s="43" customFormat="1"/>
    <row r="39" s="43" customFormat="1"/>
    <row r="40" s="43" customFormat="1"/>
    <row r="41" s="43" customFormat="1"/>
    <row r="42" s="43" customFormat="1"/>
    <row r="43" s="43" customFormat="1"/>
    <row r="44" s="43" customFormat="1"/>
    <row r="45" s="43" customFormat="1"/>
    <row r="46" s="43" customFormat="1"/>
    <row r="47" s="43" customFormat="1"/>
    <row r="48" s="43" customFormat="1"/>
    <row r="49" s="43" customFormat="1"/>
    <row r="50" s="43" customFormat="1"/>
    <row r="51" s="43" customFormat="1"/>
    <row r="52" s="43" customFormat="1"/>
    <row r="53" s="43" customFormat="1"/>
    <row r="54" s="43" customFormat="1"/>
    <row r="55" s="43" customFormat="1"/>
    <row r="56" s="43" customFormat="1"/>
    <row r="57" s="43" customFormat="1"/>
    <row r="58" s="43" customFormat="1"/>
    <row r="59" s="43" customFormat="1"/>
    <row r="60" s="43" customFormat="1"/>
    <row r="61" s="43" customFormat="1"/>
    <row r="62" s="43" customFormat="1"/>
    <row r="63" s="43" customFormat="1"/>
    <row r="64" s="43" customFormat="1"/>
    <row r="65" s="43" customFormat="1"/>
    <row r="66" s="43" customFormat="1"/>
    <row r="67" s="43" customFormat="1"/>
    <row r="68" s="43" customFormat="1"/>
    <row r="69" s="43" customFormat="1"/>
    <row r="70" s="43" customFormat="1"/>
    <row r="71" s="43" customFormat="1"/>
    <row r="72" s="43" customFormat="1"/>
    <row r="73" s="43" customFormat="1"/>
    <row r="74" s="43" customFormat="1"/>
    <row r="75" s="43" customFormat="1"/>
    <row r="76" s="43" customFormat="1"/>
    <row r="77" s="43" customFormat="1"/>
    <row r="78" s="43" customFormat="1"/>
    <row r="79" s="43" customFormat="1"/>
    <row r="80" s="43" customFormat="1"/>
    <row r="81" s="43" customFormat="1"/>
    <row r="82" s="43" customFormat="1"/>
    <row r="83" s="43" customFormat="1"/>
    <row r="84" s="43" customFormat="1"/>
    <row r="85" s="43" customFormat="1"/>
    <row r="86" s="43" customFormat="1"/>
    <row r="87" s="43" customFormat="1"/>
    <row r="88" s="43" customFormat="1"/>
    <row r="89" s="43" customFormat="1"/>
    <row r="90" s="43" customFormat="1"/>
    <row r="91" s="43" customFormat="1"/>
    <row r="92" s="43" customFormat="1"/>
    <row r="93" s="43" customFormat="1"/>
    <row r="94" s="43" customFormat="1"/>
    <row r="95" s="43" customFormat="1"/>
    <row r="96" s="43" customFormat="1"/>
    <row r="97" s="43" customFormat="1"/>
    <row r="98" s="43" customFormat="1"/>
    <row r="99" s="43" customFormat="1"/>
    <row r="100" s="43" customFormat="1"/>
    <row r="101" s="43" customFormat="1"/>
    <row r="102" s="43" customFormat="1"/>
    <row r="103" s="43" customFormat="1"/>
    <row r="104" s="43" customFormat="1"/>
    <row r="105" s="43" customFormat="1"/>
    <row r="106" s="43" customFormat="1"/>
    <row r="107" s="43" customFormat="1"/>
    <row r="108" s="43" customFormat="1"/>
    <row r="109" s="43" customFormat="1"/>
    <row r="110" s="43" customFormat="1"/>
    <row r="111" s="43" customFormat="1"/>
    <row r="112" s="43" customFormat="1"/>
    <row r="113" s="43" customFormat="1"/>
    <row r="114" s="43" customFormat="1"/>
    <row r="115" s="43" customFormat="1"/>
    <row r="116" s="43" customFormat="1"/>
    <row r="117" s="43" customFormat="1"/>
    <row r="118" s="43" customFormat="1"/>
    <row r="119" s="43" customFormat="1"/>
  </sheetData>
  <sheetProtection formatCells="0" formatColumns="0" formatRows="0" insertColumns="0" insertRows="0" insertHyperlinks="0" deleteColumns="0" deleteRows="0" sort="0" autoFilter="0" pivotTables="0"/>
  <mergeCells count="7">
    <mergeCell ref="P1:Q2"/>
    <mergeCell ref="R1:R2"/>
    <mergeCell ref="S1:S2"/>
    <mergeCell ref="A1:O7"/>
    <mergeCell ref="A9:O25"/>
    <mergeCell ref="P20:S20"/>
    <mergeCell ref="Q21:R21"/>
  </mergeCells>
  <hyperlinks>
    <hyperlink ref="P3" location="'Computer Products'!A4" display="MOTHERBOARDS"/>
    <hyperlink ref="P4" location="'Computer Products'!A15" display="SOUND CARDS"/>
    <hyperlink ref="P5" location="'Computer Products'!A18" display="ANTIVIRUS"/>
    <hyperlink ref="P6" location="'Computer Products'!A24" display="GRAPHICS CARDS"/>
    <hyperlink ref="P7" location="'Computer Products'!A48" display="LAPTOP COOLERS"/>
    <hyperlink ref="P8" location="'Computer Products'!A51" display="CLEANING KITS"/>
    <hyperlink ref="P9" location="'Computer Products'!A54" display="CHAT PACKS"/>
    <hyperlink ref="P10" location="'Computer Products'!A59" display="PC SPEAKERS"/>
    <hyperlink ref="P11" location="'Computer Products'!A65" display="NOTEBOOK BAGS"/>
    <hyperlink ref="P12" location="'Computer Products'!A71" display="HEADPHONES"/>
    <hyperlink ref="P13" location="'Computer Products'!A78" display="HEADSETS"/>
    <hyperlink ref="P14" location="'Computer Products'!A85" display="EARPHONES"/>
    <hyperlink ref="P15" location="'Computer Products'!A96" display="WEBCAMS"/>
    <hyperlink ref="P1" location="'Computer Products'!A1" display="COMPUTER PRODUCTS"/>
    <hyperlink ref="R1" location="'Car Sound and Accessories'!A1" display="CAR AUDIO"/>
    <hyperlink ref="R3" location="'Car Sound and Accessories'!A4" display="FRONTLOADERS"/>
    <hyperlink ref="R4" location="'Car Sound and Accessories'!A11" display="SPEAKERS"/>
    <hyperlink ref="R5" location="'Car Sound and Accessories'!A36" display="CAR AMPLIFIERS"/>
    <hyperlink ref="R6" location="'Car Sound and Accessories'!A40" display="ACCESSORIES"/>
    <hyperlink ref="S1" location="'Plugs, Leads and Adaptors'!A1" display="PLUGS &amp; LEADS"/>
    <hyperlink ref="Q3" location="'Computer Products'!A104" display="WIRED MOUSE"/>
    <hyperlink ref="Q4" location="'Computer Products'!A118" display="WIRELESS MOUSE"/>
    <hyperlink ref="Q5" location="'Computer Products'!A127" display="KEYBOARDS"/>
    <hyperlink ref="Q6" location="'Computer Products'!A135" display="USB HUBS &amp; CARD READERS"/>
    <hyperlink ref="Q7" location="'Computer Products'!A144" display="GAMING ACCESSORIES"/>
    <hyperlink ref="Q8" location="'Computer Products'!A148" display="TABLET ACCESSORIES"/>
    <hyperlink ref="Q9" location="'Computer Products'!A151" display="HARD DRIVES"/>
    <hyperlink ref="Q10" location="'Computer Products'!A158" display="RAM"/>
    <hyperlink ref="Q11" location="'Computer Products'!A181" display="FLASH MEMORY"/>
    <hyperlink ref="Q12" location="'Computer Products'!A206" display="POWER SUPPLIES &amp; UPS"/>
    <hyperlink ref="Q13" location="'Computer Products'!A216" display="NETWORKING"/>
    <hyperlink ref="Q14" location="'Computer Products'!A235" display="MEDIA PLAYERS"/>
    <hyperlink ref="S3" location="'Plugs, Leads and Adaptors'!A4" display="HDMI CABLES"/>
    <hyperlink ref="S4" location="'Plugs, Leads and Adaptors'!A15" display="VGA CABLES"/>
    <hyperlink ref="S5" location="'Plugs, Leads and Adaptors'!A20" display="USB CABLES"/>
    <hyperlink ref="S6" location="'Plugs, Leads and Adaptors'!A9" display="AV CABLES"/>
    <hyperlink ref="S7" location="'Plugs, Leads and Adaptors'!A44" display="NETWORK CABLES"/>
    <hyperlink ref="S8" location="'Plugs, Leads and Adaptors'!A52" display="PLUGS &amp; ADAPTORS"/>
    <hyperlink ref="S9" location="'Plugs, Leads and Adaptors'!A64" display="SPLITTERS"/>
    <hyperlink ref="P20" r:id="rId1" display="ALL PRODUCTS AVAILABLE AT WWW.DIGICOMP.CO.ZA"/>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5" tint="-0.249977111117893"/>
  </sheetPr>
  <dimension ref="A1:AW1515"/>
  <sheetViews>
    <sheetView topLeftCell="A122" zoomScaleNormal="100" workbookViewId="0">
      <selection activeCell="C145" sqref="C145"/>
    </sheetView>
  </sheetViews>
  <sheetFormatPr defaultColWidth="32.5703125" defaultRowHeight="11.25"/>
  <cols>
    <col min="1" max="1" width="21.28515625" style="26" customWidth="1"/>
    <col min="2" max="2" width="31.7109375" style="26" customWidth="1"/>
    <col min="3" max="3" width="118.140625" style="26" customWidth="1"/>
    <col min="4" max="4" width="11.85546875" style="38" customWidth="1"/>
    <col min="5" max="48" width="32.5703125" style="30"/>
    <col min="49" max="49" width="32.5703125" style="39"/>
    <col min="50" max="16384" width="32.5703125" style="26"/>
  </cols>
  <sheetData>
    <row r="1" spans="1:49" ht="76.5" customHeight="1">
      <c r="A1" s="141"/>
      <c r="B1" s="142"/>
      <c r="C1" s="142"/>
      <c r="D1" s="142"/>
    </row>
    <row r="2" spans="1:49" ht="18.75" customHeight="1">
      <c r="A2" s="99" t="s">
        <v>15</v>
      </c>
      <c r="B2" s="99" t="s">
        <v>193</v>
      </c>
      <c r="C2" s="99" t="s">
        <v>14</v>
      </c>
      <c r="D2" s="100" t="s">
        <v>427</v>
      </c>
    </row>
    <row r="3" spans="1:49" s="27" customFormat="1" ht="12.95" customHeight="1">
      <c r="A3" s="101"/>
      <c r="B3" s="101"/>
      <c r="C3" s="101"/>
      <c r="D3" s="102"/>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40"/>
    </row>
    <row r="4" spans="1:49" ht="12.95" customHeight="1">
      <c r="A4" s="105" t="s">
        <v>16</v>
      </c>
      <c r="B4" s="103"/>
      <c r="C4" s="103"/>
      <c r="D4" s="104"/>
    </row>
    <row r="5" spans="1:49" ht="12.95" customHeight="1">
      <c r="A5" s="106" t="s">
        <v>0</v>
      </c>
      <c r="B5" s="107" t="s">
        <v>433</v>
      </c>
      <c r="C5" s="106" t="s">
        <v>434</v>
      </c>
      <c r="D5" s="108">
        <v>376.20000000000005</v>
      </c>
    </row>
    <row r="6" spans="1:49" ht="12.95" customHeight="1">
      <c r="A6" s="106" t="s">
        <v>1</v>
      </c>
      <c r="B6" s="107" t="s">
        <v>439</v>
      </c>
      <c r="C6" s="106" t="s">
        <v>435</v>
      </c>
      <c r="D6" s="108">
        <v>460.90000000000003</v>
      </c>
    </row>
    <row r="7" spans="1:49" ht="12.95" customHeight="1">
      <c r="A7" s="106" t="s">
        <v>2</v>
      </c>
      <c r="B7" s="107" t="s">
        <v>438</v>
      </c>
      <c r="C7" s="106" t="s">
        <v>436</v>
      </c>
      <c r="D7" s="108">
        <v>1076.9000000000001</v>
      </c>
    </row>
    <row r="8" spans="1:49" ht="12.95" customHeight="1">
      <c r="A8" s="106" t="s">
        <v>3</v>
      </c>
      <c r="B8" s="107" t="s">
        <v>437</v>
      </c>
      <c r="C8" s="106" t="s">
        <v>436</v>
      </c>
      <c r="D8" s="108">
        <v>1153.9000000000001</v>
      </c>
    </row>
    <row r="9" spans="1:49" ht="12.95" customHeight="1">
      <c r="A9" s="106" t="s">
        <v>417</v>
      </c>
      <c r="B9" s="107" t="s">
        <v>441</v>
      </c>
      <c r="C9" s="106" t="s">
        <v>440</v>
      </c>
      <c r="D9" s="108">
        <v>328.90000000000003</v>
      </c>
    </row>
    <row r="10" spans="1:49" ht="12.95" customHeight="1">
      <c r="A10" s="106" t="s">
        <v>418</v>
      </c>
      <c r="B10" s="107" t="s">
        <v>442</v>
      </c>
      <c r="C10" s="106" t="s">
        <v>440</v>
      </c>
      <c r="D10" s="108">
        <v>350.90000000000003</v>
      </c>
    </row>
    <row r="11" spans="1:49" ht="12.95" customHeight="1">
      <c r="A11" s="106" t="s">
        <v>419</v>
      </c>
      <c r="B11" s="107" t="s">
        <v>443</v>
      </c>
      <c r="C11" s="106" t="s">
        <v>440</v>
      </c>
      <c r="D11" s="108">
        <v>394.90000000000003</v>
      </c>
    </row>
    <row r="12" spans="1:49" ht="12.95" customHeight="1">
      <c r="A12" s="106" t="s">
        <v>420</v>
      </c>
      <c r="B12" s="107" t="s">
        <v>444</v>
      </c>
      <c r="C12" s="106" t="s">
        <v>691</v>
      </c>
      <c r="D12" s="108">
        <v>1318.9</v>
      </c>
    </row>
    <row r="13" spans="1:49" s="27" customFormat="1" ht="12.95" customHeight="1">
      <c r="A13" s="103"/>
      <c r="B13" s="110"/>
      <c r="C13" s="103"/>
      <c r="D13" s="111"/>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40"/>
    </row>
    <row r="14" spans="1:49" ht="12.95" customHeight="1">
      <c r="A14" s="105" t="s">
        <v>17</v>
      </c>
      <c r="B14" s="110"/>
      <c r="C14" s="103"/>
      <c r="D14" s="111"/>
    </row>
    <row r="15" spans="1:49" ht="12.95" customHeight="1">
      <c r="A15" s="106" t="s">
        <v>4</v>
      </c>
      <c r="B15" s="107" t="s">
        <v>5</v>
      </c>
      <c r="C15" s="106" t="s">
        <v>5</v>
      </c>
      <c r="D15" s="108">
        <v>262.90000000000003</v>
      </c>
    </row>
    <row r="16" spans="1:49" s="27" customFormat="1" ht="12.95" customHeight="1">
      <c r="A16" s="103"/>
      <c r="B16" s="110"/>
      <c r="C16" s="103"/>
      <c r="D16" s="111"/>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40"/>
    </row>
    <row r="17" spans="1:49" ht="12.95" customHeight="1">
      <c r="A17" s="105" t="s">
        <v>659</v>
      </c>
      <c r="B17" s="110"/>
      <c r="C17" s="103"/>
      <c r="D17" s="111"/>
    </row>
    <row r="18" spans="1:49" ht="12.95" customHeight="1">
      <c r="A18" s="106" t="s">
        <v>6</v>
      </c>
      <c r="B18" s="107" t="s">
        <v>445</v>
      </c>
      <c r="C18" s="106" t="s">
        <v>7</v>
      </c>
      <c r="D18" s="108">
        <v>101.2</v>
      </c>
    </row>
    <row r="19" spans="1:49" ht="12.95" customHeight="1">
      <c r="A19" s="106" t="s">
        <v>8</v>
      </c>
      <c r="B19" s="107" t="s">
        <v>445</v>
      </c>
      <c r="C19" s="106" t="s">
        <v>9</v>
      </c>
      <c r="D19" s="108">
        <v>132</v>
      </c>
    </row>
    <row r="20" spans="1:49" ht="12.95" customHeight="1">
      <c r="A20" s="106" t="s">
        <v>10</v>
      </c>
      <c r="B20" s="107" t="s">
        <v>446</v>
      </c>
      <c r="C20" s="106" t="s">
        <v>11</v>
      </c>
      <c r="D20" s="108">
        <v>132</v>
      </c>
    </row>
    <row r="21" spans="1:49" ht="12.95" customHeight="1">
      <c r="A21" s="106" t="s">
        <v>12</v>
      </c>
      <c r="B21" s="107" t="s">
        <v>446</v>
      </c>
      <c r="C21" s="106" t="s">
        <v>13</v>
      </c>
      <c r="D21" s="108">
        <v>170.5</v>
      </c>
    </row>
    <row r="22" spans="1:49" s="27" customFormat="1" ht="12.95" customHeight="1">
      <c r="A22" s="103"/>
      <c r="B22" s="110"/>
      <c r="C22" s="103"/>
      <c r="D22" s="111"/>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40"/>
    </row>
    <row r="23" spans="1:49" ht="12.95" customHeight="1">
      <c r="A23" s="105" t="s">
        <v>192</v>
      </c>
      <c r="B23" s="110"/>
      <c r="C23" s="103"/>
      <c r="D23" s="111"/>
    </row>
    <row r="24" spans="1:49" ht="12.95" customHeight="1">
      <c r="A24" s="106" t="s">
        <v>18</v>
      </c>
      <c r="B24" s="107" t="s">
        <v>448</v>
      </c>
      <c r="C24" s="106" t="s">
        <v>447</v>
      </c>
      <c r="D24" s="108">
        <v>327.39560186428133</v>
      </c>
    </row>
    <row r="25" spans="1:49" ht="12.95" customHeight="1">
      <c r="A25" s="106" t="s">
        <v>19</v>
      </c>
      <c r="B25" s="107" t="s">
        <v>450</v>
      </c>
      <c r="C25" s="106" t="s">
        <v>449</v>
      </c>
      <c r="D25" s="108">
        <v>564.08301000627796</v>
      </c>
    </row>
    <row r="26" spans="1:49" ht="12.95" customHeight="1">
      <c r="A26" s="106" t="s">
        <v>20</v>
      </c>
      <c r="B26" s="107" t="s">
        <v>450</v>
      </c>
      <c r="C26" s="106" t="s">
        <v>451</v>
      </c>
      <c r="D26" s="108">
        <v>597.89549688370607</v>
      </c>
    </row>
    <row r="27" spans="1:49" ht="12.95" customHeight="1">
      <c r="A27" s="106" t="s">
        <v>21</v>
      </c>
      <c r="B27" s="107" t="s">
        <v>453</v>
      </c>
      <c r="C27" s="106" t="s">
        <v>452</v>
      </c>
      <c r="D27" s="108">
        <v>614.80174032242019</v>
      </c>
    </row>
    <row r="28" spans="1:49" ht="12.95" customHeight="1">
      <c r="A28" s="106" t="s">
        <v>22</v>
      </c>
      <c r="B28" s="107" t="s">
        <v>455</v>
      </c>
      <c r="C28" s="106" t="s">
        <v>454</v>
      </c>
      <c r="D28" s="108">
        <v>1116.3536290042703</v>
      </c>
    </row>
    <row r="29" spans="1:49" ht="12.95" customHeight="1">
      <c r="A29" s="106" t="s">
        <v>23</v>
      </c>
      <c r="B29" s="107" t="s">
        <v>457</v>
      </c>
      <c r="C29" s="106" t="s">
        <v>456</v>
      </c>
      <c r="D29" s="108">
        <v>2198.9</v>
      </c>
    </row>
    <row r="30" spans="1:49" ht="12.95" customHeight="1">
      <c r="A30" s="106" t="s">
        <v>24</v>
      </c>
      <c r="B30" s="107" t="s">
        <v>472</v>
      </c>
      <c r="C30" s="106" t="s">
        <v>471</v>
      </c>
      <c r="D30" s="108">
        <v>402.53994501731745</v>
      </c>
    </row>
    <row r="31" spans="1:49" ht="12.95" customHeight="1">
      <c r="A31" s="106" t="s">
        <v>25</v>
      </c>
      <c r="B31" s="107" t="s">
        <v>472</v>
      </c>
      <c r="C31" s="106" t="s">
        <v>473</v>
      </c>
      <c r="D31" s="108">
        <v>447.62326085388833</v>
      </c>
    </row>
    <row r="32" spans="1:49" ht="12.95" customHeight="1">
      <c r="A32" s="106" t="s">
        <v>26</v>
      </c>
      <c r="B32" s="107" t="s">
        <v>475</v>
      </c>
      <c r="C32" s="106" t="s">
        <v>474</v>
      </c>
      <c r="D32" s="108">
        <v>547.17676656756396</v>
      </c>
    </row>
    <row r="33" spans="1:49" ht="12.95" customHeight="1">
      <c r="A33" s="106" t="s">
        <v>27</v>
      </c>
      <c r="B33" s="107" t="s">
        <v>477</v>
      </c>
      <c r="C33" s="106" t="s">
        <v>476</v>
      </c>
      <c r="D33" s="108">
        <v>586.62466792456337</v>
      </c>
    </row>
    <row r="34" spans="1:49" ht="12.95" customHeight="1">
      <c r="A34" s="106" t="s">
        <v>28</v>
      </c>
      <c r="B34" s="107" t="s">
        <v>479</v>
      </c>
      <c r="C34" s="106" t="s">
        <v>478</v>
      </c>
      <c r="D34" s="108">
        <v>591.18606787116516</v>
      </c>
    </row>
    <row r="35" spans="1:49" ht="12.95" customHeight="1">
      <c r="A35" s="106" t="s">
        <v>29</v>
      </c>
      <c r="B35" s="107" t="s">
        <v>481</v>
      </c>
      <c r="C35" s="106" t="s">
        <v>480</v>
      </c>
      <c r="D35" s="108">
        <v>974.3942524820169</v>
      </c>
    </row>
    <row r="36" spans="1:49" ht="12.95" customHeight="1">
      <c r="A36" s="106" t="s">
        <v>512</v>
      </c>
      <c r="B36" s="107" t="s">
        <v>682</v>
      </c>
      <c r="C36" s="106" t="s">
        <v>458</v>
      </c>
      <c r="D36" s="108">
        <v>710.6</v>
      </c>
    </row>
    <row r="37" spans="1:49" ht="12.95" customHeight="1">
      <c r="A37" s="106" t="s">
        <v>513</v>
      </c>
      <c r="B37" s="107" t="s">
        <v>683</v>
      </c>
      <c r="C37" s="106" t="s">
        <v>459</v>
      </c>
      <c r="D37" s="108">
        <v>1243</v>
      </c>
    </row>
    <row r="38" spans="1:49" ht="12.95" customHeight="1">
      <c r="A38" s="106" t="s">
        <v>421</v>
      </c>
      <c r="B38" s="107" t="s">
        <v>461</v>
      </c>
      <c r="C38" s="106" t="s">
        <v>460</v>
      </c>
      <c r="D38" s="108">
        <v>284.90000000000003</v>
      </c>
    </row>
    <row r="39" spans="1:49" ht="12.95" customHeight="1">
      <c r="A39" s="106" t="s">
        <v>422</v>
      </c>
      <c r="B39" s="107" t="s">
        <v>463</v>
      </c>
      <c r="C39" s="106" t="s">
        <v>462</v>
      </c>
      <c r="D39" s="108">
        <v>328.90000000000003</v>
      </c>
    </row>
    <row r="40" spans="1:49" ht="12.95" customHeight="1">
      <c r="A40" s="106" t="s">
        <v>423</v>
      </c>
      <c r="B40" s="107" t="s">
        <v>465</v>
      </c>
      <c r="C40" s="106" t="s">
        <v>464</v>
      </c>
      <c r="D40" s="108">
        <v>416.90000000000003</v>
      </c>
    </row>
    <row r="41" spans="1:49" ht="12.95" customHeight="1">
      <c r="A41" s="106" t="s">
        <v>424</v>
      </c>
      <c r="B41" s="107" t="s">
        <v>467</v>
      </c>
      <c r="C41" s="106" t="s">
        <v>466</v>
      </c>
      <c r="D41" s="108">
        <v>1131.9000000000001</v>
      </c>
    </row>
    <row r="42" spans="1:49" ht="12.95" customHeight="1">
      <c r="A42" s="106" t="s">
        <v>425</v>
      </c>
      <c r="B42" s="107" t="s">
        <v>469</v>
      </c>
      <c r="C42" s="106" t="s">
        <v>468</v>
      </c>
      <c r="D42" s="108">
        <v>1978.9</v>
      </c>
    </row>
    <row r="43" spans="1:49" ht="12.95" customHeight="1">
      <c r="A43" s="106" t="s">
        <v>426</v>
      </c>
      <c r="B43" s="107" t="s">
        <v>469</v>
      </c>
      <c r="C43" s="106" t="s">
        <v>470</v>
      </c>
      <c r="D43" s="108">
        <v>2308.9</v>
      </c>
    </row>
    <row r="44" spans="1:49" s="27" customFormat="1" ht="12.95" customHeight="1">
      <c r="A44" s="103"/>
      <c r="B44" s="110"/>
      <c r="C44" s="103"/>
      <c r="D44" s="111"/>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40"/>
    </row>
    <row r="45" spans="1:49" ht="12.95" customHeight="1">
      <c r="A45" s="105" t="s">
        <v>360</v>
      </c>
      <c r="B45" s="110"/>
      <c r="C45" s="103"/>
      <c r="D45" s="111"/>
    </row>
    <row r="46" spans="1:49" ht="12.95" customHeight="1">
      <c r="A46" s="106" t="s">
        <v>30</v>
      </c>
      <c r="B46" s="107" t="s">
        <v>482</v>
      </c>
      <c r="C46" s="106" t="s">
        <v>31</v>
      </c>
      <c r="D46" s="108">
        <v>114.99999999999999</v>
      </c>
    </row>
    <row r="47" spans="1:49" s="27" customFormat="1" ht="12.95" customHeight="1">
      <c r="A47" s="103"/>
      <c r="B47" s="110"/>
      <c r="C47" s="103"/>
      <c r="D47" s="111"/>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40"/>
    </row>
    <row r="48" spans="1:49" ht="12.95" customHeight="1">
      <c r="A48" s="105" t="s">
        <v>361</v>
      </c>
      <c r="B48" s="110"/>
      <c r="C48" s="103"/>
      <c r="D48" s="111"/>
    </row>
    <row r="49" spans="1:49" ht="12.95" customHeight="1">
      <c r="A49" s="106" t="s">
        <v>32</v>
      </c>
      <c r="B49" s="107" t="s">
        <v>483</v>
      </c>
      <c r="C49" s="106" t="s">
        <v>33</v>
      </c>
      <c r="D49" s="108">
        <v>42.55</v>
      </c>
    </row>
    <row r="50" spans="1:49" s="27" customFormat="1" ht="12.95" customHeight="1">
      <c r="A50" s="103"/>
      <c r="B50" s="110"/>
      <c r="C50" s="103"/>
      <c r="D50" s="111"/>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40"/>
    </row>
    <row r="51" spans="1:49" ht="12.95" customHeight="1">
      <c r="A51" s="105" t="s">
        <v>362</v>
      </c>
      <c r="B51" s="110"/>
      <c r="C51" s="103"/>
      <c r="D51" s="111"/>
    </row>
    <row r="52" spans="1:49" ht="12.95" customHeight="1">
      <c r="A52" s="106" t="s">
        <v>34</v>
      </c>
      <c r="B52" s="107" t="s">
        <v>484</v>
      </c>
      <c r="C52" s="106" t="s">
        <v>35</v>
      </c>
      <c r="D52" s="108">
        <v>126.49999999999999</v>
      </c>
    </row>
    <row r="53" spans="1:49" ht="12.95" customHeight="1">
      <c r="A53" s="106" t="s">
        <v>36</v>
      </c>
      <c r="B53" s="107" t="s">
        <v>486</v>
      </c>
      <c r="C53" s="106" t="s">
        <v>485</v>
      </c>
      <c r="D53" s="108">
        <v>155.25</v>
      </c>
    </row>
    <row r="54" spans="1:49" ht="12.95" customHeight="1">
      <c r="A54" s="106" t="s">
        <v>522</v>
      </c>
      <c r="B54" s="107" t="s">
        <v>523</v>
      </c>
      <c r="C54" s="106" t="s">
        <v>409</v>
      </c>
      <c r="D54" s="108">
        <v>159.5</v>
      </c>
    </row>
    <row r="55" spans="1:49" s="27" customFormat="1" ht="12.95" customHeight="1">
      <c r="A55" s="103"/>
      <c r="B55" s="110"/>
      <c r="C55" s="103"/>
      <c r="D55" s="111"/>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40"/>
    </row>
    <row r="56" spans="1:49" ht="12.95" customHeight="1">
      <c r="A56" s="105" t="s">
        <v>363</v>
      </c>
      <c r="B56" s="110"/>
      <c r="C56" s="103"/>
      <c r="D56" s="111"/>
    </row>
    <row r="57" spans="1:49" ht="12.95" customHeight="1">
      <c r="A57" s="106" t="s">
        <v>37</v>
      </c>
      <c r="B57" s="107" t="s">
        <v>488</v>
      </c>
      <c r="C57" s="106" t="s">
        <v>487</v>
      </c>
      <c r="D57" s="108">
        <v>92</v>
      </c>
    </row>
    <row r="58" spans="1:49" ht="12.95" customHeight="1">
      <c r="A58" s="106" t="s">
        <v>38</v>
      </c>
      <c r="B58" s="107" t="s">
        <v>489</v>
      </c>
      <c r="C58" s="106" t="s">
        <v>39</v>
      </c>
      <c r="D58" s="108">
        <v>92</v>
      </c>
    </row>
    <row r="59" spans="1:49" ht="12.95" customHeight="1">
      <c r="A59" s="106" t="s">
        <v>115</v>
      </c>
      <c r="B59" s="107" t="s">
        <v>490</v>
      </c>
      <c r="C59" s="106" t="s">
        <v>116</v>
      </c>
      <c r="D59" s="108">
        <v>67.849999999999994</v>
      </c>
    </row>
    <row r="60" spans="1:49" ht="12.95" customHeight="1">
      <c r="A60" s="106" t="s">
        <v>103</v>
      </c>
      <c r="B60" s="107" t="s">
        <v>491</v>
      </c>
      <c r="C60" s="106" t="s">
        <v>104</v>
      </c>
      <c r="D60" s="108">
        <v>102.35</v>
      </c>
    </row>
    <row r="61" spans="1:49" ht="12.95" customHeight="1">
      <c r="A61" s="145" t="s">
        <v>741</v>
      </c>
      <c r="B61" s="144" t="s">
        <v>715</v>
      </c>
      <c r="C61" s="145"/>
      <c r="D61" s="146">
        <v>29.38</v>
      </c>
    </row>
    <row r="62" spans="1:49" ht="12.95" customHeight="1">
      <c r="A62" s="145" t="s">
        <v>742</v>
      </c>
      <c r="B62" s="144" t="s">
        <v>716</v>
      </c>
      <c r="C62" s="145"/>
      <c r="D62" s="146">
        <v>56.32</v>
      </c>
    </row>
    <row r="63" spans="1:49" ht="12.95" customHeight="1">
      <c r="A63" s="145" t="s">
        <v>743</v>
      </c>
      <c r="B63" s="144" t="s">
        <v>717</v>
      </c>
      <c r="C63" s="145"/>
      <c r="D63" s="146">
        <v>83.97</v>
      </c>
    </row>
    <row r="64" spans="1:49" ht="12.95" customHeight="1">
      <c r="A64" s="103"/>
      <c r="B64" s="110"/>
      <c r="C64" s="103"/>
      <c r="D64" s="111"/>
    </row>
    <row r="65" spans="1:49" ht="12.95" customHeight="1">
      <c r="A65" s="105" t="s">
        <v>364</v>
      </c>
      <c r="B65" s="110"/>
      <c r="C65" s="103"/>
      <c r="D65" s="111"/>
    </row>
    <row r="66" spans="1:49" ht="12.95" customHeight="1">
      <c r="A66" s="106" t="s">
        <v>40</v>
      </c>
      <c r="B66" s="107" t="s">
        <v>492</v>
      </c>
      <c r="C66" s="106" t="s">
        <v>41</v>
      </c>
      <c r="D66" s="108">
        <v>251.85</v>
      </c>
    </row>
    <row r="67" spans="1:49" s="27" customFormat="1" ht="12.95" customHeight="1">
      <c r="A67" s="106" t="s">
        <v>42</v>
      </c>
      <c r="B67" s="107" t="s">
        <v>493</v>
      </c>
      <c r="C67" s="106" t="s">
        <v>43</v>
      </c>
      <c r="D67" s="108">
        <v>218.49999999999997</v>
      </c>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40"/>
    </row>
    <row r="68" spans="1:49" ht="12.75" customHeight="1">
      <c r="A68" s="106" t="s">
        <v>121</v>
      </c>
      <c r="B68" s="107" t="s">
        <v>494</v>
      </c>
      <c r="C68" s="106" t="s">
        <v>122</v>
      </c>
      <c r="D68" s="108">
        <v>182.85</v>
      </c>
    </row>
    <row r="69" spans="1:49" ht="12.95" customHeight="1">
      <c r="A69" s="106" t="s">
        <v>105</v>
      </c>
      <c r="B69" s="107" t="s">
        <v>495</v>
      </c>
      <c r="C69" s="106" t="s">
        <v>106</v>
      </c>
      <c r="D69" s="108">
        <v>218.49999999999997</v>
      </c>
    </row>
    <row r="70" spans="1:49" ht="12.95" customHeight="1">
      <c r="A70" s="103"/>
      <c r="B70" s="110"/>
      <c r="C70" s="103"/>
      <c r="D70" s="111"/>
    </row>
    <row r="71" spans="1:49" ht="12.95" customHeight="1">
      <c r="A71" s="105" t="s">
        <v>358</v>
      </c>
      <c r="B71" s="110"/>
      <c r="C71" s="103"/>
      <c r="D71" s="111"/>
    </row>
    <row r="72" spans="1:49" ht="12.95" customHeight="1">
      <c r="A72" s="106" t="s">
        <v>44</v>
      </c>
      <c r="B72" s="107" t="s">
        <v>496</v>
      </c>
      <c r="C72" s="106" t="s">
        <v>45</v>
      </c>
      <c r="D72" s="108">
        <v>138</v>
      </c>
    </row>
    <row r="73" spans="1:49" ht="12.95" customHeight="1">
      <c r="A73" s="106" t="s">
        <v>47</v>
      </c>
      <c r="B73" s="107" t="s">
        <v>497</v>
      </c>
      <c r="C73" s="106" t="s">
        <v>46</v>
      </c>
      <c r="D73" s="108">
        <v>103.49999999999999</v>
      </c>
    </row>
    <row r="74" spans="1:49" ht="12.95" customHeight="1">
      <c r="A74" s="106" t="s">
        <v>48</v>
      </c>
      <c r="B74" s="107" t="s">
        <v>498</v>
      </c>
      <c r="C74" s="106" t="s">
        <v>46</v>
      </c>
      <c r="D74" s="108">
        <v>103.49999999999999</v>
      </c>
    </row>
    <row r="75" spans="1:49" ht="12.95" customHeight="1">
      <c r="A75" s="106" t="s">
        <v>89</v>
      </c>
      <c r="B75" s="107" t="s">
        <v>499</v>
      </c>
      <c r="C75" s="106" t="s">
        <v>90</v>
      </c>
      <c r="D75" s="108">
        <v>149.5</v>
      </c>
    </row>
    <row r="76" spans="1:49" ht="12.95" customHeight="1">
      <c r="A76" s="106" t="s">
        <v>91</v>
      </c>
      <c r="B76" s="107" t="s">
        <v>500</v>
      </c>
      <c r="C76" s="106" t="s">
        <v>92</v>
      </c>
      <c r="D76" s="108">
        <v>149.5</v>
      </c>
    </row>
    <row r="77" spans="1:49" ht="12.95" customHeight="1">
      <c r="A77" s="103"/>
      <c r="B77" s="110"/>
      <c r="C77" s="103"/>
      <c r="D77" s="111"/>
    </row>
    <row r="78" spans="1:49" ht="12.95" customHeight="1">
      <c r="A78" s="105" t="s">
        <v>365</v>
      </c>
      <c r="B78" s="110"/>
      <c r="C78" s="103"/>
      <c r="D78" s="111"/>
    </row>
    <row r="79" spans="1:49" ht="12.95" customHeight="1">
      <c r="A79" s="106" t="s">
        <v>49</v>
      </c>
      <c r="B79" s="107" t="s">
        <v>501</v>
      </c>
      <c r="C79" s="106" t="s">
        <v>50</v>
      </c>
      <c r="D79" s="108">
        <v>52.9</v>
      </c>
    </row>
    <row r="80" spans="1:49" ht="12.95" customHeight="1">
      <c r="A80" s="106" t="s">
        <v>51</v>
      </c>
      <c r="B80" s="107" t="s">
        <v>502</v>
      </c>
      <c r="C80" s="106" t="s">
        <v>52</v>
      </c>
      <c r="D80" s="108">
        <v>57.499999999999993</v>
      </c>
    </row>
    <row r="81" spans="1:49" ht="12.95" customHeight="1">
      <c r="A81" s="106" t="s">
        <v>53</v>
      </c>
      <c r="B81" s="107" t="s">
        <v>503</v>
      </c>
      <c r="C81" s="106" t="s">
        <v>54</v>
      </c>
      <c r="D81" s="108">
        <v>86.25</v>
      </c>
    </row>
    <row r="82" spans="1:49" ht="12.95" customHeight="1">
      <c r="A82" s="106" t="s">
        <v>56</v>
      </c>
      <c r="B82" s="107" t="s">
        <v>504</v>
      </c>
      <c r="C82" s="106" t="s">
        <v>55</v>
      </c>
      <c r="D82" s="108">
        <v>143.75</v>
      </c>
    </row>
    <row r="83" spans="1:49" s="35" customFormat="1" ht="12.95" customHeight="1">
      <c r="A83" s="106" t="s">
        <v>120</v>
      </c>
      <c r="B83" s="107" t="s">
        <v>505</v>
      </c>
      <c r="C83" s="106" t="s">
        <v>373</v>
      </c>
      <c r="D83" s="108">
        <v>44.849999999999994</v>
      </c>
      <c r="E83" s="30"/>
      <c r="F83" s="30"/>
      <c r="G83" s="30"/>
      <c r="H83" s="30"/>
      <c r="I83" s="30"/>
      <c r="J83" s="30"/>
      <c r="K83" s="30"/>
      <c r="L83" s="30"/>
      <c r="M83" s="30"/>
      <c r="N83" s="30"/>
      <c r="O83" s="30"/>
      <c r="P83" s="30"/>
      <c r="Q83" s="30"/>
      <c r="R83" s="30"/>
      <c r="S83" s="30"/>
      <c r="T83" s="30"/>
      <c r="U83" s="30"/>
    </row>
    <row r="84" spans="1:49" s="35" customFormat="1" ht="12.95" customHeight="1">
      <c r="A84" s="103"/>
      <c r="B84" s="110"/>
      <c r="C84" s="103"/>
      <c r="D84" s="111"/>
      <c r="E84" s="30"/>
      <c r="F84" s="30"/>
      <c r="G84" s="30"/>
      <c r="H84" s="30"/>
      <c r="I84" s="30"/>
      <c r="J84" s="30"/>
      <c r="K84" s="30"/>
      <c r="L84" s="30"/>
      <c r="M84" s="30"/>
      <c r="N84" s="30"/>
      <c r="O84" s="30"/>
      <c r="P84" s="30"/>
      <c r="Q84" s="30"/>
      <c r="R84" s="30"/>
      <c r="S84" s="30"/>
      <c r="T84" s="30"/>
      <c r="U84" s="30"/>
    </row>
    <row r="85" spans="1:49" s="35" customFormat="1" ht="12.95" customHeight="1">
      <c r="A85" s="105" t="s">
        <v>359</v>
      </c>
      <c r="B85" s="110"/>
      <c r="C85" s="103"/>
      <c r="D85" s="111"/>
      <c r="E85" s="30"/>
      <c r="F85" s="30"/>
      <c r="G85" s="30"/>
      <c r="H85" s="30"/>
      <c r="I85" s="30"/>
      <c r="J85" s="30"/>
      <c r="K85" s="30"/>
      <c r="L85" s="30"/>
      <c r="M85" s="30"/>
      <c r="N85" s="30"/>
      <c r="O85" s="30"/>
      <c r="P85" s="30"/>
      <c r="Q85" s="30"/>
      <c r="R85" s="30"/>
      <c r="S85" s="30"/>
      <c r="T85" s="30"/>
      <c r="U85" s="30"/>
    </row>
    <row r="86" spans="1:49" s="35" customFormat="1" ht="12.95" customHeight="1">
      <c r="A86" s="95" t="s">
        <v>303</v>
      </c>
      <c r="B86" s="96" t="s">
        <v>641</v>
      </c>
      <c r="C86" s="109" t="s">
        <v>635</v>
      </c>
      <c r="D86" s="98">
        <v>39.51</v>
      </c>
      <c r="E86" s="30"/>
      <c r="F86" s="30"/>
      <c r="G86" s="30"/>
      <c r="H86" s="30"/>
      <c r="I86" s="30"/>
      <c r="J86" s="30"/>
      <c r="K86" s="30"/>
      <c r="L86" s="30"/>
      <c r="M86" s="30"/>
      <c r="N86" s="30"/>
      <c r="O86" s="30"/>
      <c r="P86" s="30"/>
      <c r="Q86" s="30"/>
      <c r="R86" s="30"/>
      <c r="S86" s="30"/>
      <c r="T86" s="30"/>
      <c r="U86" s="30"/>
    </row>
    <row r="87" spans="1:49" s="35" customFormat="1" ht="12.95" customHeight="1">
      <c r="A87" s="95" t="s">
        <v>302</v>
      </c>
      <c r="B87" s="96" t="s">
        <v>640</v>
      </c>
      <c r="C87" s="109" t="s">
        <v>634</v>
      </c>
      <c r="D87" s="98">
        <v>51.2</v>
      </c>
      <c r="E87" s="30"/>
      <c r="F87" s="30"/>
      <c r="G87" s="30"/>
      <c r="H87" s="30"/>
      <c r="I87" s="30"/>
      <c r="J87" s="30"/>
      <c r="K87" s="30"/>
      <c r="L87" s="30"/>
      <c r="M87" s="30"/>
      <c r="N87" s="30"/>
      <c r="O87" s="30"/>
      <c r="P87" s="30"/>
      <c r="Q87" s="30"/>
      <c r="R87" s="30"/>
      <c r="S87" s="30"/>
      <c r="T87" s="30"/>
      <c r="U87" s="30"/>
    </row>
    <row r="88" spans="1:49" s="35" customFormat="1" ht="12.95" customHeight="1">
      <c r="A88" s="95" t="s">
        <v>306</v>
      </c>
      <c r="B88" s="96" t="s">
        <v>644</v>
      </c>
      <c r="C88" s="109" t="s">
        <v>636</v>
      </c>
      <c r="D88" s="98">
        <v>53.2</v>
      </c>
      <c r="E88" s="30"/>
      <c r="F88" s="30"/>
      <c r="G88" s="30"/>
      <c r="H88" s="30"/>
      <c r="I88" s="30"/>
      <c r="J88" s="30"/>
      <c r="K88" s="30"/>
      <c r="L88" s="30"/>
      <c r="M88" s="30"/>
      <c r="N88" s="30"/>
      <c r="O88" s="30"/>
      <c r="P88" s="30"/>
      <c r="Q88" s="30"/>
      <c r="R88" s="30"/>
      <c r="S88" s="30"/>
      <c r="T88" s="30"/>
      <c r="U88" s="30"/>
    </row>
    <row r="89" spans="1:49" ht="12.95" customHeight="1">
      <c r="A89" s="95" t="s">
        <v>307</v>
      </c>
      <c r="B89" s="96" t="s">
        <v>645</v>
      </c>
      <c r="C89" s="109" t="s">
        <v>637</v>
      </c>
      <c r="D89" s="98">
        <v>57.12</v>
      </c>
    </row>
    <row r="90" spans="1:49" ht="12.95" customHeight="1">
      <c r="A90" s="95" t="s">
        <v>305</v>
      </c>
      <c r="B90" s="96" t="s">
        <v>643</v>
      </c>
      <c r="C90" s="109" t="s">
        <v>331</v>
      </c>
      <c r="D90" s="98">
        <v>59.17</v>
      </c>
    </row>
    <row r="91" spans="1:49" ht="12.95" customHeight="1">
      <c r="A91" s="95" t="s">
        <v>304</v>
      </c>
      <c r="B91" s="96" t="s">
        <v>642</v>
      </c>
      <c r="C91" s="109" t="s">
        <v>330</v>
      </c>
      <c r="D91" s="98">
        <v>178.68</v>
      </c>
    </row>
    <row r="92" spans="1:49" s="27" customFormat="1" ht="12.95" customHeight="1">
      <c r="A92" s="106" t="s">
        <v>57</v>
      </c>
      <c r="B92" s="107" t="s">
        <v>506</v>
      </c>
      <c r="C92" s="106" t="s">
        <v>58</v>
      </c>
      <c r="D92" s="108">
        <v>51.749999999999993</v>
      </c>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40"/>
    </row>
    <row r="93" spans="1:49" ht="12.95" customHeight="1">
      <c r="A93" s="106" t="s">
        <v>59</v>
      </c>
      <c r="B93" s="107" t="s">
        <v>507</v>
      </c>
      <c r="C93" s="106" t="s">
        <v>60</v>
      </c>
      <c r="D93" s="108">
        <v>51.749999999999993</v>
      </c>
    </row>
    <row r="94" spans="1:49" ht="12.95" customHeight="1">
      <c r="A94" s="106" t="s">
        <v>93</v>
      </c>
      <c r="B94" s="107" t="s">
        <v>508</v>
      </c>
      <c r="C94" s="106" t="s">
        <v>94</v>
      </c>
      <c r="D94" s="108">
        <v>67.849999999999994</v>
      </c>
    </row>
    <row r="95" spans="1:49" ht="12.95" customHeight="1">
      <c r="A95" s="103"/>
      <c r="B95" s="110"/>
      <c r="C95" s="103"/>
      <c r="D95" s="111"/>
    </row>
    <row r="96" spans="1:49" ht="12.95" customHeight="1">
      <c r="A96" s="105" t="s">
        <v>366</v>
      </c>
      <c r="B96" s="110"/>
      <c r="C96" s="103"/>
      <c r="D96" s="111"/>
    </row>
    <row r="97" spans="1:49" ht="12.95" customHeight="1">
      <c r="A97" s="106" t="s">
        <v>109</v>
      </c>
      <c r="B97" s="107" t="s">
        <v>684</v>
      </c>
      <c r="C97" s="106" t="s">
        <v>110</v>
      </c>
      <c r="D97" s="108">
        <v>79.349999999999994</v>
      </c>
    </row>
    <row r="98" spans="1:49" ht="12.95" customHeight="1">
      <c r="A98" s="106" t="s">
        <v>111</v>
      </c>
      <c r="B98" s="107" t="s">
        <v>684</v>
      </c>
      <c r="C98" s="106" t="s">
        <v>112</v>
      </c>
      <c r="D98" s="108">
        <v>103.49999999999999</v>
      </c>
    </row>
    <row r="99" spans="1:49" ht="12.95" customHeight="1">
      <c r="A99" s="106" t="s">
        <v>113</v>
      </c>
      <c r="B99" s="107" t="s">
        <v>684</v>
      </c>
      <c r="C99" s="106" t="s">
        <v>114</v>
      </c>
      <c r="D99" s="108">
        <v>125.35</v>
      </c>
    </row>
    <row r="100" spans="1:49" s="27" customFormat="1" ht="12.95" customHeight="1">
      <c r="A100" s="106" t="s">
        <v>61</v>
      </c>
      <c r="B100" s="107" t="s">
        <v>521</v>
      </c>
      <c r="C100" s="106" t="s">
        <v>62</v>
      </c>
      <c r="D100" s="108">
        <v>126.49999999999999</v>
      </c>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40"/>
    </row>
    <row r="101" spans="1:49" ht="12.95" customHeight="1">
      <c r="A101" s="106" t="s">
        <v>63</v>
      </c>
      <c r="B101" s="107" t="s">
        <v>521</v>
      </c>
      <c r="C101" s="106" t="s">
        <v>64</v>
      </c>
      <c r="D101" s="108">
        <v>138</v>
      </c>
    </row>
    <row r="102" spans="1:49" s="1" customFormat="1" ht="12.95" customHeight="1">
      <c r="A102" s="106" t="s">
        <v>65</v>
      </c>
      <c r="B102" s="107" t="s">
        <v>521</v>
      </c>
      <c r="C102" s="106" t="s">
        <v>66</v>
      </c>
      <c r="D102" s="108">
        <v>138</v>
      </c>
      <c r="E102" s="68"/>
      <c r="F102" s="68"/>
      <c r="G102" s="68"/>
      <c r="H102" s="68"/>
      <c r="I102" s="68"/>
      <c r="J102" s="68"/>
      <c r="K102" s="68"/>
      <c r="L102" s="68"/>
      <c r="M102" s="68"/>
      <c r="N102" s="68"/>
      <c r="O102" s="68"/>
      <c r="P102" s="68"/>
      <c r="Q102" s="68"/>
      <c r="R102" s="68"/>
      <c r="S102" s="68"/>
      <c r="T102" s="68"/>
      <c r="U102" s="68"/>
    </row>
    <row r="103" spans="1:49" ht="12.95" customHeight="1">
      <c r="A103" s="110"/>
      <c r="B103" s="110"/>
      <c r="C103" s="110"/>
      <c r="D103" s="111"/>
    </row>
    <row r="104" spans="1:49" ht="12.95" customHeight="1">
      <c r="A104" s="105" t="s">
        <v>367</v>
      </c>
      <c r="B104" s="110"/>
      <c r="C104" s="103"/>
      <c r="D104" s="111"/>
    </row>
    <row r="105" spans="1:49" ht="12.95" customHeight="1">
      <c r="A105" s="95" t="s">
        <v>309</v>
      </c>
      <c r="B105" s="96" t="s">
        <v>651</v>
      </c>
      <c r="C105" s="97" t="s">
        <v>638</v>
      </c>
      <c r="D105" s="98">
        <v>20.29</v>
      </c>
    </row>
    <row r="106" spans="1:49" ht="12.95" customHeight="1">
      <c r="A106" s="106" t="s">
        <v>119</v>
      </c>
      <c r="B106" s="107" t="s">
        <v>579</v>
      </c>
      <c r="C106" s="106" t="s">
        <v>370</v>
      </c>
      <c r="D106" s="108">
        <v>40.25</v>
      </c>
    </row>
    <row r="107" spans="1:49" ht="12.95" customHeight="1">
      <c r="A107" s="106" t="s">
        <v>67</v>
      </c>
      <c r="B107" s="107" t="s">
        <v>573</v>
      </c>
      <c r="C107" s="106" t="s">
        <v>68</v>
      </c>
      <c r="D107" s="108">
        <v>51.749999999999993</v>
      </c>
    </row>
    <row r="108" spans="1:49" ht="12.95" customHeight="1">
      <c r="A108" s="106" t="s">
        <v>69</v>
      </c>
      <c r="B108" s="107" t="s">
        <v>574</v>
      </c>
      <c r="C108" s="106" t="s">
        <v>70</v>
      </c>
      <c r="D108" s="108">
        <v>51.749999999999993</v>
      </c>
    </row>
    <row r="109" spans="1:49" ht="12.95" customHeight="1">
      <c r="A109" s="106" t="s">
        <v>72</v>
      </c>
      <c r="B109" s="107" t="s">
        <v>575</v>
      </c>
      <c r="C109" s="106" t="s">
        <v>71</v>
      </c>
      <c r="D109" s="108">
        <v>51.749999999999993</v>
      </c>
    </row>
    <row r="110" spans="1:49" ht="12.95" customHeight="1">
      <c r="A110" s="106" t="s">
        <v>73</v>
      </c>
      <c r="B110" s="107" t="s">
        <v>576</v>
      </c>
      <c r="C110" s="106" t="s">
        <v>74</v>
      </c>
      <c r="D110" s="108">
        <v>51.749999999999993</v>
      </c>
    </row>
    <row r="111" spans="1:49" ht="12.95" customHeight="1">
      <c r="A111" s="106" t="s">
        <v>95</v>
      </c>
      <c r="B111" s="107" t="s">
        <v>577</v>
      </c>
      <c r="C111" s="106" t="s">
        <v>96</v>
      </c>
      <c r="D111" s="108">
        <v>67.849999999999994</v>
      </c>
    </row>
    <row r="112" spans="1:49" ht="12.95" customHeight="1">
      <c r="A112" s="106" t="s">
        <v>99</v>
      </c>
      <c r="B112" s="107" t="s">
        <v>578</v>
      </c>
      <c r="C112" s="106" t="s">
        <v>100</v>
      </c>
      <c r="D112" s="108">
        <v>69</v>
      </c>
    </row>
    <row r="113" spans="1:21" ht="12.95" customHeight="1">
      <c r="A113" s="106" t="s">
        <v>511</v>
      </c>
      <c r="B113" s="107" t="s">
        <v>571</v>
      </c>
      <c r="C113" s="106" t="s">
        <v>401</v>
      </c>
      <c r="D113" s="108">
        <v>53.900000000000006</v>
      </c>
    </row>
    <row r="114" spans="1:21" ht="12.95" customHeight="1">
      <c r="A114" s="106" t="s">
        <v>509</v>
      </c>
      <c r="B114" s="107" t="s">
        <v>571</v>
      </c>
      <c r="C114" s="106" t="s">
        <v>399</v>
      </c>
      <c r="D114" s="108">
        <v>64.900000000000006</v>
      </c>
    </row>
    <row r="115" spans="1:21" ht="12.95" customHeight="1">
      <c r="A115" s="106" t="s">
        <v>510</v>
      </c>
      <c r="B115" s="107" t="s">
        <v>571</v>
      </c>
      <c r="C115" s="106" t="s">
        <v>400</v>
      </c>
      <c r="D115" s="108">
        <v>64.900000000000006</v>
      </c>
    </row>
    <row r="116" spans="1:21" s="35" customFormat="1" ht="12.95" customHeight="1">
      <c r="A116" s="106" t="s">
        <v>639</v>
      </c>
      <c r="B116" s="107" t="s">
        <v>572</v>
      </c>
      <c r="C116" s="106" t="s">
        <v>402</v>
      </c>
      <c r="D116" s="108">
        <v>185.9</v>
      </c>
      <c r="E116" s="30"/>
      <c r="F116" s="30"/>
      <c r="G116" s="30"/>
      <c r="H116" s="30"/>
      <c r="I116" s="30"/>
      <c r="J116" s="30"/>
      <c r="K116" s="30"/>
      <c r="L116" s="30"/>
      <c r="M116" s="30"/>
      <c r="N116" s="30"/>
      <c r="O116" s="30"/>
      <c r="P116" s="30"/>
      <c r="Q116" s="30"/>
      <c r="R116" s="30"/>
      <c r="S116" s="30"/>
      <c r="T116" s="30"/>
      <c r="U116" s="30"/>
    </row>
    <row r="117" spans="1:21" ht="12.95" customHeight="1">
      <c r="A117" s="103"/>
      <c r="B117" s="110"/>
      <c r="C117" s="103"/>
      <c r="D117" s="111"/>
    </row>
    <row r="118" spans="1:21" ht="12.95" customHeight="1">
      <c r="A118" s="105" t="s">
        <v>368</v>
      </c>
      <c r="B118" s="110"/>
      <c r="C118" s="103"/>
      <c r="D118" s="111"/>
    </row>
    <row r="119" spans="1:21" ht="12.95" customHeight="1">
      <c r="A119" s="95" t="s">
        <v>308</v>
      </c>
      <c r="B119" s="96" t="s">
        <v>652</v>
      </c>
      <c r="C119" s="109" t="s">
        <v>332</v>
      </c>
      <c r="D119" s="98">
        <v>60.31</v>
      </c>
    </row>
    <row r="120" spans="1:21" ht="12.95" customHeight="1">
      <c r="A120" s="106" t="s">
        <v>77</v>
      </c>
      <c r="B120" s="107" t="s">
        <v>582</v>
      </c>
      <c r="C120" s="106" t="s">
        <v>75</v>
      </c>
      <c r="D120" s="108">
        <v>108.1</v>
      </c>
    </row>
    <row r="121" spans="1:21" ht="12.95" customHeight="1">
      <c r="A121" s="106" t="s">
        <v>97</v>
      </c>
      <c r="B121" s="107" t="s">
        <v>583</v>
      </c>
      <c r="C121" s="106" t="s">
        <v>98</v>
      </c>
      <c r="D121" s="108">
        <v>103.49999999999999</v>
      </c>
    </row>
    <row r="122" spans="1:21" ht="12.95" customHeight="1">
      <c r="A122" s="106" t="s">
        <v>78</v>
      </c>
      <c r="B122" s="107" t="s">
        <v>584</v>
      </c>
      <c r="C122" s="106" t="s">
        <v>76</v>
      </c>
      <c r="D122" s="108">
        <v>108.1</v>
      </c>
    </row>
    <row r="123" spans="1:21" ht="12.95" customHeight="1">
      <c r="A123" s="106" t="s">
        <v>117</v>
      </c>
      <c r="B123" s="107" t="s">
        <v>580</v>
      </c>
      <c r="C123" s="106" t="s">
        <v>118</v>
      </c>
      <c r="D123" s="108">
        <v>79.349999999999994</v>
      </c>
    </row>
    <row r="124" spans="1:21" ht="12.95" customHeight="1">
      <c r="A124" s="106" t="s">
        <v>101</v>
      </c>
      <c r="B124" s="107" t="s">
        <v>581</v>
      </c>
      <c r="C124" s="106" t="s">
        <v>102</v>
      </c>
      <c r="D124" s="108">
        <v>103.49999999999999</v>
      </c>
    </row>
    <row r="125" spans="1:21" s="35" customFormat="1" ht="12.95" customHeight="1">
      <c r="A125" s="106" t="s">
        <v>586</v>
      </c>
      <c r="B125" s="107" t="s">
        <v>585</v>
      </c>
      <c r="C125" s="106" t="s">
        <v>403</v>
      </c>
      <c r="D125" s="108">
        <v>108.9</v>
      </c>
      <c r="E125" s="30"/>
      <c r="F125" s="30"/>
      <c r="G125" s="30"/>
      <c r="H125" s="30"/>
      <c r="I125" s="30"/>
      <c r="J125" s="30"/>
      <c r="K125" s="30"/>
      <c r="L125" s="30"/>
      <c r="M125" s="30"/>
      <c r="N125" s="30"/>
      <c r="O125" s="30"/>
      <c r="P125" s="30"/>
      <c r="Q125" s="30"/>
      <c r="R125" s="30"/>
      <c r="S125" s="30"/>
      <c r="T125" s="30"/>
      <c r="U125" s="30"/>
    </row>
    <row r="126" spans="1:21" s="35" customFormat="1" ht="12.95" customHeight="1">
      <c r="A126" s="103"/>
      <c r="B126" s="110"/>
      <c r="C126" s="103"/>
      <c r="D126" s="111"/>
      <c r="E126" s="30"/>
      <c r="F126" s="30"/>
      <c r="G126" s="30"/>
      <c r="H126" s="30"/>
      <c r="I126" s="30"/>
      <c r="J126" s="30"/>
      <c r="K126" s="30"/>
      <c r="L126" s="30"/>
      <c r="M126" s="30"/>
      <c r="N126" s="30"/>
      <c r="O126" s="30"/>
      <c r="P126" s="30"/>
      <c r="Q126" s="30"/>
      <c r="R126" s="30"/>
      <c r="S126" s="30"/>
      <c r="T126" s="30"/>
      <c r="U126" s="30"/>
    </row>
    <row r="127" spans="1:21" ht="12.95" customHeight="1">
      <c r="A127" s="105" t="s">
        <v>404</v>
      </c>
      <c r="B127" s="110"/>
      <c r="C127" s="103"/>
      <c r="D127" s="111"/>
    </row>
    <row r="128" spans="1:21" ht="12.95" customHeight="1">
      <c r="A128" s="95" t="s">
        <v>310</v>
      </c>
      <c r="B128" s="96" t="s">
        <v>649</v>
      </c>
      <c r="C128" s="109" t="s">
        <v>333</v>
      </c>
      <c r="D128" s="98">
        <v>36.56</v>
      </c>
    </row>
    <row r="129" spans="1:49" ht="12.95" customHeight="1">
      <c r="A129" s="95" t="s">
        <v>311</v>
      </c>
      <c r="B129" s="96" t="s">
        <v>650</v>
      </c>
      <c r="C129" s="109" t="s">
        <v>334</v>
      </c>
      <c r="D129" s="98">
        <v>51.95</v>
      </c>
    </row>
    <row r="130" spans="1:49" ht="12.95" customHeight="1">
      <c r="A130" s="106" t="s">
        <v>587</v>
      </c>
      <c r="B130" s="107" t="s">
        <v>591</v>
      </c>
      <c r="C130" s="106" t="s">
        <v>405</v>
      </c>
      <c r="D130" s="108">
        <v>53.900000000000006</v>
      </c>
    </row>
    <row r="131" spans="1:49" ht="12.95" customHeight="1">
      <c r="A131" s="106" t="s">
        <v>590</v>
      </c>
      <c r="B131" s="107" t="s">
        <v>592</v>
      </c>
      <c r="C131" s="106" t="s">
        <v>406</v>
      </c>
      <c r="D131" s="108">
        <v>97.9</v>
      </c>
    </row>
    <row r="132" spans="1:49" ht="12.95" customHeight="1">
      <c r="A132" s="106" t="s">
        <v>589</v>
      </c>
      <c r="B132" s="107" t="s">
        <v>593</v>
      </c>
      <c r="C132" s="106" t="s">
        <v>407</v>
      </c>
      <c r="D132" s="108">
        <v>196.9</v>
      </c>
    </row>
    <row r="133" spans="1:49" s="35" customFormat="1" ht="12.95" customHeight="1">
      <c r="A133" s="106" t="s">
        <v>588</v>
      </c>
      <c r="B133" s="107" t="s">
        <v>594</v>
      </c>
      <c r="C133" s="106" t="s">
        <v>408</v>
      </c>
      <c r="D133" s="108">
        <v>185.9</v>
      </c>
      <c r="E133" s="30"/>
      <c r="F133" s="30"/>
      <c r="G133" s="30"/>
      <c r="H133" s="30"/>
      <c r="I133" s="30"/>
      <c r="J133" s="30"/>
      <c r="K133" s="30"/>
      <c r="L133" s="30"/>
      <c r="M133" s="30"/>
      <c r="N133" s="30"/>
      <c r="O133" s="30"/>
      <c r="P133" s="30"/>
      <c r="Q133" s="30"/>
      <c r="R133" s="30"/>
      <c r="S133" s="30"/>
      <c r="T133" s="30"/>
      <c r="U133" s="30"/>
    </row>
    <row r="134" spans="1:49" s="35" customFormat="1" ht="12.95" customHeight="1">
      <c r="A134" s="103"/>
      <c r="B134" s="110"/>
      <c r="C134" s="103"/>
      <c r="D134" s="111"/>
      <c r="E134" s="30"/>
      <c r="F134" s="30"/>
      <c r="G134" s="30"/>
      <c r="H134" s="30"/>
      <c r="I134" s="30"/>
      <c r="J134" s="30"/>
      <c r="K134" s="30"/>
      <c r="L134" s="30"/>
      <c r="M134" s="30"/>
      <c r="N134" s="30"/>
      <c r="O134" s="30"/>
      <c r="P134" s="30"/>
      <c r="Q134" s="30"/>
      <c r="R134" s="30"/>
      <c r="S134" s="30"/>
      <c r="T134" s="30"/>
      <c r="U134" s="30"/>
    </row>
    <row r="135" spans="1:49" s="35" customFormat="1" ht="12.95" customHeight="1">
      <c r="A135" s="105" t="s">
        <v>690</v>
      </c>
      <c r="B135" s="110"/>
      <c r="C135" s="103"/>
      <c r="D135" s="111"/>
      <c r="E135" s="30"/>
      <c r="F135" s="30"/>
      <c r="G135" s="30"/>
      <c r="H135" s="30"/>
      <c r="I135" s="30"/>
      <c r="J135" s="30"/>
      <c r="K135" s="30"/>
      <c r="L135" s="30"/>
      <c r="M135" s="30"/>
      <c r="N135" s="30"/>
      <c r="O135" s="30"/>
      <c r="P135" s="30"/>
      <c r="Q135" s="30"/>
      <c r="R135" s="30"/>
      <c r="S135" s="30"/>
      <c r="T135" s="30"/>
      <c r="U135" s="30"/>
    </row>
    <row r="136" spans="1:49" s="35" customFormat="1" ht="12.95" customHeight="1">
      <c r="A136" s="95" t="s">
        <v>295</v>
      </c>
      <c r="B136" s="96" t="s">
        <v>646</v>
      </c>
      <c r="C136" s="97" t="s">
        <v>296</v>
      </c>
      <c r="D136" s="98">
        <v>52.8</v>
      </c>
      <c r="E136" s="30"/>
      <c r="F136" s="30"/>
      <c r="G136" s="30"/>
      <c r="H136" s="30"/>
      <c r="I136" s="30"/>
      <c r="J136" s="30"/>
      <c r="K136" s="30"/>
      <c r="L136" s="30"/>
      <c r="M136" s="30"/>
      <c r="N136" s="30"/>
      <c r="O136" s="30"/>
      <c r="P136" s="30"/>
      <c r="Q136" s="30"/>
      <c r="R136" s="30"/>
      <c r="S136" s="30"/>
      <c r="T136" s="30"/>
      <c r="U136" s="30"/>
    </row>
    <row r="137" spans="1:49" ht="12.95" customHeight="1">
      <c r="A137" s="95" t="s">
        <v>297</v>
      </c>
      <c r="B137" s="96" t="s">
        <v>646</v>
      </c>
      <c r="C137" s="97" t="s">
        <v>296</v>
      </c>
      <c r="D137" s="98">
        <v>34.14</v>
      </c>
    </row>
    <row r="138" spans="1:49" ht="12.95" customHeight="1">
      <c r="A138" s="95" t="s">
        <v>298</v>
      </c>
      <c r="B138" s="96" t="s">
        <v>647</v>
      </c>
      <c r="C138" s="97" t="s">
        <v>299</v>
      </c>
      <c r="D138" s="98">
        <v>11.74</v>
      </c>
    </row>
    <row r="139" spans="1:49" ht="12.95" customHeight="1">
      <c r="A139" s="95" t="s">
        <v>300</v>
      </c>
      <c r="B139" s="96" t="s">
        <v>648</v>
      </c>
      <c r="C139" s="97" t="s">
        <v>301</v>
      </c>
      <c r="D139" s="98">
        <v>40.01</v>
      </c>
    </row>
    <row r="140" spans="1:49" ht="12.95" customHeight="1">
      <c r="A140" s="106" t="s">
        <v>79</v>
      </c>
      <c r="B140" s="107" t="s">
        <v>595</v>
      </c>
      <c r="C140" s="106" t="s">
        <v>80</v>
      </c>
      <c r="D140" s="108">
        <v>80.5</v>
      </c>
    </row>
    <row r="141" spans="1:49" ht="12.95" customHeight="1">
      <c r="A141" s="106" t="s">
        <v>81</v>
      </c>
      <c r="B141" s="107" t="s">
        <v>596</v>
      </c>
      <c r="C141" s="106" t="s">
        <v>82</v>
      </c>
      <c r="D141" s="108">
        <v>67.849999999999994</v>
      </c>
    </row>
    <row r="142" spans="1:49" ht="12.95" customHeight="1">
      <c r="A142" s="106" t="s">
        <v>83</v>
      </c>
      <c r="B142" s="107" t="s">
        <v>597</v>
      </c>
      <c r="C142" s="106" t="s">
        <v>84</v>
      </c>
      <c r="D142" s="108">
        <v>57.499999999999993</v>
      </c>
    </row>
    <row r="143" spans="1:49" ht="12.95" customHeight="1">
      <c r="A143" s="145" t="s">
        <v>745</v>
      </c>
      <c r="B143" s="144" t="s">
        <v>719</v>
      </c>
      <c r="C143" s="145"/>
      <c r="D143" s="146">
        <v>18.420000000000002</v>
      </c>
    </row>
    <row r="144" spans="1:49" s="27" customFormat="1" ht="12.95" customHeight="1">
      <c r="A144" s="145" t="s">
        <v>746</v>
      </c>
      <c r="B144" s="144" t="s">
        <v>720</v>
      </c>
      <c r="C144" s="145"/>
      <c r="D144" s="146">
        <v>8.58</v>
      </c>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40"/>
    </row>
    <row r="145" spans="1:4" ht="12.95" customHeight="1">
      <c r="A145" s="103"/>
      <c r="B145" s="110"/>
      <c r="C145" s="103"/>
      <c r="D145" s="111"/>
    </row>
    <row r="146" spans="1:4" ht="12.95" customHeight="1">
      <c r="A146" s="105" t="s">
        <v>369</v>
      </c>
      <c r="B146" s="110"/>
      <c r="C146" s="103"/>
      <c r="D146" s="111"/>
    </row>
    <row r="147" spans="1:4" ht="12.95" customHeight="1">
      <c r="A147" s="106" t="s">
        <v>85</v>
      </c>
      <c r="B147" s="107" t="s">
        <v>598</v>
      </c>
      <c r="C147" s="106" t="s">
        <v>86</v>
      </c>
      <c r="D147" s="108">
        <v>97.749999999999986</v>
      </c>
    </row>
    <row r="148" spans="1:4" ht="12.95" customHeight="1">
      <c r="A148" s="106" t="s">
        <v>87</v>
      </c>
      <c r="B148" s="107" t="s">
        <v>599</v>
      </c>
      <c r="C148" s="106" t="s">
        <v>88</v>
      </c>
      <c r="D148" s="108">
        <v>113.85</v>
      </c>
    </row>
    <row r="149" spans="1:4" ht="12.95" customHeight="1">
      <c r="A149" s="103"/>
      <c r="B149" s="110"/>
      <c r="C149" s="103"/>
      <c r="D149" s="111"/>
    </row>
    <row r="150" spans="1:4" ht="12.95" customHeight="1">
      <c r="A150" s="105" t="s">
        <v>371</v>
      </c>
      <c r="B150" s="110"/>
      <c r="C150" s="103"/>
      <c r="D150" s="111"/>
    </row>
    <row r="151" spans="1:4" ht="12.95" customHeight="1">
      <c r="A151" s="106" t="s">
        <v>107</v>
      </c>
      <c r="B151" s="107" t="s">
        <v>600</v>
      </c>
      <c r="C151" s="106" t="s">
        <v>108</v>
      </c>
      <c r="D151" s="108">
        <v>80.5</v>
      </c>
    </row>
    <row r="152" spans="1:4" ht="12.95" customHeight="1">
      <c r="A152" s="103"/>
      <c r="B152" s="110"/>
      <c r="C152" s="103"/>
      <c r="D152" s="111"/>
    </row>
    <row r="153" spans="1:4" ht="12.95" customHeight="1">
      <c r="A153" s="105" t="s">
        <v>194</v>
      </c>
      <c r="B153" s="110"/>
      <c r="C153" s="103"/>
      <c r="D153" s="111"/>
    </row>
    <row r="154" spans="1:4" ht="12.95" customHeight="1">
      <c r="A154" s="106" t="s">
        <v>123</v>
      </c>
      <c r="B154" s="107" t="s">
        <v>601</v>
      </c>
      <c r="C154" s="106" t="s">
        <v>124</v>
      </c>
      <c r="D154" s="108">
        <v>455.70000000000005</v>
      </c>
    </row>
    <row r="155" spans="1:4" ht="12.95" customHeight="1">
      <c r="A155" s="106" t="s">
        <v>125</v>
      </c>
      <c r="B155" s="107" t="s">
        <v>602</v>
      </c>
      <c r="C155" s="106" t="s">
        <v>126</v>
      </c>
      <c r="D155" s="108">
        <v>465.15000000000003</v>
      </c>
    </row>
    <row r="156" spans="1:4" ht="12.95" customHeight="1">
      <c r="A156" s="106" t="s">
        <v>127</v>
      </c>
      <c r="B156" s="107" t="s">
        <v>603</v>
      </c>
      <c r="C156" s="106" t="s">
        <v>128</v>
      </c>
      <c r="D156" s="108">
        <v>554.4</v>
      </c>
    </row>
    <row r="157" spans="1:4" ht="12.95" customHeight="1">
      <c r="A157" s="106" t="s">
        <v>129</v>
      </c>
      <c r="B157" s="107" t="s">
        <v>604</v>
      </c>
      <c r="C157" s="106" t="s">
        <v>130</v>
      </c>
      <c r="D157" s="108">
        <v>702.45</v>
      </c>
    </row>
    <row r="158" spans="1:4" ht="12.95" customHeight="1">
      <c r="A158" s="106" t="s">
        <v>131</v>
      </c>
      <c r="B158" s="107" t="s">
        <v>605</v>
      </c>
      <c r="C158" s="106" t="s">
        <v>132</v>
      </c>
      <c r="D158" s="108">
        <v>933.45</v>
      </c>
    </row>
    <row r="159" spans="1:4" ht="12.95" customHeight="1">
      <c r="A159" s="103"/>
      <c r="B159" s="110"/>
      <c r="C159" s="103"/>
      <c r="D159" s="111"/>
    </row>
    <row r="160" spans="1:4" ht="12.95" customHeight="1">
      <c r="A160" s="105" t="s">
        <v>357</v>
      </c>
      <c r="B160" s="110"/>
      <c r="C160" s="103"/>
      <c r="D160" s="111"/>
    </row>
    <row r="161" spans="1:4" ht="12.95" customHeight="1">
      <c r="A161" s="113" t="s">
        <v>514</v>
      </c>
      <c r="B161" s="110"/>
      <c r="C161" s="103"/>
      <c r="D161" s="111"/>
    </row>
    <row r="162" spans="1:4" ht="12.95" customHeight="1">
      <c r="A162" s="106" t="s">
        <v>133</v>
      </c>
      <c r="B162" s="107" t="s">
        <v>134</v>
      </c>
      <c r="C162" s="106" t="s">
        <v>134</v>
      </c>
      <c r="D162" s="108">
        <v>135</v>
      </c>
    </row>
    <row r="163" spans="1:4" ht="12.95" customHeight="1">
      <c r="A163" s="106" t="s">
        <v>135</v>
      </c>
      <c r="B163" s="107" t="s">
        <v>136</v>
      </c>
      <c r="C163" s="106" t="s">
        <v>136</v>
      </c>
      <c r="D163" s="108">
        <v>221.4</v>
      </c>
    </row>
    <row r="164" spans="1:4" ht="12.95" customHeight="1">
      <c r="A164" s="114"/>
      <c r="B164" s="115"/>
      <c r="C164" s="114"/>
      <c r="D164" s="116"/>
    </row>
    <row r="165" spans="1:4" ht="12.95" customHeight="1">
      <c r="A165" s="112" t="s">
        <v>515</v>
      </c>
      <c r="B165" s="115"/>
      <c r="C165" s="114"/>
      <c r="D165" s="116"/>
    </row>
    <row r="166" spans="1:4" ht="12.95" customHeight="1">
      <c r="A166" s="106" t="s">
        <v>137</v>
      </c>
      <c r="B166" s="107" t="s">
        <v>138</v>
      </c>
      <c r="C166" s="106" t="s">
        <v>138</v>
      </c>
      <c r="D166" s="108">
        <v>71.28</v>
      </c>
    </row>
    <row r="167" spans="1:4" ht="12.95" customHeight="1">
      <c r="A167" s="106" t="s">
        <v>139</v>
      </c>
      <c r="B167" s="107" t="s">
        <v>140</v>
      </c>
      <c r="C167" s="106" t="s">
        <v>140</v>
      </c>
      <c r="D167" s="108">
        <v>92.88000000000001</v>
      </c>
    </row>
    <row r="168" spans="1:4" ht="12.95" customHeight="1">
      <c r="A168" s="106" t="s">
        <v>141</v>
      </c>
      <c r="B168" s="107" t="s">
        <v>142</v>
      </c>
      <c r="C168" s="106" t="s">
        <v>142</v>
      </c>
      <c r="D168" s="108">
        <v>167.4</v>
      </c>
    </row>
    <row r="169" spans="1:4" ht="12.95" customHeight="1">
      <c r="A169" s="114"/>
      <c r="B169" s="115"/>
      <c r="C169" s="114"/>
      <c r="D169" s="116"/>
    </row>
    <row r="170" spans="1:4" ht="12.95" customHeight="1">
      <c r="A170" s="113" t="s">
        <v>516</v>
      </c>
      <c r="B170" s="115"/>
      <c r="C170" s="114"/>
      <c r="D170" s="116"/>
    </row>
    <row r="171" spans="1:4" ht="12.95" customHeight="1">
      <c r="A171" s="106" t="s">
        <v>143</v>
      </c>
      <c r="B171" s="107" t="s">
        <v>144</v>
      </c>
      <c r="C171" s="106" t="s">
        <v>144</v>
      </c>
      <c r="D171" s="108">
        <v>189</v>
      </c>
    </row>
    <row r="172" spans="1:4" ht="12.95" customHeight="1">
      <c r="A172" s="114"/>
      <c r="B172" s="115"/>
      <c r="C172" s="114"/>
      <c r="D172" s="116"/>
    </row>
    <row r="173" spans="1:4" ht="12.95" customHeight="1">
      <c r="A173" s="113" t="s">
        <v>517</v>
      </c>
      <c r="B173" s="115"/>
      <c r="C173" s="114"/>
      <c r="D173" s="116"/>
    </row>
    <row r="174" spans="1:4" ht="12.95" customHeight="1">
      <c r="A174" s="106" t="s">
        <v>145</v>
      </c>
      <c r="B174" s="107" t="s">
        <v>146</v>
      </c>
      <c r="C174" s="106" t="s">
        <v>146</v>
      </c>
      <c r="D174" s="108">
        <v>127.44000000000001</v>
      </c>
    </row>
    <row r="175" spans="1:4" ht="12.95" customHeight="1">
      <c r="A175" s="106" t="s">
        <v>147</v>
      </c>
      <c r="B175" s="107" t="s">
        <v>148</v>
      </c>
      <c r="C175" s="106" t="s">
        <v>148</v>
      </c>
      <c r="D175" s="108">
        <v>207.36</v>
      </c>
    </row>
    <row r="176" spans="1:4" ht="12.95" customHeight="1">
      <c r="A176" s="114"/>
      <c r="B176" s="115"/>
      <c r="C176" s="114"/>
      <c r="D176" s="116"/>
    </row>
    <row r="177" spans="1:4" ht="12.95" customHeight="1">
      <c r="A177" s="113" t="s">
        <v>518</v>
      </c>
      <c r="B177" s="115"/>
      <c r="C177" s="114"/>
      <c r="D177" s="116"/>
    </row>
    <row r="178" spans="1:4" ht="12.95" customHeight="1">
      <c r="A178" s="106" t="s">
        <v>149</v>
      </c>
      <c r="B178" s="107" t="s">
        <v>150</v>
      </c>
      <c r="C178" s="106" t="s">
        <v>150</v>
      </c>
      <c r="D178" s="108">
        <v>62.64</v>
      </c>
    </row>
    <row r="179" spans="1:4" ht="12.95" customHeight="1">
      <c r="A179" s="106" t="s">
        <v>151</v>
      </c>
      <c r="B179" s="107" t="s">
        <v>152</v>
      </c>
      <c r="C179" s="106" t="s">
        <v>152</v>
      </c>
      <c r="D179" s="108">
        <v>88.56</v>
      </c>
    </row>
    <row r="180" spans="1:4" ht="12.95" customHeight="1">
      <c r="A180" s="106" t="s">
        <v>153</v>
      </c>
      <c r="B180" s="107" t="s">
        <v>154</v>
      </c>
      <c r="C180" s="106" t="s">
        <v>154</v>
      </c>
      <c r="D180" s="108">
        <v>165.24</v>
      </c>
    </row>
    <row r="181" spans="1:4" ht="12.95" customHeight="1">
      <c r="A181" s="106" t="s">
        <v>155</v>
      </c>
      <c r="B181" s="107" t="s">
        <v>156</v>
      </c>
      <c r="C181" s="106" t="s">
        <v>156</v>
      </c>
      <c r="D181" s="108">
        <v>366.12</v>
      </c>
    </row>
    <row r="182" spans="1:4" ht="12.95" customHeight="1">
      <c r="A182" s="115"/>
      <c r="B182" s="115"/>
      <c r="C182" s="115"/>
      <c r="D182" s="116"/>
    </row>
    <row r="183" spans="1:4" ht="12.95" customHeight="1">
      <c r="A183" s="105" t="s">
        <v>372</v>
      </c>
      <c r="B183" s="115"/>
      <c r="C183" s="115"/>
      <c r="D183" s="116"/>
    </row>
    <row r="184" spans="1:4" ht="12.95" customHeight="1">
      <c r="A184" s="113" t="s">
        <v>519</v>
      </c>
      <c r="B184" s="115"/>
      <c r="C184" s="115"/>
      <c r="D184" s="116"/>
    </row>
    <row r="185" spans="1:4" ht="12.95" customHeight="1">
      <c r="A185" s="106" t="s">
        <v>157</v>
      </c>
      <c r="B185" s="107" t="s">
        <v>158</v>
      </c>
      <c r="C185" s="106"/>
      <c r="D185" s="108">
        <v>32.292000000000002</v>
      </c>
    </row>
    <row r="186" spans="1:4" ht="12.95" customHeight="1">
      <c r="A186" s="106" t="s">
        <v>162</v>
      </c>
      <c r="B186" s="107" t="s">
        <v>159</v>
      </c>
      <c r="C186" s="106"/>
      <c r="D186" s="108">
        <v>41.040000000000006</v>
      </c>
    </row>
    <row r="187" spans="1:4" ht="12.95" customHeight="1">
      <c r="A187" s="106" t="s">
        <v>163</v>
      </c>
      <c r="B187" s="107" t="s">
        <v>160</v>
      </c>
      <c r="C187" s="106"/>
      <c r="D187" s="108">
        <v>71.28</v>
      </c>
    </row>
    <row r="188" spans="1:4" ht="12.95" customHeight="1">
      <c r="A188" s="106" t="s">
        <v>164</v>
      </c>
      <c r="B188" s="107" t="s">
        <v>161</v>
      </c>
      <c r="C188" s="106"/>
      <c r="D188" s="108">
        <v>135</v>
      </c>
    </row>
    <row r="189" spans="1:4" ht="12.95" customHeight="1">
      <c r="A189" s="106" t="s">
        <v>165</v>
      </c>
      <c r="B189" s="107" t="s">
        <v>166</v>
      </c>
      <c r="C189" s="106"/>
      <c r="D189" s="108">
        <v>32.400000000000006</v>
      </c>
    </row>
    <row r="190" spans="1:4" ht="12.95" customHeight="1">
      <c r="A190" s="106" t="s">
        <v>167</v>
      </c>
      <c r="B190" s="107" t="s">
        <v>168</v>
      </c>
      <c r="C190" s="106"/>
      <c r="D190" s="108">
        <v>42.120000000000005</v>
      </c>
    </row>
    <row r="191" spans="1:4" ht="12.95" customHeight="1">
      <c r="A191" s="106" t="s">
        <v>169</v>
      </c>
      <c r="B191" s="107" t="s">
        <v>170</v>
      </c>
      <c r="C191" s="106"/>
      <c r="D191" s="108">
        <v>74.52000000000001</v>
      </c>
    </row>
    <row r="192" spans="1:4" ht="12.95" customHeight="1">
      <c r="A192" s="106" t="s">
        <v>171</v>
      </c>
      <c r="B192" s="107" t="s">
        <v>172</v>
      </c>
      <c r="C192" s="106"/>
      <c r="D192" s="108">
        <v>248.4</v>
      </c>
    </row>
    <row r="193" spans="1:4" ht="12.95" customHeight="1">
      <c r="A193" s="115"/>
      <c r="B193" s="115"/>
      <c r="C193" s="115"/>
      <c r="D193" s="116"/>
    </row>
    <row r="194" spans="1:4" ht="12.95" customHeight="1">
      <c r="A194" s="113" t="s">
        <v>520</v>
      </c>
      <c r="B194" s="115"/>
      <c r="C194" s="115"/>
      <c r="D194" s="116"/>
    </row>
    <row r="195" spans="1:4" ht="12.95" customHeight="1">
      <c r="A195" s="106" t="s">
        <v>173</v>
      </c>
      <c r="B195" s="107" t="s">
        <v>174</v>
      </c>
      <c r="C195" s="106"/>
      <c r="D195" s="108">
        <v>23.76</v>
      </c>
    </row>
    <row r="196" spans="1:4" ht="12.95" customHeight="1">
      <c r="A196" s="106" t="s">
        <v>175</v>
      </c>
      <c r="B196" s="107" t="s">
        <v>176</v>
      </c>
      <c r="C196" s="106"/>
      <c r="D196" s="108">
        <v>30.240000000000002</v>
      </c>
    </row>
    <row r="197" spans="1:4" ht="12.95" customHeight="1">
      <c r="A197" s="106" t="s">
        <v>177</v>
      </c>
      <c r="B197" s="107" t="s">
        <v>178</v>
      </c>
      <c r="C197" s="106"/>
      <c r="D197" s="108">
        <v>35.64</v>
      </c>
    </row>
    <row r="198" spans="1:4" ht="12.95" customHeight="1">
      <c r="A198" s="106" t="s">
        <v>179</v>
      </c>
      <c r="B198" s="107" t="s">
        <v>180</v>
      </c>
      <c r="C198" s="106"/>
      <c r="D198" s="108">
        <v>71.28</v>
      </c>
    </row>
    <row r="199" spans="1:4" ht="12.95" customHeight="1">
      <c r="A199" s="106" t="s">
        <v>181</v>
      </c>
      <c r="B199" s="107" t="s">
        <v>182</v>
      </c>
      <c r="C199" s="106"/>
      <c r="D199" s="108">
        <v>145.80000000000001</v>
      </c>
    </row>
    <row r="200" spans="1:4" ht="12.95" customHeight="1">
      <c r="A200" s="115"/>
      <c r="B200" s="115"/>
      <c r="C200" s="115"/>
      <c r="D200" s="116"/>
    </row>
    <row r="201" spans="1:4" ht="12.95" customHeight="1">
      <c r="A201" s="113" t="s">
        <v>183</v>
      </c>
      <c r="B201" s="115"/>
      <c r="C201" s="115"/>
      <c r="D201" s="116"/>
    </row>
    <row r="202" spans="1:4" ht="12.95" customHeight="1">
      <c r="A202" s="106" t="s">
        <v>184</v>
      </c>
      <c r="B202" s="107" t="s">
        <v>185</v>
      </c>
      <c r="C202" s="106" t="s">
        <v>185</v>
      </c>
      <c r="D202" s="108">
        <v>24.840000000000003</v>
      </c>
    </row>
    <row r="203" spans="1:4" ht="12.95" customHeight="1">
      <c r="A203" s="106" t="s">
        <v>186</v>
      </c>
      <c r="B203" s="107" t="s">
        <v>187</v>
      </c>
      <c r="C203" s="106" t="s">
        <v>187</v>
      </c>
      <c r="D203" s="108">
        <v>31.32</v>
      </c>
    </row>
    <row r="204" spans="1:4" ht="12.95" customHeight="1">
      <c r="A204" s="106" t="s">
        <v>188</v>
      </c>
      <c r="B204" s="107" t="s">
        <v>189</v>
      </c>
      <c r="C204" s="106" t="s">
        <v>189</v>
      </c>
      <c r="D204" s="108">
        <v>35.64</v>
      </c>
    </row>
    <row r="205" spans="1:4" ht="12.95" customHeight="1">
      <c r="A205" s="106" t="s">
        <v>190</v>
      </c>
      <c r="B205" s="107" t="s">
        <v>191</v>
      </c>
      <c r="C205" s="106" t="s">
        <v>191</v>
      </c>
      <c r="D205" s="108">
        <v>68.040000000000006</v>
      </c>
    </row>
    <row r="206" spans="1:4" ht="12.95" customHeight="1">
      <c r="A206" s="115"/>
      <c r="B206" s="115"/>
      <c r="C206" s="115"/>
      <c r="D206" s="116"/>
    </row>
    <row r="207" spans="1:4" ht="12.95" customHeight="1">
      <c r="A207" s="105" t="s">
        <v>374</v>
      </c>
      <c r="B207" s="115"/>
      <c r="C207" s="115"/>
      <c r="D207" s="116"/>
    </row>
    <row r="208" spans="1:4" ht="12.95" customHeight="1">
      <c r="A208" s="113" t="s">
        <v>375</v>
      </c>
      <c r="B208" s="115"/>
      <c r="C208" s="115"/>
      <c r="D208" s="116"/>
    </row>
    <row r="209" spans="1:4" ht="12.95" customHeight="1">
      <c r="A209" s="106" t="s">
        <v>428</v>
      </c>
      <c r="B209" s="107" t="s">
        <v>524</v>
      </c>
      <c r="C209" s="106" t="s">
        <v>376</v>
      </c>
      <c r="D209" s="108">
        <v>119.9</v>
      </c>
    </row>
    <row r="210" spans="1:4" ht="12.95" customHeight="1">
      <c r="A210" s="106" t="s">
        <v>429</v>
      </c>
      <c r="B210" s="107" t="s">
        <v>525</v>
      </c>
      <c r="C210" s="106" t="s">
        <v>377</v>
      </c>
      <c r="D210" s="108">
        <v>185.9</v>
      </c>
    </row>
    <row r="211" spans="1:4" ht="12.95" customHeight="1">
      <c r="A211" s="106" t="s">
        <v>430</v>
      </c>
      <c r="B211" s="107" t="s">
        <v>526</v>
      </c>
      <c r="C211" s="106" t="s">
        <v>378</v>
      </c>
      <c r="D211" s="108">
        <v>460.90000000000003</v>
      </c>
    </row>
    <row r="212" spans="1:4" ht="12.75" customHeight="1">
      <c r="A212" s="115"/>
      <c r="B212" s="115"/>
      <c r="C212" s="115"/>
      <c r="D212" s="116"/>
    </row>
    <row r="213" spans="1:4" ht="12.95" customHeight="1">
      <c r="A213" s="113" t="s">
        <v>379</v>
      </c>
      <c r="B213" s="115"/>
      <c r="C213" s="115"/>
      <c r="D213" s="116"/>
    </row>
    <row r="214" spans="1:4" ht="12.95" customHeight="1">
      <c r="A214" s="106" t="s">
        <v>431</v>
      </c>
      <c r="B214" s="107" t="s">
        <v>527</v>
      </c>
      <c r="C214" s="106" t="s">
        <v>380</v>
      </c>
      <c r="D214" s="108">
        <v>383.90000000000003</v>
      </c>
    </row>
    <row r="215" spans="1:4" ht="12.95" customHeight="1">
      <c r="A215" s="106" t="s">
        <v>432</v>
      </c>
      <c r="B215" s="107" t="s">
        <v>528</v>
      </c>
      <c r="C215" s="106" t="s">
        <v>381</v>
      </c>
      <c r="D215" s="108">
        <v>658.90000000000009</v>
      </c>
    </row>
    <row r="216" spans="1:4" ht="12.95" customHeight="1">
      <c r="A216" s="115"/>
      <c r="B216" s="115"/>
      <c r="C216" s="115"/>
      <c r="D216" s="116"/>
    </row>
    <row r="217" spans="1:4" ht="12.95" customHeight="1">
      <c r="A217" s="105" t="s">
        <v>414</v>
      </c>
      <c r="B217" s="115"/>
      <c r="C217" s="115"/>
      <c r="D217" s="115"/>
    </row>
    <row r="218" spans="1:4" ht="12.95" customHeight="1">
      <c r="A218" s="106" t="s">
        <v>546</v>
      </c>
      <c r="B218" s="107" t="s">
        <v>529</v>
      </c>
      <c r="C218" s="106" t="s">
        <v>382</v>
      </c>
      <c r="D218" s="108">
        <v>67.849999999999994</v>
      </c>
    </row>
    <row r="219" spans="1:4" ht="12.95" customHeight="1">
      <c r="A219" s="106" t="s">
        <v>547</v>
      </c>
      <c r="B219" s="107" t="s">
        <v>530</v>
      </c>
      <c r="C219" s="106" t="s">
        <v>383</v>
      </c>
      <c r="D219" s="108">
        <v>74.75</v>
      </c>
    </row>
    <row r="220" spans="1:4" ht="12.95" customHeight="1">
      <c r="A220" s="106" t="s">
        <v>548</v>
      </c>
      <c r="B220" s="107" t="s">
        <v>531</v>
      </c>
      <c r="C220" s="106" t="s">
        <v>384</v>
      </c>
      <c r="D220" s="108">
        <v>172.5</v>
      </c>
    </row>
    <row r="221" spans="1:4" ht="12.95" customHeight="1">
      <c r="A221" s="106" t="s">
        <v>549</v>
      </c>
      <c r="B221" s="107" t="s">
        <v>532</v>
      </c>
      <c r="C221" s="106" t="s">
        <v>385</v>
      </c>
      <c r="D221" s="108">
        <v>86.25</v>
      </c>
    </row>
    <row r="222" spans="1:4" ht="12.95" customHeight="1">
      <c r="A222" s="106" t="s">
        <v>550</v>
      </c>
      <c r="B222" s="107" t="s">
        <v>533</v>
      </c>
      <c r="C222" s="106" t="s">
        <v>386</v>
      </c>
      <c r="D222" s="108">
        <v>224.24999999999997</v>
      </c>
    </row>
    <row r="223" spans="1:4" ht="12.95" customHeight="1">
      <c r="A223" s="106" t="s">
        <v>551</v>
      </c>
      <c r="B223" s="107" t="s">
        <v>534</v>
      </c>
      <c r="C223" s="106" t="s">
        <v>387</v>
      </c>
      <c r="D223" s="108">
        <v>224.24999999999997</v>
      </c>
    </row>
    <row r="224" spans="1:4" ht="12.95" customHeight="1">
      <c r="A224" s="106" t="s">
        <v>552</v>
      </c>
      <c r="B224" s="107" t="s">
        <v>535</v>
      </c>
      <c r="C224" s="106" t="s">
        <v>388</v>
      </c>
      <c r="D224" s="108">
        <v>125.35</v>
      </c>
    </row>
    <row r="225" spans="1:4" ht="12.95" customHeight="1">
      <c r="A225" s="106" t="s">
        <v>553</v>
      </c>
      <c r="B225" s="107" t="s">
        <v>536</v>
      </c>
      <c r="C225" s="106" t="s">
        <v>389</v>
      </c>
      <c r="D225" s="108">
        <v>401.34999999999997</v>
      </c>
    </row>
    <row r="226" spans="1:4" ht="12.95" customHeight="1">
      <c r="A226" s="106" t="s">
        <v>554</v>
      </c>
      <c r="B226" s="107" t="s">
        <v>537</v>
      </c>
      <c r="C226" s="106" t="s">
        <v>390</v>
      </c>
      <c r="D226" s="108">
        <v>401.34999999999997</v>
      </c>
    </row>
    <row r="227" spans="1:4" ht="12.95" customHeight="1">
      <c r="A227" s="106" t="s">
        <v>555</v>
      </c>
      <c r="B227" s="107" t="s">
        <v>538</v>
      </c>
      <c r="C227" s="106" t="s">
        <v>391</v>
      </c>
      <c r="D227" s="108">
        <v>182.85</v>
      </c>
    </row>
    <row r="228" spans="1:4" ht="12.95" customHeight="1">
      <c r="A228" s="106" t="s">
        <v>556</v>
      </c>
      <c r="B228" s="107" t="s">
        <v>539</v>
      </c>
      <c r="C228" s="106" t="s">
        <v>392</v>
      </c>
      <c r="D228" s="108">
        <v>316.25</v>
      </c>
    </row>
    <row r="229" spans="1:4" ht="12.95" customHeight="1">
      <c r="A229" s="106" t="s">
        <v>557</v>
      </c>
      <c r="B229" s="107" t="s">
        <v>540</v>
      </c>
      <c r="C229" s="106" t="s">
        <v>393</v>
      </c>
      <c r="D229" s="108">
        <v>276</v>
      </c>
    </row>
    <row r="230" spans="1:4" ht="12.95" customHeight="1">
      <c r="A230" s="106" t="s">
        <v>558</v>
      </c>
      <c r="B230" s="107" t="s">
        <v>541</v>
      </c>
      <c r="C230" s="106" t="s">
        <v>394</v>
      </c>
      <c r="D230" s="108">
        <v>297.84999999999997</v>
      </c>
    </row>
    <row r="231" spans="1:4" ht="12.95" customHeight="1">
      <c r="A231" s="106" t="s">
        <v>559</v>
      </c>
      <c r="B231" s="107" t="s">
        <v>542</v>
      </c>
      <c r="C231" s="106" t="s">
        <v>395</v>
      </c>
      <c r="D231" s="108">
        <v>182.85</v>
      </c>
    </row>
    <row r="232" spans="1:4" ht="12.95" customHeight="1">
      <c r="A232" s="106" t="s">
        <v>560</v>
      </c>
      <c r="B232" s="107" t="s">
        <v>543</v>
      </c>
      <c r="C232" s="106" t="s">
        <v>396</v>
      </c>
      <c r="D232" s="108">
        <v>90.85</v>
      </c>
    </row>
    <row r="233" spans="1:4" ht="12.95" customHeight="1">
      <c r="A233" s="106" t="s">
        <v>561</v>
      </c>
      <c r="B233" s="107" t="s">
        <v>544</v>
      </c>
      <c r="C233" s="106" t="s">
        <v>397</v>
      </c>
      <c r="D233" s="108">
        <v>102.35</v>
      </c>
    </row>
    <row r="234" spans="1:4" ht="12.95" customHeight="1">
      <c r="A234" s="106" t="s">
        <v>562</v>
      </c>
      <c r="B234" s="107" t="s">
        <v>545</v>
      </c>
      <c r="C234" s="106" t="s">
        <v>398</v>
      </c>
      <c r="D234" s="108">
        <v>113.85</v>
      </c>
    </row>
    <row r="235" spans="1:4" ht="12.95" customHeight="1">
      <c r="A235" s="115"/>
      <c r="B235" s="115"/>
      <c r="C235" s="115"/>
      <c r="D235" s="116"/>
    </row>
    <row r="236" spans="1:4" ht="12.95" customHeight="1">
      <c r="A236" s="105" t="s">
        <v>416</v>
      </c>
      <c r="B236" s="115"/>
      <c r="C236" s="115"/>
      <c r="D236" s="116"/>
    </row>
    <row r="237" spans="1:4" s="30" customFormat="1">
      <c r="A237" s="106" t="s">
        <v>685</v>
      </c>
      <c r="B237" s="107" t="s">
        <v>566</v>
      </c>
      <c r="C237" s="106" t="s">
        <v>415</v>
      </c>
      <c r="D237" s="108">
        <v>460.90000000000003</v>
      </c>
    </row>
    <row r="238" spans="1:4" s="30" customFormat="1">
      <c r="A238" s="106" t="s">
        <v>687</v>
      </c>
      <c r="B238" s="107" t="s">
        <v>567</v>
      </c>
      <c r="C238" s="106" t="s">
        <v>410</v>
      </c>
      <c r="D238" s="108">
        <v>548.90000000000009</v>
      </c>
    </row>
    <row r="239" spans="1:4" s="30" customFormat="1">
      <c r="A239" s="106" t="s">
        <v>686</v>
      </c>
      <c r="B239" s="107" t="s">
        <v>568</v>
      </c>
      <c r="C239" s="106" t="s">
        <v>563</v>
      </c>
      <c r="D239" s="108">
        <v>856.90000000000009</v>
      </c>
    </row>
    <row r="240" spans="1:4" s="30" customFormat="1">
      <c r="A240" s="106" t="s">
        <v>688</v>
      </c>
      <c r="B240" s="107" t="s">
        <v>569</v>
      </c>
      <c r="C240" s="106" t="s">
        <v>564</v>
      </c>
      <c r="D240" s="108">
        <v>1098.9000000000001</v>
      </c>
    </row>
    <row r="241" spans="1:4" s="30" customFormat="1">
      <c r="A241" s="106" t="s">
        <v>689</v>
      </c>
      <c r="B241" s="107" t="s">
        <v>570</v>
      </c>
      <c r="C241" s="106" t="s">
        <v>565</v>
      </c>
      <c r="D241" s="108">
        <v>1318.9</v>
      </c>
    </row>
    <row r="242" spans="1:4" s="30" customFormat="1">
      <c r="B242" s="31"/>
      <c r="D242" s="32"/>
    </row>
    <row r="243" spans="1:4" s="30" customFormat="1">
      <c r="B243" s="31"/>
      <c r="D243" s="32"/>
    </row>
    <row r="244" spans="1:4" s="30" customFormat="1">
      <c r="B244" s="31"/>
      <c r="D244" s="32"/>
    </row>
    <row r="245" spans="1:4" s="30" customFormat="1">
      <c r="D245" s="32"/>
    </row>
    <row r="246" spans="1:4" s="30" customFormat="1">
      <c r="D246" s="33"/>
    </row>
    <row r="247" spans="1:4" s="30" customFormat="1">
      <c r="D247" s="33"/>
    </row>
    <row r="248" spans="1:4" s="30" customFormat="1">
      <c r="D248" s="33"/>
    </row>
    <row r="249" spans="1:4" s="30" customFormat="1">
      <c r="D249" s="33"/>
    </row>
    <row r="250" spans="1:4" s="30" customFormat="1">
      <c r="D250" s="33"/>
    </row>
    <row r="251" spans="1:4" s="30" customFormat="1">
      <c r="D251" s="33"/>
    </row>
    <row r="252" spans="1:4" s="30" customFormat="1">
      <c r="D252" s="33"/>
    </row>
    <row r="253" spans="1:4" s="30" customFormat="1">
      <c r="D253" s="33"/>
    </row>
    <row r="254" spans="1:4" s="30" customFormat="1">
      <c r="D254" s="33"/>
    </row>
    <row r="255" spans="1:4" s="30" customFormat="1">
      <c r="D255" s="33"/>
    </row>
    <row r="256" spans="1:4" s="30" customFormat="1">
      <c r="D256" s="33"/>
    </row>
    <row r="257" spans="4:4" s="30" customFormat="1">
      <c r="D257" s="33"/>
    </row>
    <row r="258" spans="4:4" s="30" customFormat="1">
      <c r="D258" s="33"/>
    </row>
    <row r="259" spans="4:4" s="30" customFormat="1">
      <c r="D259" s="33"/>
    </row>
    <row r="260" spans="4:4" s="30" customFormat="1">
      <c r="D260" s="33"/>
    </row>
    <row r="261" spans="4:4" s="30" customFormat="1">
      <c r="D261" s="33"/>
    </row>
    <row r="262" spans="4:4" s="30" customFormat="1">
      <c r="D262" s="33"/>
    </row>
    <row r="263" spans="4:4" s="30" customFormat="1">
      <c r="D263" s="33"/>
    </row>
    <row r="264" spans="4:4" s="30" customFormat="1">
      <c r="D264" s="33"/>
    </row>
    <row r="265" spans="4:4" s="30" customFormat="1">
      <c r="D265" s="33"/>
    </row>
    <row r="266" spans="4:4" s="30" customFormat="1">
      <c r="D266" s="33"/>
    </row>
    <row r="267" spans="4:4" s="30" customFormat="1">
      <c r="D267" s="33"/>
    </row>
    <row r="268" spans="4:4" s="30" customFormat="1">
      <c r="D268" s="33"/>
    </row>
    <row r="269" spans="4:4" s="30" customFormat="1">
      <c r="D269" s="33"/>
    </row>
    <row r="270" spans="4:4" s="30" customFormat="1">
      <c r="D270" s="33"/>
    </row>
    <row r="271" spans="4:4" s="30" customFormat="1">
      <c r="D271" s="33"/>
    </row>
    <row r="272" spans="4:4" s="30" customFormat="1">
      <c r="D272" s="33"/>
    </row>
    <row r="273" spans="4:4" s="30" customFormat="1">
      <c r="D273" s="33"/>
    </row>
    <row r="274" spans="4:4" s="30" customFormat="1">
      <c r="D274" s="33"/>
    </row>
    <row r="275" spans="4:4" s="30" customFormat="1">
      <c r="D275" s="33"/>
    </row>
    <row r="276" spans="4:4" s="30" customFormat="1">
      <c r="D276" s="33"/>
    </row>
    <row r="277" spans="4:4" s="30" customFormat="1">
      <c r="D277" s="33"/>
    </row>
    <row r="278" spans="4:4" s="30" customFormat="1">
      <c r="D278" s="33"/>
    </row>
    <row r="279" spans="4:4" s="30" customFormat="1">
      <c r="D279" s="33"/>
    </row>
    <row r="280" spans="4:4" s="30" customFormat="1">
      <c r="D280" s="33"/>
    </row>
    <row r="281" spans="4:4" s="30" customFormat="1">
      <c r="D281" s="33"/>
    </row>
    <row r="282" spans="4:4" s="30" customFormat="1">
      <c r="D282" s="33"/>
    </row>
    <row r="283" spans="4:4" s="30" customFormat="1">
      <c r="D283" s="33"/>
    </row>
    <row r="284" spans="4:4" s="30" customFormat="1">
      <c r="D284" s="33"/>
    </row>
    <row r="285" spans="4:4" s="30" customFormat="1">
      <c r="D285" s="33"/>
    </row>
    <row r="286" spans="4:4" s="30" customFormat="1">
      <c r="D286" s="33"/>
    </row>
    <row r="287" spans="4:4" s="30" customFormat="1">
      <c r="D287" s="33"/>
    </row>
    <row r="288" spans="4:4" s="30" customFormat="1">
      <c r="D288" s="33"/>
    </row>
    <row r="289" spans="4:4" s="30" customFormat="1">
      <c r="D289" s="33"/>
    </row>
    <row r="290" spans="4:4" s="30" customFormat="1">
      <c r="D290" s="33"/>
    </row>
    <row r="291" spans="4:4" s="30" customFormat="1">
      <c r="D291" s="33"/>
    </row>
    <row r="292" spans="4:4" s="30" customFormat="1">
      <c r="D292" s="33"/>
    </row>
    <row r="293" spans="4:4" s="30" customFormat="1">
      <c r="D293" s="33"/>
    </row>
    <row r="294" spans="4:4" s="30" customFormat="1">
      <c r="D294" s="33"/>
    </row>
    <row r="295" spans="4:4" s="30" customFormat="1">
      <c r="D295" s="33"/>
    </row>
    <row r="296" spans="4:4" s="30" customFormat="1">
      <c r="D296" s="33"/>
    </row>
    <row r="297" spans="4:4" s="30" customFormat="1">
      <c r="D297" s="33"/>
    </row>
    <row r="298" spans="4:4" s="30" customFormat="1">
      <c r="D298" s="33"/>
    </row>
    <row r="299" spans="4:4" s="30" customFormat="1">
      <c r="D299" s="33"/>
    </row>
    <row r="300" spans="4:4" s="30" customFormat="1">
      <c r="D300" s="33"/>
    </row>
    <row r="301" spans="4:4" s="30" customFormat="1">
      <c r="D301" s="33"/>
    </row>
    <row r="302" spans="4:4" s="30" customFormat="1">
      <c r="D302" s="33"/>
    </row>
    <row r="303" spans="4:4" s="30" customFormat="1">
      <c r="D303" s="33"/>
    </row>
    <row r="304" spans="4:4" s="30" customFormat="1">
      <c r="D304" s="33"/>
    </row>
    <row r="305" spans="4:4" s="30" customFormat="1">
      <c r="D305" s="33"/>
    </row>
    <row r="306" spans="4:4" s="30" customFormat="1">
      <c r="D306" s="33"/>
    </row>
    <row r="307" spans="4:4" s="30" customFormat="1">
      <c r="D307" s="33"/>
    </row>
    <row r="308" spans="4:4" s="30" customFormat="1">
      <c r="D308" s="33"/>
    </row>
    <row r="309" spans="4:4" s="30" customFormat="1">
      <c r="D309" s="33"/>
    </row>
    <row r="310" spans="4:4" s="30" customFormat="1">
      <c r="D310" s="33"/>
    </row>
    <row r="311" spans="4:4" s="30" customFormat="1">
      <c r="D311" s="33"/>
    </row>
    <row r="312" spans="4:4" s="30" customFormat="1">
      <c r="D312" s="33"/>
    </row>
    <row r="313" spans="4:4" s="30" customFormat="1">
      <c r="D313" s="33"/>
    </row>
    <row r="314" spans="4:4" s="30" customFormat="1">
      <c r="D314" s="33"/>
    </row>
    <row r="315" spans="4:4" s="30" customFormat="1">
      <c r="D315" s="33"/>
    </row>
    <row r="316" spans="4:4" s="30" customFormat="1">
      <c r="D316" s="33"/>
    </row>
    <row r="317" spans="4:4" s="30" customFormat="1">
      <c r="D317" s="33"/>
    </row>
    <row r="318" spans="4:4" s="30" customFormat="1">
      <c r="D318" s="33"/>
    </row>
    <row r="319" spans="4:4" s="30" customFormat="1">
      <c r="D319" s="33"/>
    </row>
    <row r="320" spans="4:4" s="30" customFormat="1">
      <c r="D320" s="33"/>
    </row>
    <row r="321" spans="4:4" s="30" customFormat="1">
      <c r="D321" s="33"/>
    </row>
    <row r="322" spans="4:4" s="30" customFormat="1">
      <c r="D322" s="33"/>
    </row>
    <row r="323" spans="4:4" s="30" customFormat="1">
      <c r="D323" s="33"/>
    </row>
    <row r="324" spans="4:4" s="30" customFormat="1">
      <c r="D324" s="33"/>
    </row>
    <row r="325" spans="4:4" s="30" customFormat="1">
      <c r="D325" s="33"/>
    </row>
    <row r="326" spans="4:4" s="30" customFormat="1">
      <c r="D326" s="33"/>
    </row>
    <row r="327" spans="4:4" s="30" customFormat="1">
      <c r="D327" s="33"/>
    </row>
    <row r="328" spans="4:4" s="30" customFormat="1">
      <c r="D328" s="33"/>
    </row>
    <row r="329" spans="4:4" s="30" customFormat="1">
      <c r="D329" s="33"/>
    </row>
    <row r="330" spans="4:4" s="30" customFormat="1">
      <c r="D330" s="33"/>
    </row>
    <row r="331" spans="4:4" s="30" customFormat="1">
      <c r="D331" s="33"/>
    </row>
    <row r="332" spans="4:4" s="30" customFormat="1">
      <c r="D332" s="33"/>
    </row>
    <row r="333" spans="4:4" s="30" customFormat="1">
      <c r="D333" s="33"/>
    </row>
    <row r="334" spans="4:4" s="30" customFormat="1">
      <c r="D334" s="33"/>
    </row>
    <row r="335" spans="4:4" s="30" customFormat="1">
      <c r="D335" s="33"/>
    </row>
    <row r="336" spans="4:4" s="30" customFormat="1">
      <c r="D336" s="33"/>
    </row>
    <row r="337" spans="4:4" s="30" customFormat="1">
      <c r="D337" s="33"/>
    </row>
    <row r="338" spans="4:4" s="30" customFormat="1">
      <c r="D338" s="33"/>
    </row>
    <row r="339" spans="4:4" s="30" customFormat="1">
      <c r="D339" s="33"/>
    </row>
    <row r="340" spans="4:4" s="30" customFormat="1">
      <c r="D340" s="33"/>
    </row>
    <row r="341" spans="4:4" s="30" customFormat="1">
      <c r="D341" s="33"/>
    </row>
    <row r="342" spans="4:4" s="30" customFormat="1">
      <c r="D342" s="33"/>
    </row>
    <row r="343" spans="4:4" s="30" customFormat="1">
      <c r="D343" s="33"/>
    </row>
    <row r="344" spans="4:4" s="30" customFormat="1">
      <c r="D344" s="33"/>
    </row>
    <row r="345" spans="4:4" s="30" customFormat="1">
      <c r="D345" s="33"/>
    </row>
    <row r="346" spans="4:4" s="30" customFormat="1">
      <c r="D346" s="33"/>
    </row>
    <row r="347" spans="4:4" s="30" customFormat="1">
      <c r="D347" s="33"/>
    </row>
    <row r="348" spans="4:4" s="30" customFormat="1">
      <c r="D348" s="33"/>
    </row>
    <row r="349" spans="4:4" s="30" customFormat="1">
      <c r="D349" s="33"/>
    </row>
    <row r="350" spans="4:4" s="30" customFormat="1">
      <c r="D350" s="33"/>
    </row>
    <row r="351" spans="4:4" s="30" customFormat="1">
      <c r="D351" s="33"/>
    </row>
    <row r="352" spans="4:4" s="30" customFormat="1">
      <c r="D352" s="33"/>
    </row>
    <row r="353" spans="4:4" s="30" customFormat="1">
      <c r="D353" s="33"/>
    </row>
    <row r="354" spans="4:4" s="30" customFormat="1">
      <c r="D354" s="33"/>
    </row>
    <row r="355" spans="4:4" s="30" customFormat="1">
      <c r="D355" s="33"/>
    </row>
    <row r="356" spans="4:4" s="30" customFormat="1">
      <c r="D356" s="33"/>
    </row>
    <row r="357" spans="4:4" s="30" customFormat="1">
      <c r="D357" s="33"/>
    </row>
    <row r="358" spans="4:4" s="30" customFormat="1">
      <c r="D358" s="33"/>
    </row>
    <row r="359" spans="4:4" s="30" customFormat="1">
      <c r="D359" s="33"/>
    </row>
    <row r="360" spans="4:4" s="30" customFormat="1">
      <c r="D360" s="33"/>
    </row>
    <row r="361" spans="4:4" s="30" customFormat="1">
      <c r="D361" s="33"/>
    </row>
    <row r="362" spans="4:4" s="30" customFormat="1">
      <c r="D362" s="33"/>
    </row>
    <row r="363" spans="4:4" s="30" customFormat="1">
      <c r="D363" s="33"/>
    </row>
    <row r="364" spans="4:4" s="30" customFormat="1">
      <c r="D364" s="33"/>
    </row>
    <row r="365" spans="4:4" s="30" customFormat="1">
      <c r="D365" s="33"/>
    </row>
    <row r="366" spans="4:4" s="30" customFormat="1">
      <c r="D366" s="33"/>
    </row>
    <row r="367" spans="4:4" s="30" customFormat="1">
      <c r="D367" s="33"/>
    </row>
    <row r="368" spans="4:4" s="30" customFormat="1">
      <c r="D368" s="33"/>
    </row>
    <row r="369" spans="4:4" s="30" customFormat="1">
      <c r="D369" s="33"/>
    </row>
    <row r="370" spans="4:4" s="30" customFormat="1">
      <c r="D370" s="33"/>
    </row>
    <row r="371" spans="4:4" s="30" customFormat="1">
      <c r="D371" s="33"/>
    </row>
    <row r="372" spans="4:4" s="30" customFormat="1">
      <c r="D372" s="33"/>
    </row>
    <row r="373" spans="4:4" s="30" customFormat="1">
      <c r="D373" s="33"/>
    </row>
    <row r="374" spans="4:4" s="30" customFormat="1">
      <c r="D374" s="33"/>
    </row>
    <row r="375" spans="4:4" s="30" customFormat="1">
      <c r="D375" s="33"/>
    </row>
    <row r="376" spans="4:4" s="30" customFormat="1">
      <c r="D376" s="33"/>
    </row>
    <row r="377" spans="4:4" s="30" customFormat="1">
      <c r="D377" s="33"/>
    </row>
    <row r="378" spans="4:4" s="30" customFormat="1">
      <c r="D378" s="33"/>
    </row>
    <row r="379" spans="4:4" s="30" customFormat="1">
      <c r="D379" s="33"/>
    </row>
    <row r="380" spans="4:4" s="30" customFormat="1">
      <c r="D380" s="33"/>
    </row>
    <row r="381" spans="4:4" s="30" customFormat="1">
      <c r="D381" s="33"/>
    </row>
    <row r="382" spans="4:4" s="30" customFormat="1">
      <c r="D382" s="33"/>
    </row>
    <row r="383" spans="4:4" s="30" customFormat="1">
      <c r="D383" s="33"/>
    </row>
    <row r="384" spans="4:4" s="30" customFormat="1">
      <c r="D384" s="33"/>
    </row>
    <row r="385" spans="4:4" s="30" customFormat="1">
      <c r="D385" s="33"/>
    </row>
    <row r="386" spans="4:4" s="30" customFormat="1">
      <c r="D386" s="33"/>
    </row>
    <row r="387" spans="4:4" s="30" customFormat="1">
      <c r="D387" s="33"/>
    </row>
    <row r="388" spans="4:4" s="30" customFormat="1">
      <c r="D388" s="33"/>
    </row>
    <row r="389" spans="4:4" s="30" customFormat="1">
      <c r="D389" s="33"/>
    </row>
    <row r="390" spans="4:4" s="30" customFormat="1">
      <c r="D390" s="33"/>
    </row>
    <row r="391" spans="4:4" s="30" customFormat="1">
      <c r="D391" s="33"/>
    </row>
    <row r="392" spans="4:4" s="30" customFormat="1">
      <c r="D392" s="33"/>
    </row>
    <row r="393" spans="4:4" s="30" customFormat="1">
      <c r="D393" s="33"/>
    </row>
    <row r="394" spans="4:4" s="30" customFormat="1">
      <c r="D394" s="33"/>
    </row>
    <row r="395" spans="4:4" s="30" customFormat="1">
      <c r="D395" s="33"/>
    </row>
    <row r="396" spans="4:4" s="30" customFormat="1">
      <c r="D396" s="33"/>
    </row>
    <row r="397" spans="4:4" s="30" customFormat="1">
      <c r="D397" s="33"/>
    </row>
    <row r="398" spans="4:4" s="30" customFormat="1">
      <c r="D398" s="33"/>
    </row>
    <row r="399" spans="4:4" s="30" customFormat="1">
      <c r="D399" s="33"/>
    </row>
    <row r="400" spans="4:4" s="30" customFormat="1">
      <c r="D400" s="33"/>
    </row>
    <row r="401" spans="4:4" s="30" customFormat="1">
      <c r="D401" s="33"/>
    </row>
    <row r="402" spans="4:4" s="30" customFormat="1">
      <c r="D402" s="33"/>
    </row>
    <row r="403" spans="4:4" s="30" customFormat="1">
      <c r="D403" s="33"/>
    </row>
    <row r="404" spans="4:4" s="30" customFormat="1">
      <c r="D404" s="33"/>
    </row>
    <row r="405" spans="4:4" s="30" customFormat="1">
      <c r="D405" s="33"/>
    </row>
    <row r="406" spans="4:4" s="30" customFormat="1">
      <c r="D406" s="33"/>
    </row>
    <row r="407" spans="4:4" s="30" customFormat="1">
      <c r="D407" s="33"/>
    </row>
    <row r="408" spans="4:4" s="30" customFormat="1">
      <c r="D408" s="33"/>
    </row>
    <row r="409" spans="4:4" s="30" customFormat="1">
      <c r="D409" s="33"/>
    </row>
    <row r="410" spans="4:4" s="30" customFormat="1">
      <c r="D410" s="33"/>
    </row>
    <row r="411" spans="4:4" s="30" customFormat="1">
      <c r="D411" s="33"/>
    </row>
    <row r="412" spans="4:4" s="30" customFormat="1">
      <c r="D412" s="33"/>
    </row>
    <row r="413" spans="4:4" s="30" customFormat="1">
      <c r="D413" s="33"/>
    </row>
    <row r="414" spans="4:4" s="30" customFormat="1">
      <c r="D414" s="33"/>
    </row>
    <row r="415" spans="4:4" s="30" customFormat="1">
      <c r="D415" s="33"/>
    </row>
    <row r="416" spans="4:4" s="30" customFormat="1">
      <c r="D416" s="33"/>
    </row>
    <row r="417" spans="4:4" s="30" customFormat="1">
      <c r="D417" s="33"/>
    </row>
    <row r="418" spans="4:4" s="30" customFormat="1">
      <c r="D418" s="33"/>
    </row>
    <row r="419" spans="4:4" s="30" customFormat="1">
      <c r="D419" s="33"/>
    </row>
    <row r="420" spans="4:4" s="30" customFormat="1">
      <c r="D420" s="33"/>
    </row>
    <row r="421" spans="4:4" s="30" customFormat="1">
      <c r="D421" s="33"/>
    </row>
    <row r="422" spans="4:4" s="30" customFormat="1">
      <c r="D422" s="33"/>
    </row>
    <row r="423" spans="4:4" s="30" customFormat="1">
      <c r="D423" s="33"/>
    </row>
    <row r="424" spans="4:4" s="30" customFormat="1">
      <c r="D424" s="33"/>
    </row>
    <row r="425" spans="4:4" s="30" customFormat="1">
      <c r="D425" s="33"/>
    </row>
    <row r="426" spans="4:4" s="30" customFormat="1">
      <c r="D426" s="33"/>
    </row>
    <row r="427" spans="4:4" s="30" customFormat="1">
      <c r="D427" s="33"/>
    </row>
    <row r="428" spans="4:4" s="30" customFormat="1">
      <c r="D428" s="33"/>
    </row>
    <row r="429" spans="4:4" s="30" customFormat="1">
      <c r="D429" s="33"/>
    </row>
    <row r="430" spans="4:4" s="30" customFormat="1">
      <c r="D430" s="33"/>
    </row>
    <row r="431" spans="4:4" s="30" customFormat="1">
      <c r="D431" s="33"/>
    </row>
    <row r="432" spans="4:4" s="30" customFormat="1">
      <c r="D432" s="33"/>
    </row>
    <row r="433" spans="4:4" s="30" customFormat="1">
      <c r="D433" s="33"/>
    </row>
    <row r="434" spans="4:4" s="30" customFormat="1">
      <c r="D434" s="33"/>
    </row>
    <row r="435" spans="4:4" s="30" customFormat="1">
      <c r="D435" s="33"/>
    </row>
    <row r="436" spans="4:4" s="30" customFormat="1">
      <c r="D436" s="33"/>
    </row>
    <row r="437" spans="4:4" s="30" customFormat="1">
      <c r="D437" s="33"/>
    </row>
    <row r="438" spans="4:4" s="30" customFormat="1">
      <c r="D438" s="33"/>
    </row>
    <row r="439" spans="4:4" s="30" customFormat="1">
      <c r="D439" s="33"/>
    </row>
    <row r="440" spans="4:4" s="30" customFormat="1">
      <c r="D440" s="33"/>
    </row>
    <row r="441" spans="4:4" s="30" customFormat="1">
      <c r="D441" s="33"/>
    </row>
    <row r="442" spans="4:4" s="30" customFormat="1">
      <c r="D442" s="33"/>
    </row>
    <row r="443" spans="4:4" s="30" customFormat="1">
      <c r="D443" s="33"/>
    </row>
    <row r="444" spans="4:4" s="30" customFormat="1">
      <c r="D444" s="33"/>
    </row>
    <row r="445" spans="4:4" s="30" customFormat="1">
      <c r="D445" s="33"/>
    </row>
    <row r="446" spans="4:4" s="30" customFormat="1">
      <c r="D446" s="33"/>
    </row>
    <row r="447" spans="4:4" s="30" customFormat="1">
      <c r="D447" s="33"/>
    </row>
    <row r="448" spans="4:4" s="30" customFormat="1">
      <c r="D448" s="33"/>
    </row>
    <row r="449" spans="4:4" s="30" customFormat="1">
      <c r="D449" s="33"/>
    </row>
    <row r="450" spans="4:4" s="30" customFormat="1">
      <c r="D450" s="33"/>
    </row>
    <row r="451" spans="4:4" s="30" customFormat="1">
      <c r="D451" s="33"/>
    </row>
    <row r="452" spans="4:4" s="30" customFormat="1">
      <c r="D452" s="33"/>
    </row>
    <row r="453" spans="4:4" s="30" customFormat="1">
      <c r="D453" s="33"/>
    </row>
    <row r="454" spans="4:4" s="30" customFormat="1">
      <c r="D454" s="33"/>
    </row>
    <row r="455" spans="4:4" s="30" customFormat="1">
      <c r="D455" s="33"/>
    </row>
    <row r="456" spans="4:4" s="30" customFormat="1">
      <c r="D456" s="33"/>
    </row>
    <row r="457" spans="4:4" s="30" customFormat="1">
      <c r="D457" s="33"/>
    </row>
    <row r="458" spans="4:4" s="30" customFormat="1">
      <c r="D458" s="33"/>
    </row>
    <row r="459" spans="4:4" s="30" customFormat="1">
      <c r="D459" s="33"/>
    </row>
    <row r="460" spans="4:4" s="30" customFormat="1">
      <c r="D460" s="33"/>
    </row>
    <row r="461" spans="4:4" s="30" customFormat="1">
      <c r="D461" s="33"/>
    </row>
    <row r="462" spans="4:4" s="30" customFormat="1">
      <c r="D462" s="33"/>
    </row>
    <row r="463" spans="4:4" s="30" customFormat="1">
      <c r="D463" s="33"/>
    </row>
    <row r="464" spans="4:4" s="30" customFormat="1">
      <c r="D464" s="33"/>
    </row>
    <row r="465" spans="4:4" s="30" customFormat="1">
      <c r="D465" s="33"/>
    </row>
    <row r="466" spans="4:4" s="30" customFormat="1">
      <c r="D466" s="33"/>
    </row>
    <row r="467" spans="4:4" s="30" customFormat="1">
      <c r="D467" s="33"/>
    </row>
    <row r="468" spans="4:4" s="30" customFormat="1">
      <c r="D468" s="33"/>
    </row>
    <row r="469" spans="4:4" s="30" customFormat="1">
      <c r="D469" s="33"/>
    </row>
    <row r="470" spans="4:4" s="30" customFormat="1">
      <c r="D470" s="33"/>
    </row>
    <row r="471" spans="4:4" s="30" customFormat="1">
      <c r="D471" s="33"/>
    </row>
    <row r="472" spans="4:4" s="30" customFormat="1">
      <c r="D472" s="33"/>
    </row>
    <row r="473" spans="4:4" s="30" customFormat="1">
      <c r="D473" s="33"/>
    </row>
    <row r="474" spans="4:4" s="30" customFormat="1">
      <c r="D474" s="33"/>
    </row>
    <row r="475" spans="4:4" s="30" customFormat="1">
      <c r="D475" s="33"/>
    </row>
    <row r="476" spans="4:4" s="30" customFormat="1">
      <c r="D476" s="33"/>
    </row>
    <row r="477" spans="4:4" s="30" customFormat="1">
      <c r="D477" s="33"/>
    </row>
    <row r="478" spans="4:4" s="30" customFormat="1">
      <c r="D478" s="33"/>
    </row>
    <row r="479" spans="4:4" s="30" customFormat="1">
      <c r="D479" s="33"/>
    </row>
    <row r="480" spans="4:4" s="30" customFormat="1">
      <c r="D480" s="33"/>
    </row>
    <row r="481" spans="4:4" s="30" customFormat="1">
      <c r="D481" s="33"/>
    </row>
    <row r="482" spans="4:4" s="30" customFormat="1">
      <c r="D482" s="33"/>
    </row>
    <row r="483" spans="4:4" s="30" customFormat="1">
      <c r="D483" s="33"/>
    </row>
    <row r="484" spans="4:4" s="30" customFormat="1">
      <c r="D484" s="33"/>
    </row>
    <row r="485" spans="4:4" s="30" customFormat="1">
      <c r="D485" s="33"/>
    </row>
    <row r="486" spans="4:4" s="30" customFormat="1">
      <c r="D486" s="33"/>
    </row>
    <row r="487" spans="4:4" s="30" customFormat="1">
      <c r="D487" s="33"/>
    </row>
    <row r="488" spans="4:4" s="30" customFormat="1">
      <c r="D488" s="33"/>
    </row>
    <row r="489" spans="4:4" s="30" customFormat="1">
      <c r="D489" s="33"/>
    </row>
    <row r="490" spans="4:4" s="30" customFormat="1">
      <c r="D490" s="33"/>
    </row>
    <row r="491" spans="4:4" s="30" customFormat="1">
      <c r="D491" s="33"/>
    </row>
    <row r="492" spans="4:4" s="30" customFormat="1">
      <c r="D492" s="33"/>
    </row>
    <row r="493" spans="4:4" s="30" customFormat="1">
      <c r="D493" s="33"/>
    </row>
    <row r="494" spans="4:4" s="30" customFormat="1">
      <c r="D494" s="33"/>
    </row>
    <row r="495" spans="4:4" s="30" customFormat="1">
      <c r="D495" s="33"/>
    </row>
    <row r="496" spans="4:4" s="30" customFormat="1">
      <c r="D496" s="33"/>
    </row>
    <row r="497" spans="4:4" s="30" customFormat="1">
      <c r="D497" s="33"/>
    </row>
    <row r="498" spans="4:4" s="30" customFormat="1">
      <c r="D498" s="33"/>
    </row>
    <row r="499" spans="4:4" s="30" customFormat="1">
      <c r="D499" s="33"/>
    </row>
    <row r="500" spans="4:4" s="30" customFormat="1">
      <c r="D500" s="33"/>
    </row>
    <row r="501" spans="4:4" s="30" customFormat="1">
      <c r="D501" s="33"/>
    </row>
    <row r="502" spans="4:4" s="30" customFormat="1">
      <c r="D502" s="33"/>
    </row>
    <row r="503" spans="4:4" s="30" customFormat="1">
      <c r="D503" s="33"/>
    </row>
    <row r="504" spans="4:4" s="30" customFormat="1">
      <c r="D504" s="33"/>
    </row>
    <row r="505" spans="4:4" s="30" customFormat="1">
      <c r="D505" s="33"/>
    </row>
    <row r="506" spans="4:4" s="30" customFormat="1">
      <c r="D506" s="33"/>
    </row>
    <row r="507" spans="4:4" s="30" customFormat="1">
      <c r="D507" s="33"/>
    </row>
    <row r="508" spans="4:4" s="30" customFormat="1">
      <c r="D508" s="33"/>
    </row>
    <row r="509" spans="4:4" s="30" customFormat="1">
      <c r="D509" s="33"/>
    </row>
    <row r="510" spans="4:4" s="30" customFormat="1">
      <c r="D510" s="33"/>
    </row>
    <row r="511" spans="4:4" s="30" customFormat="1">
      <c r="D511" s="33"/>
    </row>
    <row r="512" spans="4:4" s="30" customFormat="1">
      <c r="D512" s="33"/>
    </row>
    <row r="513" spans="4:4" s="30" customFormat="1">
      <c r="D513" s="33"/>
    </row>
    <row r="514" spans="4:4" s="30" customFormat="1">
      <c r="D514" s="33"/>
    </row>
    <row r="515" spans="4:4" s="30" customFormat="1">
      <c r="D515" s="33"/>
    </row>
    <row r="516" spans="4:4" s="30" customFormat="1">
      <c r="D516" s="33"/>
    </row>
    <row r="517" spans="4:4" s="30" customFormat="1">
      <c r="D517" s="33"/>
    </row>
    <row r="518" spans="4:4" s="30" customFormat="1">
      <c r="D518" s="33"/>
    </row>
    <row r="519" spans="4:4" s="30" customFormat="1">
      <c r="D519" s="33"/>
    </row>
    <row r="520" spans="4:4" s="30" customFormat="1">
      <c r="D520" s="33"/>
    </row>
    <row r="521" spans="4:4" s="30" customFormat="1">
      <c r="D521" s="33"/>
    </row>
    <row r="522" spans="4:4" s="30" customFormat="1">
      <c r="D522" s="33"/>
    </row>
    <row r="523" spans="4:4" s="30" customFormat="1">
      <c r="D523" s="33"/>
    </row>
    <row r="524" spans="4:4" s="30" customFormat="1">
      <c r="D524" s="33"/>
    </row>
    <row r="525" spans="4:4" s="30" customFormat="1">
      <c r="D525" s="33"/>
    </row>
    <row r="526" spans="4:4" s="30" customFormat="1">
      <c r="D526" s="33"/>
    </row>
    <row r="527" spans="4:4" s="30" customFormat="1">
      <c r="D527" s="33"/>
    </row>
    <row r="528" spans="4:4" s="30" customFormat="1">
      <c r="D528" s="33"/>
    </row>
    <row r="529" spans="4:4" s="30" customFormat="1">
      <c r="D529" s="33"/>
    </row>
    <row r="530" spans="4:4" s="30" customFormat="1">
      <c r="D530" s="33"/>
    </row>
    <row r="531" spans="4:4" s="30" customFormat="1">
      <c r="D531" s="33"/>
    </row>
    <row r="532" spans="4:4" s="30" customFormat="1">
      <c r="D532" s="33"/>
    </row>
    <row r="533" spans="4:4" s="30" customFormat="1">
      <c r="D533" s="33"/>
    </row>
    <row r="534" spans="4:4" s="30" customFormat="1">
      <c r="D534" s="33"/>
    </row>
    <row r="535" spans="4:4" s="30" customFormat="1">
      <c r="D535" s="33"/>
    </row>
    <row r="536" spans="4:4" s="30" customFormat="1">
      <c r="D536" s="33"/>
    </row>
    <row r="537" spans="4:4" s="30" customFormat="1">
      <c r="D537" s="33"/>
    </row>
    <row r="538" spans="4:4" s="30" customFormat="1">
      <c r="D538" s="33"/>
    </row>
    <row r="539" spans="4:4" s="30" customFormat="1">
      <c r="D539" s="33"/>
    </row>
    <row r="540" spans="4:4" s="30" customFormat="1">
      <c r="D540" s="33"/>
    </row>
    <row r="541" spans="4:4" s="30" customFormat="1">
      <c r="D541" s="33"/>
    </row>
    <row r="542" spans="4:4" s="30" customFormat="1">
      <c r="D542" s="33"/>
    </row>
    <row r="543" spans="4:4" s="30" customFormat="1">
      <c r="D543" s="33"/>
    </row>
    <row r="544" spans="4:4" s="30" customFormat="1">
      <c r="D544" s="33"/>
    </row>
    <row r="545" spans="4:4" s="30" customFormat="1">
      <c r="D545" s="33"/>
    </row>
    <row r="546" spans="4:4" s="30" customFormat="1">
      <c r="D546" s="33"/>
    </row>
    <row r="547" spans="4:4" s="30" customFormat="1">
      <c r="D547" s="33"/>
    </row>
    <row r="548" spans="4:4" s="30" customFormat="1">
      <c r="D548" s="33"/>
    </row>
    <row r="549" spans="4:4" s="30" customFormat="1">
      <c r="D549" s="33"/>
    </row>
    <row r="550" spans="4:4" s="30" customFormat="1">
      <c r="D550" s="33"/>
    </row>
    <row r="551" spans="4:4" s="30" customFormat="1">
      <c r="D551" s="33"/>
    </row>
    <row r="552" spans="4:4" s="30" customFormat="1">
      <c r="D552" s="33"/>
    </row>
    <row r="553" spans="4:4" s="30" customFormat="1">
      <c r="D553" s="33"/>
    </row>
    <row r="554" spans="4:4" s="30" customFormat="1">
      <c r="D554" s="33"/>
    </row>
    <row r="555" spans="4:4" s="30" customFormat="1">
      <c r="D555" s="33"/>
    </row>
    <row r="556" spans="4:4" s="30" customFormat="1">
      <c r="D556" s="33"/>
    </row>
    <row r="557" spans="4:4" s="30" customFormat="1">
      <c r="D557" s="33"/>
    </row>
    <row r="558" spans="4:4" s="30" customFormat="1">
      <c r="D558" s="33"/>
    </row>
    <row r="559" spans="4:4" s="30" customFormat="1">
      <c r="D559" s="33"/>
    </row>
    <row r="560" spans="4:4" s="30" customFormat="1">
      <c r="D560" s="33"/>
    </row>
    <row r="561" spans="4:4" s="30" customFormat="1">
      <c r="D561" s="33"/>
    </row>
    <row r="562" spans="4:4" s="30" customFormat="1">
      <c r="D562" s="33"/>
    </row>
    <row r="563" spans="4:4" s="30" customFormat="1">
      <c r="D563" s="33"/>
    </row>
    <row r="564" spans="4:4" s="30" customFormat="1">
      <c r="D564" s="33"/>
    </row>
    <row r="565" spans="4:4" s="30" customFormat="1">
      <c r="D565" s="33"/>
    </row>
    <row r="566" spans="4:4" s="30" customFormat="1">
      <c r="D566" s="33"/>
    </row>
    <row r="567" spans="4:4" s="30" customFormat="1">
      <c r="D567" s="33"/>
    </row>
    <row r="568" spans="4:4" s="30" customFormat="1">
      <c r="D568" s="33"/>
    </row>
    <row r="569" spans="4:4" s="30" customFormat="1">
      <c r="D569" s="33"/>
    </row>
    <row r="570" spans="4:4" s="30" customFormat="1">
      <c r="D570" s="33"/>
    </row>
    <row r="571" spans="4:4" s="30" customFormat="1">
      <c r="D571" s="33"/>
    </row>
    <row r="572" spans="4:4" s="30" customFormat="1">
      <c r="D572" s="33"/>
    </row>
    <row r="573" spans="4:4" s="30" customFormat="1">
      <c r="D573" s="33"/>
    </row>
    <row r="574" spans="4:4" s="30" customFormat="1">
      <c r="D574" s="33"/>
    </row>
    <row r="575" spans="4:4" s="30" customFormat="1">
      <c r="D575" s="33"/>
    </row>
    <row r="576" spans="4:4" s="30" customFormat="1">
      <c r="D576" s="33"/>
    </row>
    <row r="577" spans="4:4" s="30" customFormat="1">
      <c r="D577" s="33"/>
    </row>
    <row r="578" spans="4:4" s="30" customFormat="1">
      <c r="D578" s="33"/>
    </row>
    <row r="579" spans="4:4" s="30" customFormat="1">
      <c r="D579" s="33"/>
    </row>
    <row r="580" spans="4:4" s="30" customFormat="1">
      <c r="D580" s="33"/>
    </row>
    <row r="581" spans="4:4" s="30" customFormat="1">
      <c r="D581" s="33"/>
    </row>
    <row r="582" spans="4:4" s="30" customFormat="1">
      <c r="D582" s="33"/>
    </row>
    <row r="583" spans="4:4" s="30" customFormat="1">
      <c r="D583" s="33"/>
    </row>
    <row r="584" spans="4:4" s="30" customFormat="1">
      <c r="D584" s="33"/>
    </row>
    <row r="585" spans="4:4" s="30" customFormat="1">
      <c r="D585" s="33"/>
    </row>
    <row r="586" spans="4:4" s="30" customFormat="1">
      <c r="D586" s="33"/>
    </row>
    <row r="587" spans="4:4" s="30" customFormat="1">
      <c r="D587" s="33"/>
    </row>
    <row r="588" spans="4:4" s="30" customFormat="1">
      <c r="D588" s="33"/>
    </row>
    <row r="589" spans="4:4" s="30" customFormat="1">
      <c r="D589" s="33"/>
    </row>
    <row r="590" spans="4:4" s="30" customFormat="1">
      <c r="D590" s="33"/>
    </row>
    <row r="591" spans="4:4" s="30" customFormat="1">
      <c r="D591" s="33"/>
    </row>
    <row r="592" spans="4:4" s="30" customFormat="1">
      <c r="D592" s="33"/>
    </row>
    <row r="593" spans="4:4" s="30" customFormat="1">
      <c r="D593" s="33"/>
    </row>
    <row r="594" spans="4:4" s="30" customFormat="1">
      <c r="D594" s="33"/>
    </row>
    <row r="595" spans="4:4" s="30" customFormat="1">
      <c r="D595" s="33"/>
    </row>
    <row r="596" spans="4:4" s="30" customFormat="1">
      <c r="D596" s="33"/>
    </row>
    <row r="597" spans="4:4" s="30" customFormat="1">
      <c r="D597" s="33"/>
    </row>
    <row r="598" spans="4:4" s="30" customFormat="1">
      <c r="D598" s="33"/>
    </row>
    <row r="599" spans="4:4" s="30" customFormat="1">
      <c r="D599" s="33"/>
    </row>
    <row r="600" spans="4:4" s="30" customFormat="1">
      <c r="D600" s="33"/>
    </row>
    <row r="601" spans="4:4" s="30" customFormat="1">
      <c r="D601" s="33"/>
    </row>
    <row r="602" spans="4:4" s="30" customFormat="1">
      <c r="D602" s="33"/>
    </row>
    <row r="603" spans="4:4" s="30" customFormat="1">
      <c r="D603" s="33"/>
    </row>
    <row r="604" spans="4:4" s="30" customFormat="1">
      <c r="D604" s="33"/>
    </row>
    <row r="605" spans="4:4" s="30" customFormat="1">
      <c r="D605" s="33"/>
    </row>
    <row r="606" spans="4:4" s="30" customFormat="1">
      <c r="D606" s="33"/>
    </row>
    <row r="607" spans="4:4" s="30" customFormat="1">
      <c r="D607" s="33"/>
    </row>
    <row r="608" spans="4:4" s="30" customFormat="1">
      <c r="D608" s="33"/>
    </row>
    <row r="609" spans="1:48" s="30" customFormat="1">
      <c r="D609" s="33"/>
    </row>
    <row r="610" spans="1:48" s="30" customFormat="1">
      <c r="D610" s="33"/>
    </row>
    <row r="611" spans="1:48" s="30" customFormat="1">
      <c r="D611" s="33"/>
    </row>
    <row r="612" spans="1:48" s="30" customFormat="1">
      <c r="D612" s="33"/>
    </row>
    <row r="613" spans="1:48" s="30" customFormat="1">
      <c r="D613" s="33"/>
    </row>
    <row r="614" spans="1:48" s="30" customFormat="1">
      <c r="D614" s="33"/>
    </row>
    <row r="615" spans="1:48" s="30" customFormat="1">
      <c r="D615" s="33"/>
    </row>
    <row r="616" spans="1:48" s="35" customFormat="1">
      <c r="A616" s="30"/>
      <c r="B616" s="30"/>
      <c r="C616" s="30"/>
      <c r="D616" s="33"/>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row>
    <row r="617" spans="1:48" s="35" customFormat="1">
      <c r="A617" s="30"/>
      <c r="B617" s="30"/>
      <c r="C617" s="30"/>
      <c r="D617" s="33"/>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row>
    <row r="618" spans="1:48" s="35" customFormat="1">
      <c r="A618" s="30"/>
      <c r="B618" s="30"/>
      <c r="C618" s="30"/>
      <c r="D618" s="33"/>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row>
    <row r="619" spans="1:48" s="35" customFormat="1">
      <c r="A619" s="30"/>
      <c r="B619" s="30"/>
      <c r="C619" s="30"/>
      <c r="D619" s="33"/>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row>
    <row r="620" spans="1:48" s="35" customFormat="1">
      <c r="A620" s="30"/>
      <c r="B620" s="30"/>
      <c r="C620" s="30"/>
      <c r="D620" s="33"/>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row>
    <row r="621" spans="1:48" s="35" customFormat="1">
      <c r="D621" s="34"/>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row>
    <row r="622" spans="1:48" s="35" customFormat="1">
      <c r="D622" s="34"/>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row>
    <row r="623" spans="1:48" s="35" customFormat="1">
      <c r="D623" s="34"/>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row>
    <row r="624" spans="1:48" s="35" customFormat="1">
      <c r="D624" s="34"/>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row>
    <row r="625" spans="4:48" s="35" customFormat="1">
      <c r="D625" s="34"/>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row>
    <row r="626" spans="4:48" s="35" customFormat="1">
      <c r="D626" s="34"/>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row>
    <row r="627" spans="4:48" s="35" customFormat="1">
      <c r="D627" s="34"/>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row>
    <row r="628" spans="4:48" s="35" customFormat="1">
      <c r="D628" s="34"/>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row>
    <row r="629" spans="4:48" s="35" customFormat="1">
      <c r="D629" s="34"/>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row>
    <row r="630" spans="4:48" s="35" customFormat="1">
      <c r="D630" s="34"/>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row>
    <row r="631" spans="4:48" s="35" customFormat="1">
      <c r="D631" s="34"/>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row>
    <row r="632" spans="4:48" s="35" customFormat="1">
      <c r="D632" s="34"/>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row>
    <row r="633" spans="4:48" s="35" customFormat="1">
      <c r="D633" s="34"/>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row>
    <row r="634" spans="4:48" s="35" customFormat="1">
      <c r="D634" s="34"/>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row>
    <row r="635" spans="4:48" s="35" customFormat="1">
      <c r="D635" s="34"/>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row>
    <row r="636" spans="4:48" s="35" customFormat="1">
      <c r="D636" s="34"/>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row>
    <row r="637" spans="4:48" s="35" customFormat="1">
      <c r="D637" s="34"/>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row>
    <row r="638" spans="4:48" s="35" customFormat="1">
      <c r="D638" s="34"/>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row>
    <row r="639" spans="4:48" s="35" customFormat="1">
      <c r="D639" s="34"/>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row>
    <row r="640" spans="4:48" s="35" customFormat="1">
      <c r="D640" s="34"/>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row>
    <row r="641" spans="4:48" s="35" customFormat="1">
      <c r="D641" s="34"/>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row>
    <row r="642" spans="4:48" s="35" customFormat="1">
      <c r="D642" s="34"/>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row>
    <row r="643" spans="4:48" s="35" customFormat="1">
      <c r="D643" s="34"/>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row>
    <row r="644" spans="4:48" s="35" customFormat="1">
      <c r="D644" s="34"/>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row>
    <row r="645" spans="4:48" s="35" customFormat="1">
      <c r="D645" s="34"/>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row>
    <row r="646" spans="4:48" s="35" customFormat="1">
      <c r="D646" s="34"/>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row>
    <row r="647" spans="4:48" s="35" customFormat="1">
      <c r="D647" s="34"/>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row>
    <row r="648" spans="4:48" s="35" customFormat="1">
      <c r="D648" s="34"/>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row>
    <row r="649" spans="4:48" s="35" customFormat="1">
      <c r="D649" s="34"/>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row>
    <row r="650" spans="4:48" s="35" customFormat="1">
      <c r="D650" s="34"/>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row>
    <row r="651" spans="4:48" s="35" customFormat="1">
      <c r="D651" s="34"/>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row>
    <row r="652" spans="4:48" s="35" customFormat="1">
      <c r="D652" s="34"/>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row>
    <row r="653" spans="4:48" s="35" customFormat="1">
      <c r="D653" s="34"/>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row>
    <row r="654" spans="4:48" s="35" customFormat="1">
      <c r="D654" s="34"/>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row>
    <row r="655" spans="4:48" s="35" customFormat="1">
      <c r="D655" s="34"/>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row>
    <row r="656" spans="4:48" s="35" customFormat="1">
      <c r="D656" s="34"/>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row>
    <row r="657" spans="4:48" s="35" customFormat="1">
      <c r="D657" s="34"/>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row>
    <row r="658" spans="4:48" s="35" customFormat="1">
      <c r="D658" s="34"/>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row>
    <row r="659" spans="4:48" s="35" customFormat="1">
      <c r="D659" s="34"/>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row>
    <row r="660" spans="4:48" s="35" customFormat="1">
      <c r="D660" s="34"/>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row>
    <row r="661" spans="4:48" s="35" customFormat="1">
      <c r="D661" s="34"/>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row>
    <row r="662" spans="4:48" s="35" customFormat="1">
      <c r="D662" s="34"/>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row>
    <row r="663" spans="4:48" s="35" customFormat="1">
      <c r="D663" s="34"/>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row>
    <row r="664" spans="4:48" s="35" customFormat="1">
      <c r="D664" s="34"/>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row>
    <row r="665" spans="4:48" s="35" customFormat="1">
      <c r="D665" s="34"/>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row>
    <row r="666" spans="4:48" s="35" customFormat="1">
      <c r="D666" s="34"/>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row>
    <row r="667" spans="4:48" s="35" customFormat="1">
      <c r="D667" s="34"/>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row>
    <row r="668" spans="4:48" s="35" customFormat="1">
      <c r="D668" s="34"/>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row>
    <row r="669" spans="4:48" s="35" customFormat="1">
      <c r="D669" s="34"/>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row>
    <row r="670" spans="4:48" s="35" customFormat="1">
      <c r="D670" s="34"/>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row>
    <row r="671" spans="4:48" s="35" customFormat="1">
      <c r="D671" s="34"/>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row>
    <row r="672" spans="4:48" s="35" customFormat="1">
      <c r="D672" s="34"/>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row>
    <row r="673" spans="4:48" s="35" customFormat="1">
      <c r="D673" s="34"/>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row>
    <row r="674" spans="4:48" s="35" customFormat="1">
      <c r="D674" s="34"/>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row>
    <row r="675" spans="4:48" s="35" customFormat="1">
      <c r="D675" s="34"/>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row>
    <row r="676" spans="4:48" s="35" customFormat="1">
      <c r="D676" s="34"/>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row>
    <row r="677" spans="4:48" s="35" customFormat="1">
      <c r="D677" s="34"/>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row>
    <row r="678" spans="4:48" s="35" customFormat="1">
      <c r="D678" s="34"/>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row>
    <row r="679" spans="4:48" s="35" customFormat="1">
      <c r="D679" s="34"/>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row>
    <row r="680" spans="4:48" s="35" customFormat="1">
      <c r="D680" s="34"/>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row>
    <row r="681" spans="4:48" s="35" customFormat="1">
      <c r="D681" s="34"/>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row>
    <row r="682" spans="4:48" s="35" customFormat="1">
      <c r="D682" s="34"/>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row>
    <row r="683" spans="4:48" s="35" customFormat="1">
      <c r="D683" s="34"/>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row>
    <row r="684" spans="4:48" s="35" customFormat="1">
      <c r="D684" s="34"/>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row>
    <row r="685" spans="4:48" s="35" customFormat="1">
      <c r="D685" s="34"/>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row>
    <row r="686" spans="4:48" s="35" customFormat="1">
      <c r="D686" s="34"/>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row>
    <row r="687" spans="4:48" s="35" customFormat="1">
      <c r="D687" s="34"/>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row>
    <row r="688" spans="4:48" s="35" customFormat="1">
      <c r="D688" s="34"/>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row>
    <row r="689" spans="4:48" s="35" customFormat="1">
      <c r="D689" s="34"/>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row>
    <row r="690" spans="4:48" s="35" customFormat="1">
      <c r="D690" s="34"/>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row>
    <row r="691" spans="4:48" s="35" customFormat="1">
      <c r="D691" s="34"/>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row>
    <row r="692" spans="4:48" s="35" customFormat="1">
      <c r="D692" s="34"/>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row>
    <row r="693" spans="4:48" s="35" customFormat="1">
      <c r="D693" s="34"/>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row>
    <row r="694" spans="4:48" s="35" customFormat="1">
      <c r="D694" s="34"/>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row>
    <row r="695" spans="4:48" s="35" customFormat="1">
      <c r="D695" s="34"/>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row>
    <row r="696" spans="4:48" s="35" customFormat="1">
      <c r="D696" s="34"/>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row>
    <row r="697" spans="4:48" s="35" customFormat="1">
      <c r="D697" s="34"/>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row>
    <row r="698" spans="4:48" s="35" customFormat="1">
      <c r="D698" s="34"/>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row>
    <row r="699" spans="4:48" s="35" customFormat="1">
      <c r="D699" s="34"/>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row>
    <row r="700" spans="4:48" s="35" customFormat="1">
      <c r="D700" s="34"/>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row>
    <row r="701" spans="4:48" s="35" customFormat="1">
      <c r="D701" s="34"/>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row>
    <row r="702" spans="4:48" s="35" customFormat="1">
      <c r="D702" s="34"/>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row>
    <row r="703" spans="4:48" s="35" customFormat="1">
      <c r="D703" s="34"/>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row>
    <row r="704" spans="4:48" s="35" customFormat="1">
      <c r="D704" s="34"/>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row>
    <row r="705" spans="4:48" s="35" customFormat="1">
      <c r="D705" s="34"/>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row>
    <row r="706" spans="4:48" s="35" customFormat="1">
      <c r="D706" s="34"/>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row>
    <row r="707" spans="4:48" s="35" customFormat="1">
      <c r="D707" s="34"/>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row>
    <row r="708" spans="4:48" s="35" customFormat="1">
      <c r="D708" s="34"/>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row>
    <row r="709" spans="4:48" s="35" customFormat="1">
      <c r="D709" s="34"/>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row>
    <row r="710" spans="4:48" s="35" customFormat="1">
      <c r="D710" s="34"/>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row>
    <row r="711" spans="4:48" s="35" customFormat="1">
      <c r="D711" s="34"/>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row>
    <row r="712" spans="4:48" s="35" customFormat="1">
      <c r="D712" s="34"/>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row>
    <row r="713" spans="4:48" s="35" customFormat="1">
      <c r="D713" s="34"/>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row>
    <row r="714" spans="4:48" s="35" customFormat="1">
      <c r="D714" s="34"/>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row>
    <row r="715" spans="4:48" s="35" customFormat="1">
      <c r="D715" s="34"/>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row>
    <row r="716" spans="4:48" s="35" customFormat="1">
      <c r="D716" s="34"/>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row>
    <row r="717" spans="4:48" s="35" customFormat="1">
      <c r="D717" s="34"/>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row>
    <row r="718" spans="4:48" s="35" customFormat="1">
      <c r="D718" s="34"/>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row>
    <row r="719" spans="4:48" s="35" customFormat="1">
      <c r="D719" s="34"/>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row>
    <row r="720" spans="4:48" s="35" customFormat="1">
      <c r="D720" s="34"/>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row>
    <row r="721" spans="4:48" s="35" customFormat="1">
      <c r="D721" s="34"/>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row>
    <row r="722" spans="4:48" s="35" customFormat="1">
      <c r="D722" s="34"/>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row>
    <row r="723" spans="4:48" s="35" customFormat="1">
      <c r="D723" s="34"/>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row>
    <row r="724" spans="4:48" s="35" customFormat="1">
      <c r="D724" s="34"/>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row>
    <row r="725" spans="4:48" s="35" customFormat="1">
      <c r="D725" s="34"/>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row>
    <row r="726" spans="4:48" s="35" customFormat="1">
      <c r="D726" s="34"/>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row>
    <row r="727" spans="4:48" s="35" customFormat="1">
      <c r="D727" s="34"/>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row>
    <row r="728" spans="4:48" s="35" customFormat="1">
      <c r="D728" s="34"/>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row>
    <row r="729" spans="4:48" s="35" customFormat="1">
      <c r="D729" s="34"/>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row>
    <row r="730" spans="4:48" s="35" customFormat="1">
      <c r="D730" s="34"/>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row>
    <row r="731" spans="4:48" s="35" customFormat="1">
      <c r="D731" s="34"/>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row>
    <row r="732" spans="4:48" s="35" customFormat="1">
      <c r="D732" s="34"/>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row>
    <row r="733" spans="4:48" s="35" customFormat="1">
      <c r="D733" s="34"/>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row>
    <row r="734" spans="4:48" s="35" customFormat="1">
      <c r="D734" s="34"/>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row>
    <row r="735" spans="4:48" s="35" customFormat="1">
      <c r="D735" s="34"/>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row>
    <row r="736" spans="4:48" s="35" customFormat="1">
      <c r="D736" s="34"/>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row>
    <row r="737" spans="1:49" s="35" customFormat="1">
      <c r="D737" s="34"/>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row>
    <row r="738" spans="1:49" s="35" customFormat="1">
      <c r="D738" s="34"/>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row>
    <row r="739" spans="1:49" s="35" customFormat="1">
      <c r="D739" s="34"/>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row>
    <row r="740" spans="1:49" s="35" customFormat="1">
      <c r="D740" s="34"/>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row>
    <row r="741" spans="1:49" s="35" customFormat="1">
      <c r="D741" s="34"/>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row>
    <row r="742" spans="1:49" s="35" customFormat="1">
      <c r="D742" s="34"/>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row>
    <row r="743" spans="1:49" s="35" customFormat="1">
      <c r="D743" s="34"/>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row>
    <row r="744" spans="1:49" s="35" customFormat="1">
      <c r="D744" s="34"/>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row>
    <row r="745" spans="1:49" s="35" customFormat="1">
      <c r="D745" s="34"/>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row>
    <row r="746" spans="1:49" s="35" customFormat="1">
      <c r="D746" s="34"/>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row>
    <row r="747" spans="1:49" s="35" customFormat="1">
      <c r="D747" s="34"/>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row>
    <row r="748" spans="1:49" s="35" customFormat="1">
      <c r="D748" s="34"/>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row>
    <row r="749" spans="1:49" s="29" customFormat="1">
      <c r="A749" s="35"/>
      <c r="B749" s="35"/>
      <c r="C749" s="35"/>
      <c r="D749" s="34"/>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42"/>
    </row>
    <row r="750" spans="1:49">
      <c r="A750" s="35"/>
      <c r="B750" s="35"/>
      <c r="C750" s="35"/>
      <c r="D750" s="34"/>
    </row>
    <row r="751" spans="1:49">
      <c r="A751" s="35"/>
      <c r="B751" s="35"/>
      <c r="C751" s="35"/>
      <c r="D751" s="34"/>
    </row>
    <row r="752" spans="1:49">
      <c r="A752" s="35"/>
      <c r="B752" s="35"/>
      <c r="C752" s="35"/>
      <c r="D752" s="34"/>
    </row>
    <row r="753" spans="1:4">
      <c r="A753" s="35"/>
      <c r="B753" s="35"/>
      <c r="C753" s="35"/>
      <c r="D753" s="34"/>
    </row>
    <row r="754" spans="1:4">
      <c r="A754" s="29"/>
      <c r="B754" s="29"/>
      <c r="C754" s="29"/>
      <c r="D754" s="37"/>
    </row>
    <row r="755" spans="1:4">
      <c r="D755" s="36"/>
    </row>
    <row r="756" spans="1:4">
      <c r="D756" s="36"/>
    </row>
    <row r="757" spans="1:4">
      <c r="D757" s="36"/>
    </row>
    <row r="758" spans="1:4">
      <c r="D758" s="36"/>
    </row>
    <row r="759" spans="1:4">
      <c r="D759" s="36"/>
    </row>
    <row r="760" spans="1:4">
      <c r="D760" s="36"/>
    </row>
    <row r="761" spans="1:4">
      <c r="D761" s="36"/>
    </row>
    <row r="762" spans="1:4">
      <c r="D762" s="36"/>
    </row>
    <row r="763" spans="1:4">
      <c r="D763" s="36"/>
    </row>
    <row r="764" spans="1:4">
      <c r="D764" s="36"/>
    </row>
    <row r="765" spans="1:4">
      <c r="D765" s="36"/>
    </row>
    <row r="766" spans="1:4">
      <c r="D766" s="36"/>
    </row>
    <row r="767" spans="1:4">
      <c r="D767" s="36"/>
    </row>
    <row r="768" spans="1:4">
      <c r="D768" s="36"/>
    </row>
    <row r="769" spans="4:4">
      <c r="D769" s="36"/>
    </row>
    <row r="770" spans="4:4">
      <c r="D770" s="36"/>
    </row>
    <row r="771" spans="4:4">
      <c r="D771" s="36"/>
    </row>
    <row r="772" spans="4:4">
      <c r="D772" s="36"/>
    </row>
    <row r="773" spans="4:4">
      <c r="D773" s="36"/>
    </row>
    <row r="774" spans="4:4">
      <c r="D774" s="36"/>
    </row>
    <row r="775" spans="4:4">
      <c r="D775" s="36"/>
    </row>
    <row r="776" spans="4:4">
      <c r="D776" s="36"/>
    </row>
    <row r="777" spans="4:4">
      <c r="D777" s="36"/>
    </row>
    <row r="778" spans="4:4">
      <c r="D778" s="36"/>
    </row>
    <row r="779" spans="4:4">
      <c r="D779" s="36"/>
    </row>
    <row r="780" spans="4:4">
      <c r="D780" s="36"/>
    </row>
    <row r="781" spans="4:4">
      <c r="D781" s="36"/>
    </row>
    <row r="782" spans="4:4">
      <c r="D782" s="36"/>
    </row>
    <row r="783" spans="4:4">
      <c r="D783" s="36"/>
    </row>
    <row r="784" spans="4:4">
      <c r="D784" s="36"/>
    </row>
    <row r="785" spans="4:4">
      <c r="D785" s="36"/>
    </row>
    <row r="786" spans="4:4">
      <c r="D786" s="36"/>
    </row>
    <row r="787" spans="4:4">
      <c r="D787" s="36"/>
    </row>
    <row r="788" spans="4:4">
      <c r="D788" s="36"/>
    </row>
    <row r="789" spans="4:4">
      <c r="D789" s="36"/>
    </row>
    <row r="790" spans="4:4">
      <c r="D790" s="36"/>
    </row>
    <row r="791" spans="4:4">
      <c r="D791" s="36"/>
    </row>
    <row r="792" spans="4:4">
      <c r="D792" s="36"/>
    </row>
    <row r="793" spans="4:4">
      <c r="D793" s="36"/>
    </row>
    <row r="794" spans="4:4">
      <c r="D794" s="36"/>
    </row>
    <row r="795" spans="4:4">
      <c r="D795" s="36"/>
    </row>
    <row r="796" spans="4:4">
      <c r="D796" s="36"/>
    </row>
    <row r="797" spans="4:4">
      <c r="D797" s="36"/>
    </row>
    <row r="798" spans="4:4">
      <c r="D798" s="36"/>
    </row>
    <row r="799" spans="4:4">
      <c r="D799" s="36"/>
    </row>
    <row r="800" spans="4:4">
      <c r="D800" s="36"/>
    </row>
    <row r="801" spans="4:4">
      <c r="D801" s="36"/>
    </row>
    <row r="802" spans="4:4">
      <c r="D802" s="36"/>
    </row>
    <row r="803" spans="4:4">
      <c r="D803" s="36"/>
    </row>
    <row r="804" spans="4:4">
      <c r="D804" s="36"/>
    </row>
    <row r="805" spans="4:4">
      <c r="D805" s="36"/>
    </row>
    <row r="806" spans="4:4">
      <c r="D806" s="36"/>
    </row>
    <row r="807" spans="4:4">
      <c r="D807" s="36"/>
    </row>
    <row r="808" spans="4:4">
      <c r="D808" s="36"/>
    </row>
    <row r="809" spans="4:4">
      <c r="D809" s="36"/>
    </row>
    <row r="810" spans="4:4">
      <c r="D810" s="36"/>
    </row>
    <row r="811" spans="4:4">
      <c r="D811" s="36"/>
    </row>
    <row r="812" spans="4:4">
      <c r="D812" s="36"/>
    </row>
    <row r="813" spans="4:4">
      <c r="D813" s="36"/>
    </row>
    <row r="814" spans="4:4">
      <c r="D814" s="36"/>
    </row>
    <row r="815" spans="4:4">
      <c r="D815" s="36"/>
    </row>
    <row r="816" spans="4:4">
      <c r="D816" s="36"/>
    </row>
    <row r="817" spans="4:4">
      <c r="D817" s="36"/>
    </row>
    <row r="818" spans="4:4">
      <c r="D818" s="36"/>
    </row>
    <row r="819" spans="4:4">
      <c r="D819" s="36"/>
    </row>
    <row r="820" spans="4:4">
      <c r="D820" s="36"/>
    </row>
    <row r="821" spans="4:4">
      <c r="D821" s="36"/>
    </row>
    <row r="822" spans="4:4">
      <c r="D822" s="36"/>
    </row>
    <row r="823" spans="4:4">
      <c r="D823" s="36"/>
    </row>
    <row r="824" spans="4:4">
      <c r="D824" s="36"/>
    </row>
    <row r="825" spans="4:4">
      <c r="D825" s="36"/>
    </row>
    <row r="826" spans="4:4">
      <c r="D826" s="36"/>
    </row>
    <row r="827" spans="4:4">
      <c r="D827" s="36"/>
    </row>
    <row r="828" spans="4:4">
      <c r="D828" s="36"/>
    </row>
    <row r="829" spans="4:4">
      <c r="D829" s="36"/>
    </row>
    <row r="830" spans="4:4">
      <c r="D830" s="36"/>
    </row>
    <row r="831" spans="4:4">
      <c r="D831" s="36"/>
    </row>
    <row r="832" spans="4:4">
      <c r="D832" s="36"/>
    </row>
    <row r="833" spans="4:4">
      <c r="D833" s="36"/>
    </row>
    <row r="834" spans="4:4">
      <c r="D834" s="36"/>
    </row>
    <row r="835" spans="4:4">
      <c r="D835" s="36"/>
    </row>
    <row r="836" spans="4:4">
      <c r="D836" s="36"/>
    </row>
    <row r="837" spans="4:4">
      <c r="D837" s="36"/>
    </row>
    <row r="838" spans="4:4">
      <c r="D838" s="36"/>
    </row>
    <row r="839" spans="4:4">
      <c r="D839" s="36"/>
    </row>
    <row r="840" spans="4:4">
      <c r="D840" s="36"/>
    </row>
    <row r="841" spans="4:4">
      <c r="D841" s="36"/>
    </row>
    <row r="842" spans="4:4">
      <c r="D842" s="36"/>
    </row>
    <row r="843" spans="4:4">
      <c r="D843" s="36"/>
    </row>
    <row r="844" spans="4:4">
      <c r="D844" s="36"/>
    </row>
    <row r="845" spans="4:4">
      <c r="D845" s="36"/>
    </row>
    <row r="846" spans="4:4">
      <c r="D846" s="36"/>
    </row>
    <row r="847" spans="4:4">
      <c r="D847" s="36"/>
    </row>
    <row r="848" spans="4:4">
      <c r="D848" s="36"/>
    </row>
    <row r="849" spans="4:4">
      <c r="D849" s="36"/>
    </row>
    <row r="850" spans="4:4">
      <c r="D850" s="36"/>
    </row>
    <row r="851" spans="4:4">
      <c r="D851" s="36"/>
    </row>
    <row r="852" spans="4:4">
      <c r="D852" s="36"/>
    </row>
    <row r="853" spans="4:4">
      <c r="D853" s="36"/>
    </row>
    <row r="854" spans="4:4">
      <c r="D854" s="36"/>
    </row>
    <row r="855" spans="4:4">
      <c r="D855" s="36"/>
    </row>
    <row r="856" spans="4:4">
      <c r="D856" s="36"/>
    </row>
    <row r="857" spans="4:4">
      <c r="D857" s="36"/>
    </row>
    <row r="858" spans="4:4">
      <c r="D858" s="36"/>
    </row>
    <row r="859" spans="4:4">
      <c r="D859" s="36"/>
    </row>
    <row r="860" spans="4:4">
      <c r="D860" s="36"/>
    </row>
    <row r="861" spans="4:4">
      <c r="D861" s="36"/>
    </row>
    <row r="862" spans="4:4">
      <c r="D862" s="36"/>
    </row>
    <row r="863" spans="4:4">
      <c r="D863" s="36"/>
    </row>
    <row r="864" spans="4:4">
      <c r="D864" s="36"/>
    </row>
    <row r="865" spans="4:4">
      <c r="D865" s="36"/>
    </row>
    <row r="866" spans="4:4">
      <c r="D866" s="36"/>
    </row>
    <row r="867" spans="4:4">
      <c r="D867" s="36"/>
    </row>
    <row r="868" spans="4:4">
      <c r="D868" s="36"/>
    </row>
    <row r="869" spans="4:4">
      <c r="D869" s="36"/>
    </row>
    <row r="870" spans="4:4">
      <c r="D870" s="36"/>
    </row>
    <row r="871" spans="4:4">
      <c r="D871" s="36"/>
    </row>
    <row r="872" spans="4:4">
      <c r="D872" s="36"/>
    </row>
    <row r="873" spans="4:4">
      <c r="D873" s="36"/>
    </row>
    <row r="874" spans="4:4">
      <c r="D874" s="36"/>
    </row>
    <row r="875" spans="4:4">
      <c r="D875" s="36"/>
    </row>
    <row r="876" spans="4:4">
      <c r="D876" s="36"/>
    </row>
    <row r="877" spans="4:4">
      <c r="D877" s="36"/>
    </row>
    <row r="878" spans="4:4">
      <c r="D878" s="36"/>
    </row>
    <row r="879" spans="4:4">
      <c r="D879" s="36"/>
    </row>
    <row r="880" spans="4:4">
      <c r="D880" s="36"/>
    </row>
    <row r="881" spans="4:4">
      <c r="D881" s="36"/>
    </row>
    <row r="882" spans="4:4">
      <c r="D882" s="36"/>
    </row>
    <row r="883" spans="4:4">
      <c r="D883" s="36"/>
    </row>
    <row r="884" spans="4:4">
      <c r="D884" s="36"/>
    </row>
    <row r="885" spans="4:4">
      <c r="D885" s="36"/>
    </row>
    <row r="886" spans="4:4">
      <c r="D886" s="36"/>
    </row>
    <row r="887" spans="4:4">
      <c r="D887" s="36"/>
    </row>
    <row r="888" spans="4:4">
      <c r="D888" s="36"/>
    </row>
    <row r="889" spans="4:4">
      <c r="D889" s="36"/>
    </row>
    <row r="890" spans="4:4">
      <c r="D890" s="36"/>
    </row>
    <row r="891" spans="4:4">
      <c r="D891" s="36"/>
    </row>
    <row r="892" spans="4:4">
      <c r="D892" s="36"/>
    </row>
    <row r="893" spans="4:4">
      <c r="D893" s="36"/>
    </row>
    <row r="894" spans="4:4">
      <c r="D894" s="36"/>
    </row>
    <row r="895" spans="4:4">
      <c r="D895" s="36"/>
    </row>
    <row r="896" spans="4:4">
      <c r="D896" s="36"/>
    </row>
    <row r="897" spans="4:4">
      <c r="D897" s="36"/>
    </row>
    <row r="898" spans="4:4">
      <c r="D898" s="36"/>
    </row>
    <row r="899" spans="4:4">
      <c r="D899" s="36"/>
    </row>
    <row r="900" spans="4:4">
      <c r="D900" s="36"/>
    </row>
    <row r="901" spans="4:4">
      <c r="D901" s="36"/>
    </row>
    <row r="902" spans="4:4">
      <c r="D902" s="36"/>
    </row>
    <row r="903" spans="4:4">
      <c r="D903" s="36"/>
    </row>
    <row r="904" spans="4:4">
      <c r="D904" s="36"/>
    </row>
    <row r="905" spans="4:4">
      <c r="D905" s="36"/>
    </row>
    <row r="906" spans="4:4">
      <c r="D906" s="36"/>
    </row>
    <row r="907" spans="4:4">
      <c r="D907" s="36"/>
    </row>
    <row r="908" spans="4:4">
      <c r="D908" s="36"/>
    </row>
    <row r="909" spans="4:4">
      <c r="D909" s="36"/>
    </row>
    <row r="910" spans="4:4">
      <c r="D910" s="36"/>
    </row>
    <row r="911" spans="4:4">
      <c r="D911" s="36"/>
    </row>
    <row r="912" spans="4:4">
      <c r="D912" s="36"/>
    </row>
    <row r="913" spans="4:4">
      <c r="D913" s="36"/>
    </row>
    <row r="914" spans="4:4">
      <c r="D914" s="36"/>
    </row>
    <row r="915" spans="4:4">
      <c r="D915" s="36"/>
    </row>
    <row r="916" spans="4:4">
      <c r="D916" s="36"/>
    </row>
    <row r="917" spans="4:4">
      <c r="D917" s="36"/>
    </row>
    <row r="918" spans="4:4">
      <c r="D918" s="36"/>
    </row>
    <row r="919" spans="4:4">
      <c r="D919" s="36"/>
    </row>
    <row r="920" spans="4:4">
      <c r="D920" s="36"/>
    </row>
    <row r="921" spans="4:4">
      <c r="D921" s="36"/>
    </row>
    <row r="922" spans="4:4">
      <c r="D922" s="36"/>
    </row>
    <row r="923" spans="4:4">
      <c r="D923" s="36"/>
    </row>
    <row r="924" spans="4:4">
      <c r="D924" s="36"/>
    </row>
    <row r="925" spans="4:4">
      <c r="D925" s="36"/>
    </row>
    <row r="926" spans="4:4">
      <c r="D926" s="36"/>
    </row>
    <row r="927" spans="4:4">
      <c r="D927" s="36"/>
    </row>
    <row r="928" spans="4:4">
      <c r="D928" s="36"/>
    </row>
    <row r="929" spans="4:4">
      <c r="D929" s="36"/>
    </row>
    <row r="930" spans="4:4">
      <c r="D930" s="36"/>
    </row>
    <row r="931" spans="4:4">
      <c r="D931" s="36"/>
    </row>
    <row r="932" spans="4:4">
      <c r="D932" s="36"/>
    </row>
    <row r="933" spans="4:4">
      <c r="D933" s="36"/>
    </row>
    <row r="934" spans="4:4">
      <c r="D934" s="36"/>
    </row>
    <row r="935" spans="4:4">
      <c r="D935" s="36"/>
    </row>
    <row r="936" spans="4:4">
      <c r="D936" s="36"/>
    </row>
    <row r="937" spans="4:4">
      <c r="D937" s="36"/>
    </row>
    <row r="938" spans="4:4">
      <c r="D938" s="36"/>
    </row>
    <row r="939" spans="4:4">
      <c r="D939" s="36"/>
    </row>
    <row r="940" spans="4:4">
      <c r="D940" s="36"/>
    </row>
    <row r="941" spans="4:4">
      <c r="D941" s="36"/>
    </row>
    <row r="942" spans="4:4">
      <c r="D942" s="36"/>
    </row>
    <row r="943" spans="4:4">
      <c r="D943" s="36"/>
    </row>
    <row r="944" spans="4:4">
      <c r="D944" s="36"/>
    </row>
    <row r="945" spans="4:4">
      <c r="D945" s="36"/>
    </row>
    <row r="946" spans="4:4">
      <c r="D946" s="36"/>
    </row>
    <row r="947" spans="4:4">
      <c r="D947" s="36"/>
    </row>
    <row r="948" spans="4:4">
      <c r="D948" s="36"/>
    </row>
    <row r="949" spans="4:4">
      <c r="D949" s="36"/>
    </row>
    <row r="950" spans="4:4">
      <c r="D950" s="36"/>
    </row>
    <row r="951" spans="4:4">
      <c r="D951" s="36"/>
    </row>
    <row r="952" spans="4:4">
      <c r="D952" s="36"/>
    </row>
    <row r="953" spans="4:4">
      <c r="D953" s="36"/>
    </row>
    <row r="954" spans="4:4">
      <c r="D954" s="36"/>
    </row>
    <row r="955" spans="4:4">
      <c r="D955" s="36"/>
    </row>
    <row r="956" spans="4:4">
      <c r="D956" s="36"/>
    </row>
    <row r="957" spans="4:4">
      <c r="D957" s="36"/>
    </row>
    <row r="958" spans="4:4">
      <c r="D958" s="36"/>
    </row>
    <row r="959" spans="4:4">
      <c r="D959" s="36"/>
    </row>
    <row r="960" spans="4:4">
      <c r="D960" s="36"/>
    </row>
    <row r="961" spans="4:4">
      <c r="D961" s="36"/>
    </row>
    <row r="962" spans="4:4">
      <c r="D962" s="36"/>
    </row>
    <row r="963" spans="4:4">
      <c r="D963" s="36"/>
    </row>
    <row r="964" spans="4:4">
      <c r="D964" s="36"/>
    </row>
    <row r="965" spans="4:4">
      <c r="D965" s="36"/>
    </row>
    <row r="966" spans="4:4">
      <c r="D966" s="36"/>
    </row>
    <row r="967" spans="4:4">
      <c r="D967" s="36"/>
    </row>
    <row r="968" spans="4:4">
      <c r="D968" s="36"/>
    </row>
    <row r="969" spans="4:4">
      <c r="D969" s="36"/>
    </row>
    <row r="970" spans="4:4">
      <c r="D970" s="36"/>
    </row>
    <row r="971" spans="4:4">
      <c r="D971" s="36"/>
    </row>
    <row r="972" spans="4:4">
      <c r="D972" s="36"/>
    </row>
    <row r="973" spans="4:4">
      <c r="D973" s="36"/>
    </row>
    <row r="974" spans="4:4">
      <c r="D974" s="36"/>
    </row>
    <row r="975" spans="4:4">
      <c r="D975" s="36"/>
    </row>
    <row r="976" spans="4:4">
      <c r="D976" s="36"/>
    </row>
    <row r="977" spans="4:4">
      <c r="D977" s="36"/>
    </row>
    <row r="978" spans="4:4">
      <c r="D978" s="36"/>
    </row>
    <row r="979" spans="4:4">
      <c r="D979" s="36"/>
    </row>
    <row r="980" spans="4:4">
      <c r="D980" s="36"/>
    </row>
    <row r="981" spans="4:4">
      <c r="D981" s="36"/>
    </row>
    <row r="982" spans="4:4">
      <c r="D982" s="36"/>
    </row>
    <row r="983" spans="4:4">
      <c r="D983" s="36"/>
    </row>
    <row r="984" spans="4:4">
      <c r="D984" s="36"/>
    </row>
    <row r="985" spans="4:4">
      <c r="D985" s="36"/>
    </row>
    <row r="986" spans="4:4">
      <c r="D986" s="36"/>
    </row>
    <row r="987" spans="4:4">
      <c r="D987" s="36"/>
    </row>
    <row r="988" spans="4:4">
      <c r="D988" s="36"/>
    </row>
    <row r="989" spans="4:4">
      <c r="D989" s="36"/>
    </row>
    <row r="990" spans="4:4">
      <c r="D990" s="36"/>
    </row>
    <row r="991" spans="4:4">
      <c r="D991" s="36"/>
    </row>
    <row r="992" spans="4:4">
      <c r="D992" s="36"/>
    </row>
    <row r="993" spans="4:4">
      <c r="D993" s="36"/>
    </row>
    <row r="994" spans="4:4">
      <c r="D994" s="36"/>
    </row>
    <row r="995" spans="4:4">
      <c r="D995" s="36"/>
    </row>
    <row r="996" spans="4:4">
      <c r="D996" s="36"/>
    </row>
    <row r="997" spans="4:4">
      <c r="D997" s="36"/>
    </row>
    <row r="998" spans="4:4">
      <c r="D998" s="36"/>
    </row>
    <row r="999" spans="4:4">
      <c r="D999" s="36"/>
    </row>
    <row r="1000" spans="4:4">
      <c r="D1000" s="36"/>
    </row>
    <row r="1001" spans="4:4">
      <c r="D1001" s="36"/>
    </row>
    <row r="1002" spans="4:4">
      <c r="D1002" s="36"/>
    </row>
    <row r="1003" spans="4:4">
      <c r="D1003" s="36"/>
    </row>
    <row r="1004" spans="4:4">
      <c r="D1004" s="36"/>
    </row>
    <row r="1005" spans="4:4">
      <c r="D1005" s="36"/>
    </row>
    <row r="1006" spans="4:4">
      <c r="D1006" s="36"/>
    </row>
    <row r="1007" spans="4:4">
      <c r="D1007" s="36"/>
    </row>
    <row r="1008" spans="4:4">
      <c r="D1008" s="36"/>
    </row>
    <row r="1009" spans="4:4">
      <c r="D1009" s="36"/>
    </row>
    <row r="1010" spans="4:4">
      <c r="D1010" s="36"/>
    </row>
    <row r="1011" spans="4:4">
      <c r="D1011" s="36"/>
    </row>
    <row r="1012" spans="4:4">
      <c r="D1012" s="36"/>
    </row>
    <row r="1013" spans="4:4">
      <c r="D1013" s="36"/>
    </row>
    <row r="1014" spans="4:4">
      <c r="D1014" s="36"/>
    </row>
    <row r="1015" spans="4:4">
      <c r="D1015" s="36"/>
    </row>
    <row r="1016" spans="4:4">
      <c r="D1016" s="36"/>
    </row>
    <row r="1017" spans="4:4">
      <c r="D1017" s="36"/>
    </row>
    <row r="1018" spans="4:4">
      <c r="D1018" s="36"/>
    </row>
    <row r="1019" spans="4:4">
      <c r="D1019" s="36"/>
    </row>
    <row r="1020" spans="4:4">
      <c r="D1020" s="36"/>
    </row>
    <row r="1021" spans="4:4">
      <c r="D1021" s="36"/>
    </row>
    <row r="1022" spans="4:4">
      <c r="D1022" s="36"/>
    </row>
    <row r="1023" spans="4:4">
      <c r="D1023" s="36"/>
    </row>
    <row r="1024" spans="4:4">
      <c r="D1024" s="36"/>
    </row>
    <row r="1025" spans="4:4">
      <c r="D1025" s="36"/>
    </row>
    <row r="1026" spans="4:4">
      <c r="D1026" s="36"/>
    </row>
    <row r="1027" spans="4:4">
      <c r="D1027" s="36"/>
    </row>
    <row r="1028" spans="4:4">
      <c r="D1028" s="36"/>
    </row>
    <row r="1029" spans="4:4">
      <c r="D1029" s="36"/>
    </row>
    <row r="1030" spans="4:4">
      <c r="D1030" s="36"/>
    </row>
    <row r="1031" spans="4:4">
      <c r="D1031" s="36"/>
    </row>
    <row r="1032" spans="4:4">
      <c r="D1032" s="36"/>
    </row>
    <row r="1033" spans="4:4">
      <c r="D1033" s="36"/>
    </row>
    <row r="1034" spans="4:4">
      <c r="D1034" s="36"/>
    </row>
    <row r="1035" spans="4:4">
      <c r="D1035" s="36"/>
    </row>
    <row r="1036" spans="4:4">
      <c r="D1036" s="36"/>
    </row>
    <row r="1037" spans="4:4">
      <c r="D1037" s="36"/>
    </row>
    <row r="1038" spans="4:4">
      <c r="D1038" s="36"/>
    </row>
    <row r="1039" spans="4:4">
      <c r="D1039" s="36"/>
    </row>
    <row r="1040" spans="4:4">
      <c r="D1040" s="36"/>
    </row>
    <row r="1041" spans="4:4">
      <c r="D1041" s="36"/>
    </row>
    <row r="1042" spans="4:4">
      <c r="D1042" s="36"/>
    </row>
    <row r="1043" spans="4:4">
      <c r="D1043" s="36"/>
    </row>
    <row r="1044" spans="4:4">
      <c r="D1044" s="36"/>
    </row>
    <row r="1045" spans="4:4">
      <c r="D1045" s="36"/>
    </row>
    <row r="1046" spans="4:4">
      <c r="D1046" s="36"/>
    </row>
    <row r="1047" spans="4:4">
      <c r="D1047" s="36"/>
    </row>
    <row r="1048" spans="4:4">
      <c r="D1048" s="36"/>
    </row>
    <row r="1049" spans="4:4">
      <c r="D1049" s="36"/>
    </row>
    <row r="1050" spans="4:4">
      <c r="D1050" s="36"/>
    </row>
    <row r="1051" spans="4:4">
      <c r="D1051" s="36"/>
    </row>
    <row r="1052" spans="4:4">
      <c r="D1052" s="36"/>
    </row>
    <row r="1053" spans="4:4">
      <c r="D1053" s="36"/>
    </row>
    <row r="1054" spans="4:4">
      <c r="D1054" s="36"/>
    </row>
    <row r="1055" spans="4:4">
      <c r="D1055" s="36"/>
    </row>
    <row r="1056" spans="4:4">
      <c r="D1056" s="36"/>
    </row>
    <row r="1057" spans="4:4">
      <c r="D1057" s="36"/>
    </row>
    <row r="1058" spans="4:4">
      <c r="D1058" s="36"/>
    </row>
    <row r="1059" spans="4:4">
      <c r="D1059" s="36"/>
    </row>
    <row r="1060" spans="4:4">
      <c r="D1060" s="36"/>
    </row>
    <row r="1061" spans="4:4">
      <c r="D1061" s="36"/>
    </row>
    <row r="1062" spans="4:4">
      <c r="D1062" s="36"/>
    </row>
    <row r="1063" spans="4:4">
      <c r="D1063" s="36"/>
    </row>
    <row r="1064" spans="4:4">
      <c r="D1064" s="36"/>
    </row>
    <row r="1065" spans="4:4">
      <c r="D1065" s="36"/>
    </row>
    <row r="1066" spans="4:4">
      <c r="D1066" s="36"/>
    </row>
    <row r="1067" spans="4:4">
      <c r="D1067" s="36"/>
    </row>
    <row r="1068" spans="4:4">
      <c r="D1068" s="36"/>
    </row>
    <row r="1069" spans="4:4">
      <c r="D1069" s="36"/>
    </row>
    <row r="1070" spans="4:4">
      <c r="D1070" s="36"/>
    </row>
    <row r="1071" spans="4:4">
      <c r="D1071" s="36"/>
    </row>
    <row r="1072" spans="4:4">
      <c r="D1072" s="36"/>
    </row>
    <row r="1073" spans="4:4">
      <c r="D1073" s="36"/>
    </row>
    <row r="1074" spans="4:4">
      <c r="D1074" s="36"/>
    </row>
    <row r="1075" spans="4:4">
      <c r="D1075" s="36"/>
    </row>
    <row r="1076" spans="4:4">
      <c r="D1076" s="36"/>
    </row>
    <row r="1077" spans="4:4">
      <c r="D1077" s="36"/>
    </row>
    <row r="1078" spans="4:4">
      <c r="D1078" s="36"/>
    </row>
    <row r="1079" spans="4:4">
      <c r="D1079" s="36"/>
    </row>
    <row r="1080" spans="4:4">
      <c r="D1080" s="36"/>
    </row>
    <row r="1081" spans="4:4">
      <c r="D1081" s="36"/>
    </row>
    <row r="1082" spans="4:4">
      <c r="D1082" s="36"/>
    </row>
    <row r="1083" spans="4:4">
      <c r="D1083" s="36"/>
    </row>
    <row r="1084" spans="4:4">
      <c r="D1084" s="36"/>
    </row>
    <row r="1085" spans="4:4">
      <c r="D1085" s="36"/>
    </row>
    <row r="1086" spans="4:4">
      <c r="D1086" s="36"/>
    </row>
    <row r="1087" spans="4:4">
      <c r="D1087" s="36"/>
    </row>
    <row r="1088" spans="4:4">
      <c r="D1088" s="36"/>
    </row>
    <row r="1089" spans="4:4">
      <c r="D1089" s="36"/>
    </row>
    <row r="1090" spans="4:4">
      <c r="D1090" s="36"/>
    </row>
    <row r="1091" spans="4:4">
      <c r="D1091" s="36"/>
    </row>
    <row r="1092" spans="4:4">
      <c r="D1092" s="36"/>
    </row>
    <row r="1093" spans="4:4">
      <c r="D1093" s="36"/>
    </row>
    <row r="1094" spans="4:4">
      <c r="D1094" s="36"/>
    </row>
    <row r="1095" spans="4:4">
      <c r="D1095" s="36"/>
    </row>
    <row r="1096" spans="4:4">
      <c r="D1096" s="36"/>
    </row>
    <row r="1097" spans="4:4">
      <c r="D1097" s="36"/>
    </row>
    <row r="1098" spans="4:4">
      <c r="D1098" s="36"/>
    </row>
    <row r="1099" spans="4:4">
      <c r="D1099" s="36"/>
    </row>
    <row r="1100" spans="4:4">
      <c r="D1100" s="36"/>
    </row>
    <row r="1101" spans="4:4">
      <c r="D1101" s="36"/>
    </row>
    <row r="1102" spans="4:4">
      <c r="D1102" s="36"/>
    </row>
    <row r="1103" spans="4:4">
      <c r="D1103" s="36"/>
    </row>
    <row r="1104" spans="4:4">
      <c r="D1104" s="36"/>
    </row>
    <row r="1105" spans="4:4">
      <c r="D1105" s="36"/>
    </row>
    <row r="1106" spans="4:4">
      <c r="D1106" s="36"/>
    </row>
    <row r="1107" spans="4:4">
      <c r="D1107" s="36"/>
    </row>
    <row r="1108" spans="4:4">
      <c r="D1108" s="36"/>
    </row>
    <row r="1109" spans="4:4">
      <c r="D1109" s="36"/>
    </row>
    <row r="1110" spans="4:4">
      <c r="D1110" s="36"/>
    </row>
    <row r="1111" spans="4:4">
      <c r="D1111" s="36"/>
    </row>
    <row r="1112" spans="4:4">
      <c r="D1112" s="36"/>
    </row>
    <row r="1113" spans="4:4">
      <c r="D1113" s="36"/>
    </row>
    <row r="1114" spans="4:4">
      <c r="D1114" s="36"/>
    </row>
    <row r="1115" spans="4:4">
      <c r="D1115" s="36"/>
    </row>
    <row r="1116" spans="4:4">
      <c r="D1116" s="36"/>
    </row>
    <row r="1117" spans="4:4">
      <c r="D1117" s="36"/>
    </row>
    <row r="1118" spans="4:4">
      <c r="D1118" s="36"/>
    </row>
    <row r="1119" spans="4:4">
      <c r="D1119" s="36"/>
    </row>
    <row r="1120" spans="4:4">
      <c r="D1120" s="36"/>
    </row>
    <row r="1121" spans="4:4">
      <c r="D1121" s="36"/>
    </row>
    <row r="1122" spans="4:4">
      <c r="D1122" s="36"/>
    </row>
    <row r="1123" spans="4:4">
      <c r="D1123" s="36"/>
    </row>
    <row r="1124" spans="4:4">
      <c r="D1124" s="36"/>
    </row>
    <row r="1125" spans="4:4">
      <c r="D1125" s="36"/>
    </row>
    <row r="1126" spans="4:4">
      <c r="D1126" s="36"/>
    </row>
    <row r="1127" spans="4:4">
      <c r="D1127" s="36"/>
    </row>
    <row r="1128" spans="4:4">
      <c r="D1128" s="36"/>
    </row>
    <row r="1129" spans="4:4">
      <c r="D1129" s="36"/>
    </row>
    <row r="1130" spans="4:4">
      <c r="D1130" s="36"/>
    </row>
    <row r="1131" spans="4:4">
      <c r="D1131" s="36"/>
    </row>
    <row r="1132" spans="4:4">
      <c r="D1132" s="36"/>
    </row>
    <row r="1133" spans="4:4">
      <c r="D1133" s="36"/>
    </row>
    <row r="1134" spans="4:4">
      <c r="D1134" s="36"/>
    </row>
    <row r="1135" spans="4:4">
      <c r="D1135" s="36"/>
    </row>
    <row r="1136" spans="4:4">
      <c r="D1136" s="36"/>
    </row>
    <row r="1137" spans="4:4">
      <c r="D1137" s="36"/>
    </row>
    <row r="1138" spans="4:4">
      <c r="D1138" s="36"/>
    </row>
    <row r="1139" spans="4:4">
      <c r="D1139" s="36"/>
    </row>
    <row r="1140" spans="4:4">
      <c r="D1140" s="36"/>
    </row>
    <row r="1141" spans="4:4">
      <c r="D1141" s="36"/>
    </row>
    <row r="1142" spans="4:4">
      <c r="D1142" s="36"/>
    </row>
    <row r="1143" spans="4:4">
      <c r="D1143" s="36"/>
    </row>
    <row r="1144" spans="4:4">
      <c r="D1144" s="36"/>
    </row>
    <row r="1145" spans="4:4">
      <c r="D1145" s="36"/>
    </row>
    <row r="1146" spans="4:4">
      <c r="D1146" s="36"/>
    </row>
    <row r="1147" spans="4:4">
      <c r="D1147" s="36"/>
    </row>
    <row r="1148" spans="4:4">
      <c r="D1148" s="36"/>
    </row>
    <row r="1149" spans="4:4">
      <c r="D1149" s="36"/>
    </row>
    <row r="1150" spans="4:4">
      <c r="D1150" s="36"/>
    </row>
    <row r="1151" spans="4:4">
      <c r="D1151" s="36"/>
    </row>
    <row r="1152" spans="4:4">
      <c r="D1152" s="36"/>
    </row>
    <row r="1153" spans="4:4">
      <c r="D1153" s="36"/>
    </row>
    <row r="1154" spans="4:4">
      <c r="D1154" s="36"/>
    </row>
    <row r="1155" spans="4:4">
      <c r="D1155" s="36"/>
    </row>
    <row r="1156" spans="4:4">
      <c r="D1156" s="36"/>
    </row>
    <row r="1157" spans="4:4">
      <c r="D1157" s="36"/>
    </row>
    <row r="1158" spans="4:4">
      <c r="D1158" s="36"/>
    </row>
    <row r="1159" spans="4:4">
      <c r="D1159" s="36"/>
    </row>
    <row r="1160" spans="4:4">
      <c r="D1160" s="36"/>
    </row>
    <row r="1161" spans="4:4">
      <c r="D1161" s="36"/>
    </row>
    <row r="1162" spans="4:4">
      <c r="D1162" s="36"/>
    </row>
    <row r="1163" spans="4:4">
      <c r="D1163" s="36"/>
    </row>
    <row r="1164" spans="4:4">
      <c r="D1164" s="36"/>
    </row>
    <row r="1165" spans="4:4">
      <c r="D1165" s="36"/>
    </row>
    <row r="1166" spans="4:4">
      <c r="D1166" s="36"/>
    </row>
    <row r="1167" spans="4:4">
      <c r="D1167" s="36"/>
    </row>
    <row r="1168" spans="4:4">
      <c r="D1168" s="36"/>
    </row>
    <row r="1169" spans="4:4">
      <c r="D1169" s="36"/>
    </row>
    <row r="1170" spans="4:4">
      <c r="D1170" s="36"/>
    </row>
    <row r="1171" spans="4:4">
      <c r="D1171" s="36"/>
    </row>
    <row r="1172" spans="4:4">
      <c r="D1172" s="36"/>
    </row>
    <row r="1173" spans="4:4">
      <c r="D1173" s="36"/>
    </row>
    <row r="1174" spans="4:4">
      <c r="D1174" s="36"/>
    </row>
    <row r="1175" spans="4:4">
      <c r="D1175" s="36"/>
    </row>
    <row r="1176" spans="4:4">
      <c r="D1176" s="36"/>
    </row>
    <row r="1177" spans="4:4">
      <c r="D1177" s="36"/>
    </row>
    <row r="1178" spans="4:4">
      <c r="D1178" s="36"/>
    </row>
    <row r="1179" spans="4:4">
      <c r="D1179" s="36"/>
    </row>
    <row r="1180" spans="4:4">
      <c r="D1180" s="36"/>
    </row>
    <row r="1181" spans="4:4">
      <c r="D1181" s="36"/>
    </row>
    <row r="1182" spans="4:4">
      <c r="D1182" s="36"/>
    </row>
    <row r="1183" spans="4:4">
      <c r="D1183" s="36"/>
    </row>
    <row r="1184" spans="4:4">
      <c r="D1184" s="36"/>
    </row>
    <row r="1185" spans="4:4">
      <c r="D1185" s="36"/>
    </row>
    <row r="1186" spans="4:4">
      <c r="D1186" s="36"/>
    </row>
    <row r="1187" spans="4:4">
      <c r="D1187" s="36"/>
    </row>
    <row r="1188" spans="4:4">
      <c r="D1188" s="36"/>
    </row>
    <row r="1189" spans="4:4">
      <c r="D1189" s="36"/>
    </row>
    <row r="1190" spans="4:4">
      <c r="D1190" s="36"/>
    </row>
    <row r="1191" spans="4:4">
      <c r="D1191" s="36"/>
    </row>
    <row r="1192" spans="4:4">
      <c r="D1192" s="36"/>
    </row>
    <row r="1193" spans="4:4">
      <c r="D1193" s="36"/>
    </row>
    <row r="1194" spans="4:4">
      <c r="D1194" s="36"/>
    </row>
    <row r="1195" spans="4:4">
      <c r="D1195" s="36"/>
    </row>
    <row r="1196" spans="4:4">
      <c r="D1196" s="36"/>
    </row>
    <row r="1197" spans="4:4">
      <c r="D1197" s="36"/>
    </row>
    <row r="1198" spans="4:4">
      <c r="D1198" s="36"/>
    </row>
    <row r="1199" spans="4:4">
      <c r="D1199" s="36"/>
    </row>
    <row r="1200" spans="4:4">
      <c r="D1200" s="36"/>
    </row>
    <row r="1201" spans="4:4">
      <c r="D1201" s="36"/>
    </row>
    <row r="1202" spans="4:4">
      <c r="D1202" s="36"/>
    </row>
    <row r="1203" spans="4:4">
      <c r="D1203" s="36"/>
    </row>
    <row r="1204" spans="4:4">
      <c r="D1204" s="36"/>
    </row>
    <row r="1205" spans="4:4">
      <c r="D1205" s="36"/>
    </row>
    <row r="1206" spans="4:4">
      <c r="D1206" s="36"/>
    </row>
    <row r="1207" spans="4:4">
      <c r="D1207" s="36"/>
    </row>
    <row r="1208" spans="4:4">
      <c r="D1208" s="36"/>
    </row>
    <row r="1209" spans="4:4">
      <c r="D1209" s="36"/>
    </row>
    <row r="1210" spans="4:4">
      <c r="D1210" s="36"/>
    </row>
    <row r="1211" spans="4:4">
      <c r="D1211" s="36"/>
    </row>
    <row r="1212" spans="4:4">
      <c r="D1212" s="36"/>
    </row>
    <row r="1213" spans="4:4">
      <c r="D1213" s="36"/>
    </row>
    <row r="1214" spans="4:4">
      <c r="D1214" s="36"/>
    </row>
    <row r="1215" spans="4:4">
      <c r="D1215" s="36"/>
    </row>
    <row r="1216" spans="4:4">
      <c r="D1216" s="36"/>
    </row>
    <row r="1217" spans="4:4">
      <c r="D1217" s="36"/>
    </row>
    <row r="1218" spans="4:4">
      <c r="D1218" s="36"/>
    </row>
    <row r="1219" spans="4:4">
      <c r="D1219" s="36"/>
    </row>
    <row r="1220" spans="4:4">
      <c r="D1220" s="36"/>
    </row>
    <row r="1221" spans="4:4">
      <c r="D1221" s="36"/>
    </row>
    <row r="1222" spans="4:4">
      <c r="D1222" s="36"/>
    </row>
    <row r="1223" spans="4:4">
      <c r="D1223" s="36"/>
    </row>
    <row r="1224" spans="4:4">
      <c r="D1224" s="36"/>
    </row>
    <row r="1225" spans="4:4">
      <c r="D1225" s="36"/>
    </row>
    <row r="1226" spans="4:4">
      <c r="D1226" s="36"/>
    </row>
    <row r="1227" spans="4:4">
      <c r="D1227" s="36"/>
    </row>
    <row r="1228" spans="4:4">
      <c r="D1228" s="36"/>
    </row>
    <row r="1229" spans="4:4">
      <c r="D1229" s="36"/>
    </row>
    <row r="1230" spans="4:4">
      <c r="D1230" s="36"/>
    </row>
    <row r="1231" spans="4:4">
      <c r="D1231" s="36"/>
    </row>
    <row r="1232" spans="4:4">
      <c r="D1232" s="36"/>
    </row>
    <row r="1233" spans="4:4">
      <c r="D1233" s="36"/>
    </row>
    <row r="1234" spans="4:4">
      <c r="D1234" s="36"/>
    </row>
    <row r="1235" spans="4:4">
      <c r="D1235" s="36"/>
    </row>
    <row r="1236" spans="4:4">
      <c r="D1236" s="36"/>
    </row>
    <row r="1237" spans="4:4">
      <c r="D1237" s="36"/>
    </row>
    <row r="1238" spans="4:4">
      <c r="D1238" s="36"/>
    </row>
    <row r="1239" spans="4:4">
      <c r="D1239" s="36"/>
    </row>
    <row r="1240" spans="4:4">
      <c r="D1240" s="36"/>
    </row>
    <row r="1241" spans="4:4">
      <c r="D1241" s="36"/>
    </row>
    <row r="1242" spans="4:4">
      <c r="D1242" s="36"/>
    </row>
    <row r="1243" spans="4:4">
      <c r="D1243" s="36"/>
    </row>
    <row r="1244" spans="4:4">
      <c r="D1244" s="36"/>
    </row>
    <row r="1245" spans="4:4">
      <c r="D1245" s="36"/>
    </row>
    <row r="1246" spans="4:4">
      <c r="D1246" s="36"/>
    </row>
    <row r="1247" spans="4:4">
      <c r="D1247" s="36"/>
    </row>
    <row r="1248" spans="4:4">
      <c r="D1248" s="36"/>
    </row>
    <row r="1249" spans="4:4">
      <c r="D1249" s="36"/>
    </row>
    <row r="1250" spans="4:4">
      <c r="D1250" s="36"/>
    </row>
    <row r="1251" spans="4:4">
      <c r="D1251" s="36"/>
    </row>
    <row r="1252" spans="4:4">
      <c r="D1252" s="36"/>
    </row>
    <row r="1253" spans="4:4">
      <c r="D1253" s="36"/>
    </row>
    <row r="1254" spans="4:4">
      <c r="D1254" s="36"/>
    </row>
    <row r="1255" spans="4:4">
      <c r="D1255" s="36"/>
    </row>
    <row r="1256" spans="4:4">
      <c r="D1256" s="36"/>
    </row>
    <row r="1257" spans="4:4">
      <c r="D1257" s="36"/>
    </row>
    <row r="1258" spans="4:4">
      <c r="D1258" s="36"/>
    </row>
    <row r="1259" spans="4:4">
      <c r="D1259" s="36"/>
    </row>
    <row r="1260" spans="4:4">
      <c r="D1260" s="36"/>
    </row>
    <row r="1261" spans="4:4">
      <c r="D1261" s="36"/>
    </row>
    <row r="1262" spans="4:4">
      <c r="D1262" s="36"/>
    </row>
    <row r="1263" spans="4:4">
      <c r="D1263" s="36"/>
    </row>
    <row r="1264" spans="4:4">
      <c r="D1264" s="36"/>
    </row>
    <row r="1265" spans="4:4">
      <c r="D1265" s="36"/>
    </row>
    <row r="1266" spans="4:4">
      <c r="D1266" s="36"/>
    </row>
    <row r="1267" spans="4:4">
      <c r="D1267" s="36"/>
    </row>
    <row r="1268" spans="4:4">
      <c r="D1268" s="36"/>
    </row>
    <row r="1269" spans="4:4">
      <c r="D1269" s="36"/>
    </row>
    <row r="1270" spans="4:4">
      <c r="D1270" s="36"/>
    </row>
    <row r="1271" spans="4:4">
      <c r="D1271" s="36"/>
    </row>
    <row r="1272" spans="4:4">
      <c r="D1272" s="36"/>
    </row>
    <row r="1273" spans="4:4">
      <c r="D1273" s="36"/>
    </row>
    <row r="1274" spans="4:4">
      <c r="D1274" s="36"/>
    </row>
    <row r="1275" spans="4:4">
      <c r="D1275" s="36"/>
    </row>
    <row r="1276" spans="4:4">
      <c r="D1276" s="36"/>
    </row>
    <row r="1277" spans="4:4">
      <c r="D1277" s="36"/>
    </row>
    <row r="1278" spans="4:4">
      <c r="D1278" s="36"/>
    </row>
    <row r="1279" spans="4:4">
      <c r="D1279" s="36"/>
    </row>
    <row r="1280" spans="4:4">
      <c r="D1280" s="36"/>
    </row>
    <row r="1281" spans="4:4">
      <c r="D1281" s="36"/>
    </row>
    <row r="1282" spans="4:4">
      <c r="D1282" s="36"/>
    </row>
    <row r="1283" spans="4:4">
      <c r="D1283" s="36"/>
    </row>
    <row r="1284" spans="4:4">
      <c r="D1284" s="36"/>
    </row>
    <row r="1285" spans="4:4">
      <c r="D1285" s="36"/>
    </row>
    <row r="1286" spans="4:4">
      <c r="D1286" s="36"/>
    </row>
    <row r="1287" spans="4:4">
      <c r="D1287" s="36"/>
    </row>
    <row r="1288" spans="4:4">
      <c r="D1288" s="36"/>
    </row>
    <row r="1289" spans="4:4">
      <c r="D1289" s="36"/>
    </row>
    <row r="1290" spans="4:4">
      <c r="D1290" s="36"/>
    </row>
    <row r="1291" spans="4:4">
      <c r="D1291" s="36"/>
    </row>
    <row r="1292" spans="4:4">
      <c r="D1292" s="36"/>
    </row>
    <row r="1293" spans="4:4">
      <c r="D1293" s="36"/>
    </row>
    <row r="1294" spans="4:4">
      <c r="D1294" s="36"/>
    </row>
    <row r="1295" spans="4:4">
      <c r="D1295" s="36"/>
    </row>
    <row r="1296" spans="4:4">
      <c r="D1296" s="36"/>
    </row>
    <row r="1297" spans="4:4">
      <c r="D1297" s="36"/>
    </row>
    <row r="1298" spans="4:4">
      <c r="D1298" s="36"/>
    </row>
    <row r="1299" spans="4:4">
      <c r="D1299" s="36"/>
    </row>
    <row r="1300" spans="4:4">
      <c r="D1300" s="36"/>
    </row>
    <row r="1301" spans="4:4">
      <c r="D1301" s="36"/>
    </row>
    <row r="1302" spans="4:4">
      <c r="D1302" s="36"/>
    </row>
    <row r="1303" spans="4:4">
      <c r="D1303" s="36"/>
    </row>
    <row r="1304" spans="4:4">
      <c r="D1304" s="36"/>
    </row>
    <row r="1305" spans="4:4">
      <c r="D1305" s="36"/>
    </row>
    <row r="1306" spans="4:4">
      <c r="D1306" s="36"/>
    </row>
    <row r="1307" spans="4:4">
      <c r="D1307" s="36"/>
    </row>
    <row r="1308" spans="4:4">
      <c r="D1308" s="36"/>
    </row>
    <row r="1309" spans="4:4">
      <c r="D1309" s="36"/>
    </row>
    <row r="1310" spans="4:4">
      <c r="D1310" s="36"/>
    </row>
    <row r="1311" spans="4:4">
      <c r="D1311" s="36"/>
    </row>
    <row r="1312" spans="4:4">
      <c r="D1312" s="36"/>
    </row>
    <row r="1313" spans="4:4">
      <c r="D1313" s="36"/>
    </row>
    <row r="1314" spans="4:4">
      <c r="D1314" s="36"/>
    </row>
    <row r="1315" spans="4:4">
      <c r="D1315" s="36"/>
    </row>
    <row r="1316" spans="4:4">
      <c r="D1316" s="36"/>
    </row>
    <row r="1317" spans="4:4">
      <c r="D1317" s="36"/>
    </row>
    <row r="1318" spans="4:4">
      <c r="D1318" s="36"/>
    </row>
    <row r="1319" spans="4:4">
      <c r="D1319" s="36"/>
    </row>
    <row r="1320" spans="4:4">
      <c r="D1320" s="36"/>
    </row>
    <row r="1321" spans="4:4">
      <c r="D1321" s="36"/>
    </row>
    <row r="1322" spans="4:4">
      <c r="D1322" s="36"/>
    </row>
    <row r="1323" spans="4:4">
      <c r="D1323" s="36"/>
    </row>
    <row r="1324" spans="4:4">
      <c r="D1324" s="36"/>
    </row>
    <row r="1325" spans="4:4">
      <c r="D1325" s="36"/>
    </row>
    <row r="1326" spans="4:4">
      <c r="D1326" s="36"/>
    </row>
    <row r="1327" spans="4:4">
      <c r="D1327" s="36"/>
    </row>
    <row r="1328" spans="4:4">
      <c r="D1328" s="36"/>
    </row>
    <row r="1329" spans="4:4">
      <c r="D1329" s="36"/>
    </row>
    <row r="1330" spans="4:4">
      <c r="D1330" s="36"/>
    </row>
    <row r="1331" spans="4:4">
      <c r="D1331" s="36"/>
    </row>
    <row r="1332" spans="4:4">
      <c r="D1332" s="36"/>
    </row>
    <row r="1333" spans="4:4">
      <c r="D1333" s="36"/>
    </row>
    <row r="1334" spans="4:4">
      <c r="D1334" s="36"/>
    </row>
    <row r="1335" spans="4:4">
      <c r="D1335" s="36"/>
    </row>
    <row r="1336" spans="4:4">
      <c r="D1336" s="36"/>
    </row>
    <row r="1337" spans="4:4">
      <c r="D1337" s="36"/>
    </row>
    <row r="1338" spans="4:4">
      <c r="D1338" s="36"/>
    </row>
    <row r="1339" spans="4:4">
      <c r="D1339" s="36"/>
    </row>
    <row r="1340" spans="4:4">
      <c r="D1340" s="36"/>
    </row>
    <row r="1341" spans="4:4">
      <c r="D1341" s="36"/>
    </row>
    <row r="1342" spans="4:4">
      <c r="D1342" s="36"/>
    </row>
    <row r="1343" spans="4:4">
      <c r="D1343" s="36"/>
    </row>
    <row r="1344" spans="4:4">
      <c r="D1344" s="36"/>
    </row>
    <row r="1345" spans="4:4">
      <c r="D1345" s="36"/>
    </row>
    <row r="1346" spans="4:4">
      <c r="D1346" s="36"/>
    </row>
    <row r="1347" spans="4:4">
      <c r="D1347" s="36"/>
    </row>
    <row r="1348" spans="4:4">
      <c r="D1348" s="36"/>
    </row>
    <row r="1349" spans="4:4">
      <c r="D1349" s="36"/>
    </row>
    <row r="1350" spans="4:4">
      <c r="D1350" s="36"/>
    </row>
    <row r="1351" spans="4:4">
      <c r="D1351" s="36"/>
    </row>
    <row r="1352" spans="4:4">
      <c r="D1352" s="36"/>
    </row>
    <row r="1353" spans="4:4">
      <c r="D1353" s="36"/>
    </row>
    <row r="1354" spans="4:4">
      <c r="D1354" s="36"/>
    </row>
    <row r="1355" spans="4:4">
      <c r="D1355" s="36"/>
    </row>
    <row r="1356" spans="4:4">
      <c r="D1356" s="36"/>
    </row>
    <row r="1357" spans="4:4">
      <c r="D1357" s="36"/>
    </row>
    <row r="1358" spans="4:4">
      <c r="D1358" s="36"/>
    </row>
    <row r="1359" spans="4:4">
      <c r="D1359" s="36"/>
    </row>
    <row r="1360" spans="4:4">
      <c r="D1360" s="36"/>
    </row>
    <row r="1361" spans="4:4">
      <c r="D1361" s="36"/>
    </row>
    <row r="1362" spans="4:4">
      <c r="D1362" s="36"/>
    </row>
    <row r="1363" spans="4:4">
      <c r="D1363" s="36"/>
    </row>
    <row r="1364" spans="4:4">
      <c r="D1364" s="36"/>
    </row>
    <row r="1365" spans="4:4">
      <c r="D1365" s="36"/>
    </row>
    <row r="1366" spans="4:4">
      <c r="D1366" s="36"/>
    </row>
    <row r="1367" spans="4:4">
      <c r="D1367" s="36"/>
    </row>
    <row r="1368" spans="4:4">
      <c r="D1368" s="36"/>
    </row>
    <row r="1369" spans="4:4">
      <c r="D1369" s="36"/>
    </row>
    <row r="1370" spans="4:4">
      <c r="D1370" s="36"/>
    </row>
    <row r="1371" spans="4:4">
      <c r="D1371" s="36"/>
    </row>
    <row r="1372" spans="4:4">
      <c r="D1372" s="36"/>
    </row>
    <row r="1373" spans="4:4">
      <c r="D1373" s="36"/>
    </row>
    <row r="1374" spans="4:4">
      <c r="D1374" s="36"/>
    </row>
    <row r="1375" spans="4:4">
      <c r="D1375" s="36"/>
    </row>
    <row r="1376" spans="4:4">
      <c r="D1376" s="36"/>
    </row>
    <row r="1377" spans="4:4">
      <c r="D1377" s="36"/>
    </row>
    <row r="1378" spans="4:4">
      <c r="D1378" s="36"/>
    </row>
    <row r="1379" spans="4:4">
      <c r="D1379" s="36"/>
    </row>
    <row r="1380" spans="4:4">
      <c r="D1380" s="36"/>
    </row>
    <row r="1381" spans="4:4">
      <c r="D1381" s="36"/>
    </row>
    <row r="1382" spans="4:4">
      <c r="D1382" s="36"/>
    </row>
    <row r="1383" spans="4:4">
      <c r="D1383" s="36"/>
    </row>
    <row r="1384" spans="4:4">
      <c r="D1384" s="36"/>
    </row>
    <row r="1385" spans="4:4">
      <c r="D1385" s="36"/>
    </row>
    <row r="1386" spans="4:4">
      <c r="D1386" s="36"/>
    </row>
    <row r="1387" spans="4:4">
      <c r="D1387" s="36"/>
    </row>
    <row r="1388" spans="4:4">
      <c r="D1388" s="36"/>
    </row>
    <row r="1389" spans="4:4">
      <c r="D1389" s="36"/>
    </row>
    <row r="1390" spans="4:4">
      <c r="D1390" s="36"/>
    </row>
    <row r="1391" spans="4:4">
      <c r="D1391" s="36"/>
    </row>
    <row r="1392" spans="4:4">
      <c r="D1392" s="36"/>
    </row>
    <row r="1393" spans="4:4">
      <c r="D1393" s="36"/>
    </row>
    <row r="1394" spans="4:4">
      <c r="D1394" s="36"/>
    </row>
    <row r="1395" spans="4:4">
      <c r="D1395" s="36"/>
    </row>
    <row r="1396" spans="4:4">
      <c r="D1396" s="36"/>
    </row>
    <row r="1397" spans="4:4">
      <c r="D1397" s="36"/>
    </row>
    <row r="1398" spans="4:4">
      <c r="D1398" s="36"/>
    </row>
    <row r="1399" spans="4:4">
      <c r="D1399" s="36"/>
    </row>
    <row r="1400" spans="4:4">
      <c r="D1400" s="36"/>
    </row>
    <row r="1401" spans="4:4">
      <c r="D1401" s="36"/>
    </row>
    <row r="1402" spans="4:4">
      <c r="D1402" s="36"/>
    </row>
    <row r="1403" spans="4:4">
      <c r="D1403" s="36"/>
    </row>
    <row r="1404" spans="4:4">
      <c r="D1404" s="36"/>
    </row>
    <row r="1405" spans="4:4">
      <c r="D1405" s="36"/>
    </row>
    <row r="1406" spans="4:4">
      <c r="D1406" s="36"/>
    </row>
    <row r="1407" spans="4:4">
      <c r="D1407" s="36"/>
    </row>
    <row r="1408" spans="4:4">
      <c r="D1408" s="36"/>
    </row>
    <row r="1409" spans="4:4">
      <c r="D1409" s="36"/>
    </row>
    <row r="1410" spans="4:4">
      <c r="D1410" s="36"/>
    </row>
    <row r="1411" spans="4:4">
      <c r="D1411" s="36"/>
    </row>
    <row r="1412" spans="4:4">
      <c r="D1412" s="36"/>
    </row>
    <row r="1413" spans="4:4">
      <c r="D1413" s="36"/>
    </row>
    <row r="1414" spans="4:4">
      <c r="D1414" s="36"/>
    </row>
    <row r="1415" spans="4:4">
      <c r="D1415" s="36"/>
    </row>
    <row r="1416" spans="4:4">
      <c r="D1416" s="36"/>
    </row>
    <row r="1417" spans="4:4">
      <c r="D1417" s="36"/>
    </row>
    <row r="1418" spans="4:4">
      <c r="D1418" s="36"/>
    </row>
    <row r="1419" spans="4:4">
      <c r="D1419" s="36"/>
    </row>
    <row r="1420" spans="4:4">
      <c r="D1420" s="36"/>
    </row>
    <row r="1421" spans="4:4">
      <c r="D1421" s="36"/>
    </row>
    <row r="1422" spans="4:4">
      <c r="D1422" s="36"/>
    </row>
    <row r="1423" spans="4:4">
      <c r="D1423" s="36"/>
    </row>
    <row r="1424" spans="4:4">
      <c r="D1424" s="36"/>
    </row>
    <row r="1425" spans="4:4">
      <c r="D1425" s="36"/>
    </row>
    <row r="1426" spans="4:4">
      <c r="D1426" s="36"/>
    </row>
    <row r="1427" spans="4:4">
      <c r="D1427" s="36"/>
    </row>
    <row r="1428" spans="4:4">
      <c r="D1428" s="36"/>
    </row>
    <row r="1429" spans="4:4">
      <c r="D1429" s="36"/>
    </row>
    <row r="1430" spans="4:4">
      <c r="D1430" s="36"/>
    </row>
    <row r="1431" spans="4:4">
      <c r="D1431" s="36"/>
    </row>
    <row r="1432" spans="4:4">
      <c r="D1432" s="36"/>
    </row>
    <row r="1433" spans="4:4">
      <c r="D1433" s="36"/>
    </row>
    <row r="1434" spans="4:4">
      <c r="D1434" s="36"/>
    </row>
    <row r="1435" spans="4:4">
      <c r="D1435" s="36"/>
    </row>
    <row r="1436" spans="4:4">
      <c r="D1436" s="36"/>
    </row>
    <row r="1437" spans="4:4">
      <c r="D1437" s="36"/>
    </row>
    <row r="1438" spans="4:4">
      <c r="D1438" s="36"/>
    </row>
    <row r="1439" spans="4:4">
      <c r="D1439" s="36"/>
    </row>
    <row r="1440" spans="4:4">
      <c r="D1440" s="36"/>
    </row>
    <row r="1441" spans="4:4">
      <c r="D1441" s="36"/>
    </row>
    <row r="1442" spans="4:4">
      <c r="D1442" s="36"/>
    </row>
    <row r="1443" spans="4:4">
      <c r="D1443" s="36"/>
    </row>
    <row r="1444" spans="4:4">
      <c r="D1444" s="36"/>
    </row>
    <row r="1445" spans="4:4">
      <c r="D1445" s="36"/>
    </row>
    <row r="1446" spans="4:4">
      <c r="D1446" s="36"/>
    </row>
    <row r="1447" spans="4:4">
      <c r="D1447" s="36"/>
    </row>
    <row r="1448" spans="4:4">
      <c r="D1448" s="36"/>
    </row>
    <row r="1449" spans="4:4">
      <c r="D1449" s="36"/>
    </row>
    <row r="1450" spans="4:4">
      <c r="D1450" s="36"/>
    </row>
    <row r="1451" spans="4:4">
      <c r="D1451" s="36"/>
    </row>
    <row r="1452" spans="4:4">
      <c r="D1452" s="36"/>
    </row>
    <row r="1453" spans="4:4">
      <c r="D1453" s="36"/>
    </row>
    <row r="1454" spans="4:4">
      <c r="D1454" s="36"/>
    </row>
    <row r="1455" spans="4:4">
      <c r="D1455" s="36"/>
    </row>
    <row r="1456" spans="4:4">
      <c r="D1456" s="36"/>
    </row>
    <row r="1457" spans="4:4">
      <c r="D1457" s="36"/>
    </row>
    <row r="1458" spans="4:4">
      <c r="D1458" s="36"/>
    </row>
    <row r="1459" spans="4:4">
      <c r="D1459" s="36"/>
    </row>
    <row r="1460" spans="4:4">
      <c r="D1460" s="36"/>
    </row>
    <row r="1461" spans="4:4">
      <c r="D1461" s="36"/>
    </row>
    <row r="1462" spans="4:4">
      <c r="D1462" s="36"/>
    </row>
    <row r="1463" spans="4:4">
      <c r="D1463" s="36"/>
    </row>
    <row r="1464" spans="4:4">
      <c r="D1464" s="36"/>
    </row>
    <row r="1465" spans="4:4">
      <c r="D1465" s="36"/>
    </row>
    <row r="1466" spans="4:4">
      <c r="D1466" s="36"/>
    </row>
    <row r="1467" spans="4:4">
      <c r="D1467" s="36"/>
    </row>
    <row r="1468" spans="4:4">
      <c r="D1468" s="36"/>
    </row>
    <row r="1469" spans="4:4">
      <c r="D1469" s="36"/>
    </row>
    <row r="1470" spans="4:4">
      <c r="D1470" s="36"/>
    </row>
    <row r="1471" spans="4:4">
      <c r="D1471" s="36"/>
    </row>
    <row r="1472" spans="4:4">
      <c r="D1472" s="36"/>
    </row>
    <row r="1473" spans="4:4">
      <c r="D1473" s="36"/>
    </row>
    <row r="1474" spans="4:4">
      <c r="D1474" s="36"/>
    </row>
    <row r="1475" spans="4:4">
      <c r="D1475" s="36"/>
    </row>
    <row r="1476" spans="4:4">
      <c r="D1476" s="36"/>
    </row>
    <row r="1477" spans="4:4">
      <c r="D1477" s="36"/>
    </row>
    <row r="1478" spans="4:4">
      <c r="D1478" s="36"/>
    </row>
    <row r="1479" spans="4:4">
      <c r="D1479" s="36"/>
    </row>
    <row r="1480" spans="4:4">
      <c r="D1480" s="36"/>
    </row>
    <row r="1481" spans="4:4">
      <c r="D1481" s="36"/>
    </row>
    <row r="1482" spans="4:4">
      <c r="D1482" s="36"/>
    </row>
    <row r="1483" spans="4:4">
      <c r="D1483" s="36"/>
    </row>
    <row r="1484" spans="4:4">
      <c r="D1484" s="36"/>
    </row>
    <row r="1485" spans="4:4">
      <c r="D1485" s="36"/>
    </row>
    <row r="1486" spans="4:4">
      <c r="D1486" s="36"/>
    </row>
    <row r="1487" spans="4:4">
      <c r="D1487" s="36"/>
    </row>
    <row r="1488" spans="4:4">
      <c r="D1488" s="36"/>
    </row>
    <row r="1489" spans="4:4">
      <c r="D1489" s="36"/>
    </row>
    <row r="1490" spans="4:4">
      <c r="D1490" s="36"/>
    </row>
    <row r="1491" spans="4:4">
      <c r="D1491" s="36"/>
    </row>
    <row r="1492" spans="4:4">
      <c r="D1492" s="36"/>
    </row>
    <row r="1493" spans="4:4">
      <c r="D1493" s="36"/>
    </row>
    <row r="1494" spans="4:4">
      <c r="D1494" s="36"/>
    </row>
    <row r="1495" spans="4:4">
      <c r="D1495" s="36"/>
    </row>
    <row r="1496" spans="4:4">
      <c r="D1496" s="36"/>
    </row>
    <row r="1497" spans="4:4">
      <c r="D1497" s="36"/>
    </row>
    <row r="1498" spans="4:4">
      <c r="D1498" s="36"/>
    </row>
    <row r="1499" spans="4:4">
      <c r="D1499" s="36"/>
    </row>
    <row r="1500" spans="4:4">
      <c r="D1500" s="36"/>
    </row>
    <row r="1501" spans="4:4">
      <c r="D1501" s="36"/>
    </row>
    <row r="1502" spans="4:4">
      <c r="D1502" s="36"/>
    </row>
    <row r="1503" spans="4:4">
      <c r="D1503" s="36"/>
    </row>
    <row r="1504" spans="4:4">
      <c r="D1504" s="36"/>
    </row>
    <row r="1505" spans="4:4">
      <c r="D1505" s="36"/>
    </row>
    <row r="1506" spans="4:4">
      <c r="D1506" s="36"/>
    </row>
    <row r="1507" spans="4:4">
      <c r="D1507" s="36"/>
    </row>
    <row r="1508" spans="4:4">
      <c r="D1508" s="36"/>
    </row>
    <row r="1509" spans="4:4">
      <c r="D1509" s="36"/>
    </row>
    <row r="1510" spans="4:4">
      <c r="D1510" s="36"/>
    </row>
    <row r="1511" spans="4:4">
      <c r="D1511" s="36"/>
    </row>
    <row r="1512" spans="4:4">
      <c r="D1512" s="36"/>
    </row>
    <row r="1513" spans="4:4">
      <c r="D1513" s="36"/>
    </row>
    <row r="1514" spans="4:4">
      <c r="D1514" s="36"/>
    </row>
    <row r="1515" spans="4:4">
      <c r="D1515" s="36"/>
    </row>
  </sheetData>
  <sheetProtection formatCells="0" formatColumns="0" formatRows="0" insertColumns="0" insertRows="0" insertHyperlinks="0" deleteColumns="0" deleteRows="0" sort="0" autoFilter="0" pivotTables="0"/>
  <sortState ref="A113:D116">
    <sortCondition ref="D113:D116"/>
  </sortState>
  <mergeCells count="1">
    <mergeCell ref="A1:D1"/>
  </mergeCells>
  <pageMargins left="0.7" right="0.7" top="0.75" bottom="0.75" header="0.3" footer="0.3"/>
  <pageSetup paperSize="9"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M322"/>
  <sheetViews>
    <sheetView topLeftCell="A22" workbookViewId="0">
      <selection activeCell="E36" sqref="E36"/>
    </sheetView>
  </sheetViews>
  <sheetFormatPr defaultRowHeight="11.25"/>
  <cols>
    <col min="1" max="1" width="21.28515625" style="44" customWidth="1"/>
    <col min="2" max="2" width="29.28515625" style="45" customWidth="1"/>
    <col min="3" max="3" width="86.7109375" style="45" customWidth="1"/>
    <col min="4" max="4" width="10.85546875" style="61" customWidth="1"/>
    <col min="5" max="38" width="9.140625" style="60"/>
    <col min="39" max="39" width="9.140625" style="39"/>
    <col min="40" max="16384" width="9.140625" style="26"/>
  </cols>
  <sheetData>
    <row r="1" spans="1:39" ht="77.25" customHeight="1"/>
    <row r="2" spans="1:39">
      <c r="A2" s="46" t="s">
        <v>205</v>
      </c>
      <c r="B2" s="47" t="s">
        <v>206</v>
      </c>
      <c r="C2" s="47" t="s">
        <v>326</v>
      </c>
      <c r="D2" s="62" t="s">
        <v>327</v>
      </c>
    </row>
    <row r="3" spans="1:39" s="27" customFormat="1">
      <c r="A3" s="48"/>
      <c r="B3" s="49"/>
      <c r="C3" s="49"/>
      <c r="D3" s="63"/>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40"/>
    </row>
    <row r="4" spans="1:39">
      <c r="A4" s="46" t="s">
        <v>312</v>
      </c>
    </row>
    <row r="5" spans="1:39">
      <c r="A5" s="51" t="s">
        <v>204</v>
      </c>
      <c r="B5" s="52" t="s">
        <v>620</v>
      </c>
      <c r="C5" s="52"/>
      <c r="D5" s="64">
        <v>648.98900000000003</v>
      </c>
    </row>
    <row r="6" spans="1:39">
      <c r="A6" s="51">
        <v>4905524761412</v>
      </c>
      <c r="B6" s="52" t="s">
        <v>621</v>
      </c>
      <c r="C6" s="52"/>
      <c r="D6" s="64">
        <v>472.98900000000003</v>
      </c>
    </row>
    <row r="7" spans="1:39">
      <c r="A7" s="51">
        <v>884938140294</v>
      </c>
      <c r="B7" s="52" t="s">
        <v>623</v>
      </c>
      <c r="C7" s="52"/>
      <c r="D7" s="64">
        <v>626.98900000000003</v>
      </c>
    </row>
    <row r="8" spans="1:39">
      <c r="A8" s="51">
        <v>4905524761481</v>
      </c>
      <c r="B8" s="52" t="s">
        <v>622</v>
      </c>
      <c r="C8" s="52"/>
      <c r="D8" s="64">
        <v>616</v>
      </c>
    </row>
    <row r="9" spans="1:39">
      <c r="A9" s="51">
        <v>884938116466</v>
      </c>
      <c r="B9" s="52" t="s">
        <v>624</v>
      </c>
      <c r="C9" s="52"/>
      <c r="D9" s="64">
        <v>467.98400000000004</v>
      </c>
    </row>
    <row r="11" spans="1:39">
      <c r="A11" s="46" t="s">
        <v>313</v>
      </c>
    </row>
    <row r="12" spans="1:39">
      <c r="A12" s="50" t="s">
        <v>314</v>
      </c>
    </row>
    <row r="13" spans="1:39">
      <c r="A13" s="51">
        <v>12562132983</v>
      </c>
      <c r="B13" s="52" t="s">
        <v>625</v>
      </c>
      <c r="C13" s="52"/>
      <c r="D13" s="64">
        <v>351.98900000000003</v>
      </c>
    </row>
    <row r="14" spans="1:39" s="27" customFormat="1">
      <c r="A14" s="51"/>
      <c r="B14" s="52"/>
      <c r="C14" s="52"/>
      <c r="D14" s="64"/>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40"/>
    </row>
    <row r="15" spans="1:39">
      <c r="A15" s="50" t="s">
        <v>319</v>
      </c>
      <c r="B15" s="52"/>
      <c r="C15" s="52"/>
      <c r="D15" s="65"/>
    </row>
    <row r="16" spans="1:39">
      <c r="A16" s="51">
        <v>884938125987</v>
      </c>
      <c r="B16" s="52" t="s">
        <v>606</v>
      </c>
      <c r="C16" s="52"/>
      <c r="D16" s="64">
        <v>285.98900000000003</v>
      </c>
    </row>
    <row r="17" spans="1:4">
      <c r="A17" s="51">
        <v>884938126014</v>
      </c>
      <c r="B17" s="52" t="s">
        <v>607</v>
      </c>
      <c r="C17" s="52"/>
      <c r="D17" s="64">
        <v>368.50000000000006</v>
      </c>
    </row>
    <row r="18" spans="1:4">
      <c r="A18" s="51" t="s">
        <v>198</v>
      </c>
      <c r="B18" s="52" t="s">
        <v>608</v>
      </c>
      <c r="C18" s="52"/>
      <c r="D18" s="64">
        <v>549.98900000000003</v>
      </c>
    </row>
    <row r="19" spans="1:4">
      <c r="A19" s="51">
        <v>6923410703566</v>
      </c>
      <c r="B19" s="52" t="s">
        <v>609</v>
      </c>
      <c r="C19" s="52"/>
      <c r="D19" s="64">
        <v>439.98900000000003</v>
      </c>
    </row>
    <row r="21" spans="1:4">
      <c r="A21" s="50" t="s">
        <v>315</v>
      </c>
    </row>
    <row r="22" spans="1:4">
      <c r="A22" s="51">
        <v>884938143608</v>
      </c>
      <c r="B22" s="52" t="s">
        <v>610</v>
      </c>
      <c r="C22" s="52"/>
      <c r="D22" s="64">
        <v>142.98900000000003</v>
      </c>
    </row>
    <row r="23" spans="1:4">
      <c r="A23" s="51" t="s">
        <v>195</v>
      </c>
      <c r="B23" s="52" t="s">
        <v>611</v>
      </c>
      <c r="C23" s="52"/>
      <c r="D23" s="64">
        <v>186.98900000000003</v>
      </c>
    </row>
    <row r="24" spans="1:4">
      <c r="A24" s="51">
        <v>4905524727937</v>
      </c>
      <c r="B24" s="52" t="s">
        <v>612</v>
      </c>
      <c r="C24" s="52"/>
      <c r="D24" s="64">
        <v>142.98900000000003</v>
      </c>
    </row>
    <row r="25" spans="1:4">
      <c r="A25" s="51">
        <v>884938143561</v>
      </c>
      <c r="B25" s="52" t="s">
        <v>613</v>
      </c>
      <c r="C25" s="52"/>
      <c r="D25" s="64">
        <v>137.5</v>
      </c>
    </row>
    <row r="26" spans="1:4">
      <c r="A26" s="51" t="s">
        <v>197</v>
      </c>
      <c r="B26" s="52" t="s">
        <v>614</v>
      </c>
      <c r="C26" s="52"/>
      <c r="D26" s="64">
        <v>120.989</v>
      </c>
    </row>
    <row r="28" spans="1:4">
      <c r="A28" s="50" t="s">
        <v>316</v>
      </c>
    </row>
    <row r="29" spans="1:4">
      <c r="A29" s="51">
        <v>884938126236</v>
      </c>
      <c r="B29" s="52" t="s">
        <v>615</v>
      </c>
      <c r="C29" s="52"/>
      <c r="D29" s="64">
        <v>428.98900000000003</v>
      </c>
    </row>
    <row r="30" spans="1:4">
      <c r="A30" s="51" t="s">
        <v>202</v>
      </c>
      <c r="B30" s="52" t="s">
        <v>616</v>
      </c>
      <c r="C30" s="52"/>
      <c r="D30" s="64">
        <v>423.50000000000006</v>
      </c>
    </row>
    <row r="31" spans="1:4">
      <c r="A31" s="51">
        <v>884938126205</v>
      </c>
      <c r="B31" s="52" t="s">
        <v>617</v>
      </c>
      <c r="C31" s="52"/>
      <c r="D31" s="64">
        <v>362.98900000000003</v>
      </c>
    </row>
    <row r="33" spans="1:39">
      <c r="A33" s="50" t="s">
        <v>320</v>
      </c>
    </row>
    <row r="34" spans="1:39">
      <c r="A34" s="51">
        <v>4988028125867</v>
      </c>
      <c r="B34" s="52" t="s">
        <v>618</v>
      </c>
      <c r="C34" s="52"/>
      <c r="D34" s="64">
        <v>527.98900000000003</v>
      </c>
    </row>
    <row r="36" spans="1:39">
      <c r="A36" s="46" t="s">
        <v>317</v>
      </c>
    </row>
    <row r="37" spans="1:39">
      <c r="A37" s="51" t="s">
        <v>199</v>
      </c>
      <c r="B37" s="52" t="s">
        <v>619</v>
      </c>
      <c r="C37" s="52"/>
      <c r="D37" s="64">
        <v>538.98900000000003</v>
      </c>
    </row>
    <row r="38" spans="1:39">
      <c r="A38" s="51" t="s">
        <v>200</v>
      </c>
      <c r="B38" s="52" t="s">
        <v>321</v>
      </c>
      <c r="C38" s="52"/>
      <c r="D38" s="64">
        <v>659.98900000000003</v>
      </c>
    </row>
    <row r="40" spans="1:39">
      <c r="A40" s="46" t="s">
        <v>318</v>
      </c>
    </row>
    <row r="41" spans="1:39">
      <c r="A41" s="51">
        <v>812902010434</v>
      </c>
      <c r="B41" s="52" t="s">
        <v>322</v>
      </c>
      <c r="C41" s="52"/>
      <c r="D41" s="64">
        <v>362.98900000000003</v>
      </c>
    </row>
    <row r="42" spans="1:39">
      <c r="A42" s="51" t="s">
        <v>196</v>
      </c>
      <c r="B42" s="52" t="s">
        <v>201</v>
      </c>
      <c r="C42" s="52"/>
      <c r="D42" s="64">
        <v>186.98900000000003</v>
      </c>
    </row>
    <row r="43" spans="1:39">
      <c r="A43" s="51">
        <v>6007762005582</v>
      </c>
      <c r="B43" s="52" t="s">
        <v>203</v>
      </c>
      <c r="C43" s="52"/>
      <c r="D43" s="64">
        <v>527.98900000000003</v>
      </c>
    </row>
    <row r="44" spans="1:39" s="28" customFormat="1">
      <c r="A44" s="53"/>
      <c r="B44" s="54"/>
      <c r="C44" s="54"/>
      <c r="D44" s="66"/>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c r="AG44" s="60"/>
      <c r="AH44" s="60"/>
      <c r="AI44" s="60"/>
      <c r="AJ44" s="60"/>
      <c r="AK44" s="60"/>
      <c r="AL44" s="60"/>
      <c r="AM44" s="41"/>
    </row>
    <row r="45" spans="1:39" s="60" customFormat="1">
      <c r="A45" s="57"/>
      <c r="B45" s="58"/>
      <c r="C45" s="58"/>
      <c r="D45" s="59"/>
    </row>
    <row r="46" spans="1:39" s="60" customFormat="1">
      <c r="A46" s="57"/>
      <c r="B46" s="58"/>
      <c r="C46" s="58"/>
      <c r="D46" s="59"/>
    </row>
    <row r="47" spans="1:39" s="60" customFormat="1">
      <c r="A47" s="57"/>
      <c r="B47" s="58"/>
      <c r="C47" s="58"/>
      <c r="D47" s="59"/>
    </row>
    <row r="48" spans="1:39" s="60" customFormat="1">
      <c r="A48" s="57"/>
      <c r="B48" s="58"/>
      <c r="C48" s="58"/>
      <c r="D48" s="59"/>
    </row>
    <row r="49" spans="1:4" s="60" customFormat="1">
      <c r="A49" s="57"/>
      <c r="B49" s="58"/>
      <c r="C49" s="58"/>
      <c r="D49" s="59"/>
    </row>
    <row r="50" spans="1:4" s="60" customFormat="1">
      <c r="A50" s="57"/>
      <c r="B50" s="58"/>
      <c r="C50" s="58"/>
      <c r="D50" s="59"/>
    </row>
    <row r="51" spans="1:4" s="60" customFormat="1">
      <c r="A51" s="57"/>
      <c r="B51" s="58"/>
      <c r="C51" s="58"/>
      <c r="D51" s="59"/>
    </row>
    <row r="52" spans="1:4" s="60" customFormat="1">
      <c r="A52" s="57"/>
      <c r="B52" s="58"/>
      <c r="C52" s="58"/>
      <c r="D52" s="59"/>
    </row>
    <row r="53" spans="1:4" s="60" customFormat="1">
      <c r="A53" s="57"/>
      <c r="B53" s="58"/>
      <c r="C53" s="58"/>
      <c r="D53" s="59"/>
    </row>
    <row r="54" spans="1:4" s="60" customFormat="1">
      <c r="A54" s="57"/>
      <c r="B54" s="58"/>
      <c r="C54" s="58"/>
      <c r="D54" s="59"/>
    </row>
    <row r="55" spans="1:4" s="60" customFormat="1">
      <c r="A55" s="57"/>
      <c r="B55" s="58"/>
      <c r="C55" s="58"/>
      <c r="D55" s="59"/>
    </row>
    <row r="56" spans="1:4" s="60" customFormat="1">
      <c r="A56" s="57"/>
      <c r="B56" s="58"/>
      <c r="C56" s="58"/>
      <c r="D56" s="59"/>
    </row>
    <row r="57" spans="1:4" s="60" customFormat="1">
      <c r="A57" s="57"/>
      <c r="B57" s="58"/>
      <c r="C57" s="58"/>
      <c r="D57" s="59"/>
    </row>
    <row r="58" spans="1:4" s="60" customFormat="1">
      <c r="A58" s="57"/>
      <c r="B58" s="58"/>
      <c r="C58" s="58"/>
      <c r="D58" s="59"/>
    </row>
    <row r="59" spans="1:4" s="60" customFormat="1">
      <c r="A59" s="57"/>
      <c r="B59" s="58"/>
      <c r="C59" s="58"/>
      <c r="D59" s="59"/>
    </row>
    <row r="60" spans="1:4" s="60" customFormat="1">
      <c r="A60" s="57"/>
      <c r="B60" s="58"/>
      <c r="C60" s="58"/>
      <c r="D60" s="59"/>
    </row>
    <row r="61" spans="1:4" s="60" customFormat="1">
      <c r="A61" s="57"/>
      <c r="B61" s="58"/>
      <c r="C61" s="58"/>
      <c r="D61" s="59"/>
    </row>
    <row r="62" spans="1:4" s="60" customFormat="1">
      <c r="A62" s="57"/>
      <c r="B62" s="58"/>
      <c r="C62" s="58"/>
      <c r="D62" s="59"/>
    </row>
    <row r="63" spans="1:4" s="60" customFormat="1">
      <c r="A63" s="57"/>
      <c r="B63" s="58"/>
      <c r="C63" s="58"/>
      <c r="D63" s="59"/>
    </row>
    <row r="64" spans="1:4" s="60" customFormat="1">
      <c r="A64" s="57"/>
      <c r="B64" s="58"/>
      <c r="C64" s="58"/>
      <c r="D64" s="59"/>
    </row>
    <row r="65" spans="1:4" s="60" customFormat="1">
      <c r="A65" s="57"/>
      <c r="B65" s="58"/>
      <c r="C65" s="58"/>
      <c r="D65" s="59"/>
    </row>
    <row r="66" spans="1:4" s="60" customFormat="1">
      <c r="A66" s="57"/>
      <c r="B66" s="58"/>
      <c r="C66" s="58"/>
      <c r="D66" s="59"/>
    </row>
    <row r="67" spans="1:4" s="60" customFormat="1">
      <c r="A67" s="57"/>
      <c r="B67" s="58"/>
      <c r="C67" s="58"/>
      <c r="D67" s="59"/>
    </row>
    <row r="68" spans="1:4" s="60" customFormat="1">
      <c r="A68" s="57"/>
      <c r="B68" s="58"/>
      <c r="C68" s="58"/>
      <c r="D68" s="59"/>
    </row>
    <row r="69" spans="1:4" s="60" customFormat="1">
      <c r="A69" s="57"/>
      <c r="B69" s="58"/>
      <c r="C69" s="58"/>
      <c r="D69" s="59"/>
    </row>
    <row r="70" spans="1:4" s="60" customFormat="1">
      <c r="A70" s="57"/>
      <c r="B70" s="58"/>
      <c r="C70" s="58"/>
      <c r="D70" s="59"/>
    </row>
    <row r="71" spans="1:4" s="60" customFormat="1">
      <c r="A71" s="57"/>
      <c r="B71" s="58"/>
      <c r="C71" s="58"/>
      <c r="D71" s="59"/>
    </row>
    <row r="72" spans="1:4" s="60" customFormat="1">
      <c r="A72" s="57"/>
      <c r="B72" s="58"/>
      <c r="C72" s="58"/>
      <c r="D72" s="59"/>
    </row>
    <row r="73" spans="1:4" s="60" customFormat="1">
      <c r="A73" s="57"/>
      <c r="B73" s="58"/>
      <c r="C73" s="58"/>
      <c r="D73" s="59"/>
    </row>
    <row r="74" spans="1:4" s="60" customFormat="1">
      <c r="A74" s="57"/>
      <c r="B74" s="58"/>
      <c r="C74" s="58"/>
      <c r="D74" s="59"/>
    </row>
    <row r="75" spans="1:4" s="60" customFormat="1">
      <c r="A75" s="57"/>
      <c r="B75" s="58"/>
      <c r="C75" s="58"/>
      <c r="D75" s="59"/>
    </row>
    <row r="76" spans="1:4" s="60" customFormat="1">
      <c r="A76" s="57"/>
      <c r="B76" s="58"/>
      <c r="C76" s="58"/>
      <c r="D76" s="59"/>
    </row>
    <row r="77" spans="1:4" s="60" customFormat="1">
      <c r="A77" s="57"/>
      <c r="B77" s="58"/>
      <c r="C77" s="58"/>
      <c r="D77" s="59"/>
    </row>
    <row r="78" spans="1:4" s="60" customFormat="1">
      <c r="A78" s="57"/>
      <c r="B78" s="58"/>
      <c r="C78" s="58"/>
      <c r="D78" s="59"/>
    </row>
    <row r="79" spans="1:4" s="60" customFormat="1">
      <c r="A79" s="57"/>
      <c r="B79" s="58"/>
      <c r="C79" s="58"/>
      <c r="D79" s="59"/>
    </row>
    <row r="80" spans="1:4" s="60" customFormat="1">
      <c r="A80" s="57"/>
      <c r="B80" s="58"/>
      <c r="C80" s="58"/>
      <c r="D80" s="59"/>
    </row>
    <row r="81" spans="1:4" s="60" customFormat="1">
      <c r="A81" s="57"/>
      <c r="B81" s="58"/>
      <c r="C81" s="58"/>
      <c r="D81" s="59"/>
    </row>
    <row r="82" spans="1:4" s="60" customFormat="1">
      <c r="A82" s="57"/>
      <c r="B82" s="58"/>
      <c r="C82" s="58"/>
      <c r="D82" s="59"/>
    </row>
    <row r="83" spans="1:4" s="60" customFormat="1">
      <c r="A83" s="57"/>
      <c r="B83" s="58"/>
      <c r="C83" s="58"/>
      <c r="D83" s="59"/>
    </row>
    <row r="84" spans="1:4" s="60" customFormat="1">
      <c r="A84" s="57"/>
      <c r="B84" s="58"/>
      <c r="C84" s="58"/>
      <c r="D84" s="59"/>
    </row>
    <row r="85" spans="1:4" s="60" customFormat="1">
      <c r="A85" s="57"/>
      <c r="B85" s="58"/>
      <c r="C85" s="58"/>
      <c r="D85" s="59"/>
    </row>
    <row r="86" spans="1:4" s="60" customFormat="1">
      <c r="A86" s="57"/>
      <c r="B86" s="58"/>
      <c r="C86" s="58"/>
      <c r="D86" s="59"/>
    </row>
    <row r="87" spans="1:4" s="60" customFormat="1">
      <c r="A87" s="57"/>
      <c r="B87" s="58"/>
      <c r="C87" s="58"/>
      <c r="D87" s="59"/>
    </row>
    <row r="88" spans="1:4" s="60" customFormat="1">
      <c r="A88" s="57"/>
      <c r="B88" s="58"/>
      <c r="C88" s="58"/>
      <c r="D88" s="59"/>
    </row>
    <row r="89" spans="1:4" s="60" customFormat="1">
      <c r="A89" s="57"/>
      <c r="B89" s="58"/>
      <c r="C89" s="58"/>
      <c r="D89" s="59"/>
    </row>
    <row r="90" spans="1:4" s="60" customFormat="1">
      <c r="A90" s="57"/>
      <c r="B90" s="58"/>
      <c r="C90" s="58"/>
      <c r="D90" s="59"/>
    </row>
    <row r="91" spans="1:4" s="60" customFormat="1">
      <c r="A91" s="57"/>
      <c r="B91" s="58"/>
      <c r="C91" s="58"/>
      <c r="D91" s="59"/>
    </row>
    <row r="92" spans="1:4" s="60" customFormat="1">
      <c r="A92" s="57"/>
      <c r="B92" s="58"/>
      <c r="C92" s="58"/>
      <c r="D92" s="59"/>
    </row>
    <row r="93" spans="1:4" s="60" customFormat="1">
      <c r="A93" s="57"/>
      <c r="B93" s="58"/>
      <c r="C93" s="58"/>
      <c r="D93" s="59"/>
    </row>
    <row r="94" spans="1:4" s="60" customFormat="1">
      <c r="A94" s="57"/>
      <c r="B94" s="58"/>
      <c r="C94" s="58"/>
      <c r="D94" s="59"/>
    </row>
    <row r="95" spans="1:4" s="60" customFormat="1">
      <c r="A95" s="57"/>
      <c r="B95" s="58"/>
      <c r="C95" s="58"/>
      <c r="D95" s="59"/>
    </row>
    <row r="96" spans="1:4" s="60" customFormat="1">
      <c r="A96" s="57"/>
      <c r="B96" s="58"/>
      <c r="C96" s="58"/>
      <c r="D96" s="59"/>
    </row>
    <row r="97" spans="1:4" s="60" customFormat="1">
      <c r="A97" s="57"/>
      <c r="B97" s="58"/>
      <c r="C97" s="58"/>
      <c r="D97" s="59"/>
    </row>
    <row r="98" spans="1:4" s="60" customFormat="1">
      <c r="A98" s="57"/>
      <c r="B98" s="58"/>
      <c r="C98" s="58"/>
      <c r="D98" s="59"/>
    </row>
    <row r="99" spans="1:4" s="60" customFormat="1">
      <c r="A99" s="57"/>
      <c r="B99" s="58"/>
      <c r="C99" s="58"/>
      <c r="D99" s="59"/>
    </row>
    <row r="100" spans="1:4" s="60" customFormat="1">
      <c r="A100" s="57"/>
      <c r="B100" s="58"/>
      <c r="C100" s="58"/>
      <c r="D100" s="59"/>
    </row>
    <row r="101" spans="1:4" s="60" customFormat="1">
      <c r="A101" s="57"/>
      <c r="B101" s="58"/>
      <c r="C101" s="58"/>
      <c r="D101" s="59"/>
    </row>
    <row r="102" spans="1:4" s="60" customFormat="1">
      <c r="A102" s="57"/>
      <c r="B102" s="58"/>
      <c r="C102" s="58"/>
      <c r="D102" s="59"/>
    </row>
    <row r="103" spans="1:4" s="60" customFormat="1">
      <c r="A103" s="57"/>
      <c r="B103" s="58"/>
      <c r="C103" s="58"/>
      <c r="D103" s="59"/>
    </row>
    <row r="104" spans="1:4" s="60" customFormat="1">
      <c r="A104" s="57"/>
      <c r="B104" s="58"/>
      <c r="C104" s="58"/>
      <c r="D104" s="59"/>
    </row>
    <row r="105" spans="1:4" s="60" customFormat="1">
      <c r="A105" s="57"/>
      <c r="B105" s="58"/>
      <c r="C105" s="58"/>
      <c r="D105" s="59"/>
    </row>
    <row r="106" spans="1:4" s="60" customFormat="1">
      <c r="A106" s="57"/>
      <c r="B106" s="58"/>
      <c r="C106" s="58"/>
      <c r="D106" s="59"/>
    </row>
    <row r="107" spans="1:4" s="60" customFormat="1">
      <c r="A107" s="57"/>
      <c r="B107" s="58"/>
      <c r="C107" s="58"/>
      <c r="D107" s="59"/>
    </row>
    <row r="108" spans="1:4" s="60" customFormat="1">
      <c r="A108" s="57"/>
      <c r="B108" s="58"/>
      <c r="C108" s="58"/>
      <c r="D108" s="59"/>
    </row>
    <row r="109" spans="1:4" s="60" customFormat="1">
      <c r="A109" s="57"/>
      <c r="B109" s="58"/>
      <c r="C109" s="58"/>
      <c r="D109" s="59"/>
    </row>
    <row r="110" spans="1:4" s="60" customFormat="1">
      <c r="A110" s="57"/>
      <c r="B110" s="58"/>
      <c r="C110" s="58"/>
      <c r="D110" s="59"/>
    </row>
    <row r="111" spans="1:4" s="60" customFormat="1">
      <c r="A111" s="57"/>
      <c r="B111" s="58"/>
      <c r="C111" s="58"/>
      <c r="D111" s="59"/>
    </row>
    <row r="112" spans="1:4" s="60" customFormat="1">
      <c r="A112" s="57"/>
      <c r="B112" s="58"/>
      <c r="C112" s="58"/>
      <c r="D112" s="59"/>
    </row>
    <row r="113" spans="1:4" s="60" customFormat="1">
      <c r="A113" s="57"/>
      <c r="B113" s="58"/>
      <c r="C113" s="58"/>
      <c r="D113" s="59"/>
    </row>
    <row r="114" spans="1:4" s="60" customFormat="1">
      <c r="A114" s="57"/>
      <c r="B114" s="58"/>
      <c r="C114" s="58"/>
      <c r="D114" s="59"/>
    </row>
    <row r="115" spans="1:4" s="60" customFormat="1">
      <c r="A115" s="57"/>
      <c r="B115" s="58"/>
      <c r="C115" s="58"/>
      <c r="D115" s="59"/>
    </row>
    <row r="116" spans="1:4" s="60" customFormat="1">
      <c r="A116" s="57"/>
      <c r="B116" s="58"/>
      <c r="C116" s="58"/>
      <c r="D116" s="59"/>
    </row>
    <row r="117" spans="1:4" s="60" customFormat="1">
      <c r="A117" s="57"/>
      <c r="B117" s="58"/>
      <c r="C117" s="58"/>
      <c r="D117" s="59"/>
    </row>
    <row r="118" spans="1:4" s="60" customFormat="1">
      <c r="A118" s="57"/>
      <c r="B118" s="58"/>
      <c r="C118" s="58"/>
      <c r="D118" s="59"/>
    </row>
    <row r="119" spans="1:4" s="60" customFormat="1">
      <c r="A119" s="57"/>
      <c r="B119" s="58"/>
      <c r="C119" s="58"/>
      <c r="D119" s="59"/>
    </row>
    <row r="120" spans="1:4" s="60" customFormat="1">
      <c r="A120" s="57"/>
      <c r="B120" s="58"/>
      <c r="C120" s="58"/>
      <c r="D120" s="59"/>
    </row>
    <row r="121" spans="1:4" s="60" customFormat="1">
      <c r="A121" s="57"/>
      <c r="B121" s="58"/>
      <c r="C121" s="58"/>
      <c r="D121" s="59"/>
    </row>
    <row r="122" spans="1:4" s="60" customFormat="1">
      <c r="A122" s="57"/>
      <c r="B122" s="58"/>
      <c r="C122" s="58"/>
      <c r="D122" s="59"/>
    </row>
    <row r="123" spans="1:4" s="60" customFormat="1">
      <c r="A123" s="57"/>
      <c r="B123" s="58"/>
      <c r="C123" s="58"/>
      <c r="D123" s="59"/>
    </row>
    <row r="124" spans="1:4" s="60" customFormat="1">
      <c r="A124" s="57"/>
      <c r="B124" s="58"/>
      <c r="C124" s="58"/>
      <c r="D124" s="59"/>
    </row>
    <row r="125" spans="1:4" s="60" customFormat="1">
      <c r="A125" s="57"/>
      <c r="B125" s="58"/>
      <c r="C125" s="58"/>
      <c r="D125" s="59"/>
    </row>
    <row r="126" spans="1:4" s="60" customFormat="1">
      <c r="A126" s="57"/>
      <c r="B126" s="58"/>
      <c r="C126" s="58"/>
      <c r="D126" s="59"/>
    </row>
    <row r="127" spans="1:4" s="60" customFormat="1">
      <c r="A127" s="57"/>
      <c r="B127" s="58"/>
      <c r="C127" s="58"/>
      <c r="D127" s="59"/>
    </row>
    <row r="128" spans="1:4" s="60" customFormat="1">
      <c r="A128" s="57"/>
      <c r="B128" s="58"/>
      <c r="C128" s="58"/>
      <c r="D128" s="59"/>
    </row>
    <row r="129" spans="1:4" s="60" customFormat="1">
      <c r="A129" s="57"/>
      <c r="B129" s="58"/>
      <c r="C129" s="58"/>
      <c r="D129" s="59"/>
    </row>
    <row r="130" spans="1:4" s="60" customFormat="1">
      <c r="A130" s="57"/>
      <c r="B130" s="58"/>
      <c r="C130" s="58"/>
      <c r="D130" s="59"/>
    </row>
    <row r="131" spans="1:4" s="60" customFormat="1">
      <c r="A131" s="57"/>
      <c r="B131" s="58"/>
      <c r="C131" s="58"/>
      <c r="D131" s="59"/>
    </row>
    <row r="132" spans="1:4" s="60" customFormat="1">
      <c r="A132" s="57"/>
      <c r="B132" s="58"/>
      <c r="C132" s="58"/>
      <c r="D132" s="59"/>
    </row>
    <row r="133" spans="1:4" s="60" customFormat="1">
      <c r="A133" s="57"/>
      <c r="B133" s="58"/>
      <c r="C133" s="58"/>
      <c r="D133" s="59"/>
    </row>
    <row r="134" spans="1:4" s="60" customFormat="1">
      <c r="A134" s="57"/>
      <c r="B134" s="58"/>
      <c r="C134" s="58"/>
      <c r="D134" s="59"/>
    </row>
    <row r="135" spans="1:4" s="60" customFormat="1">
      <c r="A135" s="57"/>
      <c r="B135" s="58"/>
      <c r="C135" s="58"/>
      <c r="D135" s="59"/>
    </row>
    <row r="136" spans="1:4" s="60" customFormat="1">
      <c r="A136" s="57"/>
      <c r="B136" s="58"/>
      <c r="C136" s="58"/>
      <c r="D136" s="59"/>
    </row>
    <row r="137" spans="1:4" s="60" customFormat="1">
      <c r="A137" s="57"/>
      <c r="B137" s="58"/>
      <c r="C137" s="58"/>
      <c r="D137" s="59"/>
    </row>
    <row r="138" spans="1:4" s="60" customFormat="1">
      <c r="A138" s="57"/>
      <c r="B138" s="58"/>
      <c r="C138" s="58"/>
      <c r="D138" s="59"/>
    </row>
    <row r="139" spans="1:4" s="60" customFormat="1">
      <c r="A139" s="57"/>
      <c r="B139" s="58"/>
      <c r="C139" s="58"/>
      <c r="D139" s="59"/>
    </row>
    <row r="140" spans="1:4" s="60" customFormat="1">
      <c r="A140" s="57"/>
      <c r="B140" s="58"/>
      <c r="C140" s="58"/>
      <c r="D140" s="59"/>
    </row>
    <row r="141" spans="1:4" s="60" customFormat="1">
      <c r="A141" s="57"/>
      <c r="B141" s="58"/>
      <c r="C141" s="58"/>
      <c r="D141" s="59"/>
    </row>
    <row r="142" spans="1:4" s="60" customFormat="1">
      <c r="A142" s="57"/>
      <c r="B142" s="58"/>
      <c r="C142" s="58"/>
      <c r="D142" s="59"/>
    </row>
    <row r="143" spans="1:4" s="60" customFormat="1">
      <c r="A143" s="57"/>
      <c r="B143" s="58"/>
      <c r="C143" s="58"/>
      <c r="D143" s="59"/>
    </row>
    <row r="144" spans="1:4" s="60" customFormat="1">
      <c r="A144" s="57"/>
      <c r="B144" s="58"/>
      <c r="C144" s="58"/>
      <c r="D144" s="59"/>
    </row>
    <row r="145" spans="1:4" s="60" customFormat="1">
      <c r="A145" s="57"/>
      <c r="B145" s="58"/>
      <c r="C145" s="58"/>
      <c r="D145" s="59"/>
    </row>
    <row r="146" spans="1:4" s="60" customFormat="1">
      <c r="A146" s="57"/>
      <c r="B146" s="58"/>
      <c r="C146" s="58"/>
      <c r="D146" s="59"/>
    </row>
    <row r="147" spans="1:4" s="60" customFormat="1">
      <c r="A147" s="57"/>
      <c r="B147" s="58"/>
      <c r="C147" s="58"/>
      <c r="D147" s="59"/>
    </row>
    <row r="148" spans="1:4" s="60" customFormat="1">
      <c r="A148" s="57"/>
      <c r="B148" s="58"/>
      <c r="C148" s="58"/>
      <c r="D148" s="59"/>
    </row>
    <row r="149" spans="1:4" s="60" customFormat="1">
      <c r="A149" s="57"/>
      <c r="B149" s="58"/>
      <c r="C149" s="58"/>
      <c r="D149" s="59"/>
    </row>
    <row r="150" spans="1:4" s="60" customFormat="1">
      <c r="A150" s="57"/>
      <c r="B150" s="58"/>
      <c r="C150" s="58"/>
      <c r="D150" s="59"/>
    </row>
    <row r="151" spans="1:4" s="60" customFormat="1">
      <c r="A151" s="57"/>
      <c r="B151" s="58"/>
      <c r="C151" s="58"/>
      <c r="D151" s="59"/>
    </row>
    <row r="152" spans="1:4" s="60" customFormat="1">
      <c r="A152" s="57"/>
      <c r="B152" s="58"/>
      <c r="C152" s="58"/>
      <c r="D152" s="59"/>
    </row>
    <row r="153" spans="1:4" s="60" customFormat="1">
      <c r="A153" s="57"/>
      <c r="B153" s="58"/>
      <c r="C153" s="58"/>
      <c r="D153" s="59"/>
    </row>
    <row r="154" spans="1:4" s="60" customFormat="1">
      <c r="A154" s="57"/>
      <c r="B154" s="58"/>
      <c r="C154" s="58"/>
      <c r="D154" s="59"/>
    </row>
    <row r="155" spans="1:4" s="60" customFormat="1">
      <c r="A155" s="57"/>
      <c r="B155" s="58"/>
      <c r="C155" s="58"/>
      <c r="D155" s="59"/>
    </row>
    <row r="156" spans="1:4" s="60" customFormat="1">
      <c r="A156" s="57"/>
      <c r="B156" s="58"/>
      <c r="C156" s="58"/>
      <c r="D156" s="59"/>
    </row>
    <row r="157" spans="1:4" s="60" customFormat="1">
      <c r="A157" s="57"/>
      <c r="B157" s="58"/>
      <c r="C157" s="58"/>
      <c r="D157" s="59"/>
    </row>
    <row r="158" spans="1:4" s="60" customFormat="1">
      <c r="A158" s="57"/>
      <c r="B158" s="58"/>
      <c r="C158" s="58"/>
      <c r="D158" s="59"/>
    </row>
    <row r="159" spans="1:4" s="60" customFormat="1">
      <c r="A159" s="57"/>
      <c r="B159" s="58"/>
      <c r="C159" s="58"/>
      <c r="D159" s="59"/>
    </row>
    <row r="160" spans="1:4" s="60" customFormat="1">
      <c r="A160" s="57"/>
      <c r="B160" s="58"/>
      <c r="C160" s="58"/>
      <c r="D160" s="59"/>
    </row>
    <row r="161" spans="1:4" s="60" customFormat="1">
      <c r="A161" s="57"/>
      <c r="B161" s="58"/>
      <c r="C161" s="58"/>
      <c r="D161" s="59"/>
    </row>
    <row r="162" spans="1:4" s="60" customFormat="1">
      <c r="A162" s="57"/>
      <c r="B162" s="58"/>
      <c r="C162" s="58"/>
      <c r="D162" s="59"/>
    </row>
    <row r="163" spans="1:4" s="60" customFormat="1">
      <c r="A163" s="57"/>
      <c r="B163" s="58"/>
      <c r="C163" s="58"/>
      <c r="D163" s="59"/>
    </row>
    <row r="164" spans="1:4" s="60" customFormat="1">
      <c r="A164" s="57"/>
      <c r="B164" s="58"/>
      <c r="C164" s="58"/>
      <c r="D164" s="59"/>
    </row>
    <row r="165" spans="1:4" s="60" customFormat="1">
      <c r="A165" s="57"/>
      <c r="B165" s="58"/>
      <c r="C165" s="58"/>
      <c r="D165" s="59"/>
    </row>
    <row r="166" spans="1:4" s="60" customFormat="1">
      <c r="A166" s="57"/>
      <c r="B166" s="58"/>
      <c r="C166" s="58"/>
      <c r="D166" s="59"/>
    </row>
    <row r="167" spans="1:4" s="60" customFormat="1">
      <c r="A167" s="57"/>
      <c r="B167" s="58"/>
      <c r="C167" s="58"/>
      <c r="D167" s="59"/>
    </row>
    <row r="168" spans="1:4" s="60" customFormat="1">
      <c r="A168" s="57"/>
      <c r="B168" s="58"/>
      <c r="C168" s="58"/>
      <c r="D168" s="59"/>
    </row>
    <row r="169" spans="1:4" s="60" customFormat="1">
      <c r="A169" s="57"/>
      <c r="B169" s="58"/>
      <c r="C169" s="58"/>
      <c r="D169" s="59"/>
    </row>
    <row r="170" spans="1:4" s="60" customFormat="1">
      <c r="A170" s="57"/>
      <c r="B170" s="58"/>
      <c r="C170" s="58"/>
      <c r="D170" s="59"/>
    </row>
    <row r="171" spans="1:4" s="60" customFormat="1">
      <c r="A171" s="57"/>
      <c r="B171" s="58"/>
      <c r="C171" s="58"/>
      <c r="D171" s="59"/>
    </row>
    <row r="172" spans="1:4" s="60" customFormat="1">
      <c r="A172" s="57"/>
      <c r="B172" s="58"/>
      <c r="C172" s="58"/>
      <c r="D172" s="59"/>
    </row>
    <row r="173" spans="1:4" s="60" customFormat="1">
      <c r="A173" s="57"/>
      <c r="B173" s="58"/>
      <c r="C173" s="58"/>
      <c r="D173" s="59"/>
    </row>
    <row r="174" spans="1:4" s="60" customFormat="1">
      <c r="A174" s="57"/>
      <c r="B174" s="58"/>
      <c r="C174" s="58"/>
      <c r="D174" s="59"/>
    </row>
    <row r="175" spans="1:4" s="60" customFormat="1">
      <c r="A175" s="57"/>
      <c r="B175" s="58"/>
      <c r="C175" s="58"/>
      <c r="D175" s="59"/>
    </row>
    <row r="176" spans="1:4" s="60" customFormat="1">
      <c r="A176" s="57"/>
      <c r="B176" s="58"/>
      <c r="C176" s="58"/>
      <c r="D176" s="59"/>
    </row>
    <row r="177" spans="1:4" s="60" customFormat="1">
      <c r="A177" s="57"/>
      <c r="B177" s="58"/>
      <c r="C177" s="58"/>
      <c r="D177" s="59"/>
    </row>
    <row r="178" spans="1:4" s="60" customFormat="1">
      <c r="A178" s="57"/>
      <c r="B178" s="58"/>
      <c r="C178" s="58"/>
      <c r="D178" s="59"/>
    </row>
    <row r="179" spans="1:4" s="60" customFormat="1">
      <c r="A179" s="57"/>
      <c r="B179" s="58"/>
      <c r="C179" s="58"/>
      <c r="D179" s="59"/>
    </row>
    <row r="180" spans="1:4" s="60" customFormat="1">
      <c r="A180" s="57"/>
      <c r="B180" s="58"/>
      <c r="C180" s="58"/>
      <c r="D180" s="59"/>
    </row>
    <row r="181" spans="1:4" s="60" customFormat="1">
      <c r="A181" s="57"/>
      <c r="B181" s="58"/>
      <c r="C181" s="58"/>
      <c r="D181" s="59"/>
    </row>
    <row r="182" spans="1:4" s="60" customFormat="1">
      <c r="A182" s="57"/>
      <c r="B182" s="58"/>
      <c r="C182" s="58"/>
      <c r="D182" s="59"/>
    </row>
    <row r="183" spans="1:4" s="60" customFormat="1">
      <c r="A183" s="57"/>
      <c r="B183" s="58"/>
      <c r="C183" s="58"/>
      <c r="D183" s="59"/>
    </row>
    <row r="184" spans="1:4" s="60" customFormat="1">
      <c r="A184" s="57"/>
      <c r="B184" s="58"/>
      <c r="C184" s="58"/>
      <c r="D184" s="59"/>
    </row>
    <row r="185" spans="1:4" s="60" customFormat="1">
      <c r="A185" s="57"/>
      <c r="B185" s="58"/>
      <c r="C185" s="58"/>
      <c r="D185" s="59"/>
    </row>
    <row r="186" spans="1:4" s="60" customFormat="1">
      <c r="A186" s="57"/>
      <c r="B186" s="58"/>
      <c r="C186" s="58"/>
      <c r="D186" s="59"/>
    </row>
    <row r="187" spans="1:4" s="60" customFormat="1">
      <c r="A187" s="57"/>
      <c r="B187" s="58"/>
      <c r="C187" s="58"/>
      <c r="D187" s="59"/>
    </row>
    <row r="188" spans="1:4" s="60" customFormat="1">
      <c r="A188" s="57"/>
      <c r="B188" s="58"/>
      <c r="C188" s="58"/>
      <c r="D188" s="59"/>
    </row>
    <row r="189" spans="1:4" s="60" customFormat="1">
      <c r="A189" s="57"/>
      <c r="B189" s="58"/>
      <c r="C189" s="58"/>
      <c r="D189" s="59"/>
    </row>
    <row r="190" spans="1:4" s="60" customFormat="1">
      <c r="A190" s="57"/>
      <c r="B190" s="58"/>
      <c r="C190" s="58"/>
      <c r="D190" s="59"/>
    </row>
    <row r="191" spans="1:4" s="60" customFormat="1">
      <c r="A191" s="57"/>
      <c r="B191" s="58"/>
      <c r="C191" s="58"/>
      <c r="D191" s="59"/>
    </row>
    <row r="192" spans="1:4" s="60" customFormat="1">
      <c r="A192" s="57"/>
      <c r="B192" s="58"/>
      <c r="C192" s="58"/>
      <c r="D192" s="59"/>
    </row>
    <row r="193" spans="1:4" s="60" customFormat="1">
      <c r="A193" s="57"/>
      <c r="B193" s="58"/>
      <c r="C193" s="58"/>
      <c r="D193" s="59"/>
    </row>
    <row r="194" spans="1:4" s="60" customFormat="1">
      <c r="A194" s="57"/>
      <c r="B194" s="58"/>
      <c r="C194" s="58"/>
      <c r="D194" s="59"/>
    </row>
    <row r="195" spans="1:4" s="60" customFormat="1">
      <c r="A195" s="57"/>
      <c r="B195" s="58"/>
      <c r="C195" s="58"/>
      <c r="D195" s="59"/>
    </row>
    <row r="196" spans="1:4" s="60" customFormat="1">
      <c r="A196" s="57"/>
      <c r="B196" s="58"/>
      <c r="C196" s="58"/>
      <c r="D196" s="59"/>
    </row>
    <row r="197" spans="1:4" s="60" customFormat="1">
      <c r="A197" s="57"/>
      <c r="B197" s="58"/>
      <c r="C197" s="58"/>
      <c r="D197" s="59"/>
    </row>
    <row r="198" spans="1:4" s="60" customFormat="1">
      <c r="A198" s="57"/>
      <c r="B198" s="58"/>
      <c r="C198" s="58"/>
      <c r="D198" s="59"/>
    </row>
    <row r="199" spans="1:4" s="60" customFormat="1">
      <c r="A199" s="57"/>
      <c r="B199" s="58"/>
      <c r="C199" s="58"/>
      <c r="D199" s="59"/>
    </row>
    <row r="200" spans="1:4" s="60" customFormat="1">
      <c r="A200" s="57"/>
      <c r="B200" s="58"/>
      <c r="C200" s="58"/>
      <c r="D200" s="59"/>
    </row>
    <row r="201" spans="1:4" s="60" customFormat="1">
      <c r="A201" s="57"/>
      <c r="B201" s="58"/>
      <c r="C201" s="58"/>
      <c r="D201" s="59"/>
    </row>
    <row r="202" spans="1:4" s="60" customFormat="1">
      <c r="A202" s="57"/>
      <c r="B202" s="58"/>
      <c r="C202" s="58"/>
      <c r="D202" s="59"/>
    </row>
    <row r="203" spans="1:4" s="60" customFormat="1">
      <c r="A203" s="57"/>
      <c r="B203" s="58"/>
      <c r="C203" s="58"/>
      <c r="D203" s="59"/>
    </row>
    <row r="204" spans="1:4" s="60" customFormat="1">
      <c r="A204" s="57"/>
      <c r="B204" s="58"/>
      <c r="C204" s="58"/>
      <c r="D204" s="59"/>
    </row>
    <row r="205" spans="1:4" s="60" customFormat="1">
      <c r="A205" s="57"/>
      <c r="B205" s="58"/>
      <c r="C205" s="58"/>
      <c r="D205" s="59"/>
    </row>
    <row r="206" spans="1:4" s="60" customFormat="1">
      <c r="A206" s="57"/>
      <c r="B206" s="58"/>
      <c r="C206" s="58"/>
      <c r="D206" s="59"/>
    </row>
    <row r="207" spans="1:4" s="60" customFormat="1">
      <c r="A207" s="57"/>
      <c r="B207" s="58"/>
      <c r="C207" s="58"/>
      <c r="D207" s="59"/>
    </row>
    <row r="208" spans="1:4" s="60" customFormat="1">
      <c r="A208" s="57"/>
      <c r="B208" s="58"/>
      <c r="C208" s="58"/>
      <c r="D208" s="59"/>
    </row>
    <row r="209" spans="1:4" s="60" customFormat="1">
      <c r="A209" s="57"/>
      <c r="B209" s="58"/>
      <c r="C209" s="58"/>
      <c r="D209" s="59"/>
    </row>
    <row r="210" spans="1:4" s="60" customFormat="1">
      <c r="A210" s="57"/>
      <c r="B210" s="58"/>
      <c r="C210" s="58"/>
      <c r="D210" s="59"/>
    </row>
    <row r="211" spans="1:4" s="60" customFormat="1">
      <c r="A211" s="57"/>
      <c r="B211" s="58"/>
      <c r="C211" s="58"/>
      <c r="D211" s="59"/>
    </row>
    <row r="212" spans="1:4" s="60" customFormat="1">
      <c r="A212" s="57"/>
      <c r="B212" s="58"/>
      <c r="C212" s="58"/>
      <c r="D212" s="59"/>
    </row>
    <row r="213" spans="1:4" s="60" customFormat="1">
      <c r="A213" s="57"/>
      <c r="B213" s="58"/>
      <c r="C213" s="58"/>
      <c r="D213" s="59"/>
    </row>
    <row r="214" spans="1:4" s="60" customFormat="1">
      <c r="A214" s="57"/>
      <c r="B214" s="58"/>
      <c r="C214" s="58"/>
      <c r="D214" s="59"/>
    </row>
    <row r="215" spans="1:4" s="60" customFormat="1">
      <c r="A215" s="57"/>
      <c r="B215" s="58"/>
      <c r="C215" s="58"/>
      <c r="D215" s="59"/>
    </row>
    <row r="216" spans="1:4" s="60" customFormat="1">
      <c r="A216" s="57"/>
      <c r="B216" s="58"/>
      <c r="C216" s="58"/>
      <c r="D216" s="59"/>
    </row>
    <row r="217" spans="1:4" s="60" customFormat="1">
      <c r="A217" s="57"/>
      <c r="B217" s="58"/>
      <c r="C217" s="58"/>
      <c r="D217" s="59"/>
    </row>
    <row r="218" spans="1:4" s="60" customFormat="1">
      <c r="A218" s="57"/>
      <c r="B218" s="58"/>
      <c r="C218" s="58"/>
      <c r="D218" s="59"/>
    </row>
    <row r="219" spans="1:4" s="60" customFormat="1">
      <c r="A219" s="57"/>
      <c r="B219" s="58"/>
      <c r="C219" s="58"/>
      <c r="D219" s="59"/>
    </row>
    <row r="220" spans="1:4" s="60" customFormat="1">
      <c r="A220" s="57"/>
      <c r="B220" s="58"/>
      <c r="C220" s="58"/>
      <c r="D220" s="59"/>
    </row>
    <row r="221" spans="1:4" s="60" customFormat="1">
      <c r="A221" s="57"/>
      <c r="B221" s="58"/>
      <c r="C221" s="58"/>
      <c r="D221" s="59"/>
    </row>
    <row r="222" spans="1:4" s="60" customFormat="1">
      <c r="A222" s="57"/>
      <c r="B222" s="58"/>
      <c r="C222" s="58"/>
      <c r="D222" s="59"/>
    </row>
    <row r="223" spans="1:4" s="60" customFormat="1">
      <c r="A223" s="57"/>
      <c r="B223" s="58"/>
      <c r="C223" s="58"/>
      <c r="D223" s="59"/>
    </row>
    <row r="224" spans="1:4" s="60" customFormat="1">
      <c r="A224" s="57"/>
      <c r="B224" s="58"/>
      <c r="C224" s="58"/>
      <c r="D224" s="59"/>
    </row>
    <row r="225" spans="1:4" s="60" customFormat="1">
      <c r="A225" s="57"/>
      <c r="B225" s="58"/>
      <c r="C225" s="58"/>
      <c r="D225" s="59"/>
    </row>
    <row r="226" spans="1:4" s="60" customFormat="1">
      <c r="A226" s="57"/>
      <c r="B226" s="58"/>
      <c r="C226" s="58"/>
      <c r="D226" s="59"/>
    </row>
    <row r="227" spans="1:4" s="60" customFormat="1">
      <c r="A227" s="57"/>
      <c r="B227" s="58"/>
      <c r="C227" s="58"/>
      <c r="D227" s="59"/>
    </row>
    <row r="228" spans="1:4" s="60" customFormat="1">
      <c r="A228" s="57"/>
      <c r="B228" s="58"/>
      <c r="C228" s="58"/>
      <c r="D228" s="59"/>
    </row>
    <row r="229" spans="1:4" s="60" customFormat="1">
      <c r="A229" s="57"/>
      <c r="B229" s="58"/>
      <c r="C229" s="58"/>
      <c r="D229" s="59"/>
    </row>
    <row r="230" spans="1:4" s="60" customFormat="1">
      <c r="A230" s="57"/>
      <c r="B230" s="58"/>
      <c r="C230" s="58"/>
      <c r="D230" s="59"/>
    </row>
    <row r="231" spans="1:4" s="60" customFormat="1">
      <c r="A231" s="57"/>
      <c r="B231" s="58"/>
      <c r="C231" s="58"/>
      <c r="D231" s="59"/>
    </row>
    <row r="232" spans="1:4" s="60" customFormat="1">
      <c r="A232" s="57"/>
      <c r="B232" s="58"/>
      <c r="C232" s="58"/>
      <c r="D232" s="59"/>
    </row>
    <row r="233" spans="1:4" s="60" customFormat="1">
      <c r="A233" s="57"/>
      <c r="B233" s="58"/>
      <c r="C233" s="58"/>
      <c r="D233" s="59"/>
    </row>
    <row r="234" spans="1:4" s="60" customFormat="1">
      <c r="A234" s="57"/>
      <c r="B234" s="58"/>
      <c r="C234" s="58"/>
      <c r="D234" s="59"/>
    </row>
    <row r="235" spans="1:4" s="60" customFormat="1">
      <c r="A235" s="57"/>
      <c r="B235" s="58"/>
      <c r="C235" s="58"/>
      <c r="D235" s="59"/>
    </row>
    <row r="236" spans="1:4" s="60" customFormat="1">
      <c r="A236" s="57"/>
      <c r="B236" s="58"/>
      <c r="C236" s="58"/>
      <c r="D236" s="59"/>
    </row>
    <row r="237" spans="1:4" s="60" customFormat="1">
      <c r="A237" s="57"/>
      <c r="B237" s="58"/>
      <c r="C237" s="58"/>
      <c r="D237" s="59"/>
    </row>
    <row r="238" spans="1:4" s="60" customFormat="1">
      <c r="A238" s="57"/>
      <c r="B238" s="58"/>
      <c r="C238" s="58"/>
      <c r="D238" s="59"/>
    </row>
    <row r="239" spans="1:4" s="60" customFormat="1">
      <c r="A239" s="57"/>
      <c r="B239" s="58"/>
      <c r="C239" s="58"/>
      <c r="D239" s="59"/>
    </row>
    <row r="240" spans="1:4" s="60" customFormat="1">
      <c r="A240" s="57"/>
      <c r="B240" s="58"/>
      <c r="C240" s="58"/>
      <c r="D240" s="59"/>
    </row>
    <row r="241" spans="1:4" s="60" customFormat="1">
      <c r="A241" s="57"/>
      <c r="B241" s="58"/>
      <c r="C241" s="58"/>
      <c r="D241" s="59"/>
    </row>
    <row r="242" spans="1:4" s="60" customFormat="1">
      <c r="A242" s="57"/>
      <c r="B242" s="58"/>
      <c r="C242" s="58"/>
      <c r="D242" s="59"/>
    </row>
    <row r="243" spans="1:4" s="60" customFormat="1">
      <c r="A243" s="57"/>
      <c r="B243" s="58"/>
      <c r="C243" s="58"/>
      <c r="D243" s="59"/>
    </row>
    <row r="244" spans="1:4" s="60" customFormat="1">
      <c r="A244" s="57"/>
      <c r="B244" s="58"/>
      <c r="C244" s="58"/>
      <c r="D244" s="59"/>
    </row>
    <row r="245" spans="1:4" s="60" customFormat="1">
      <c r="A245" s="57"/>
      <c r="B245" s="58"/>
      <c r="C245" s="58"/>
      <c r="D245" s="59"/>
    </row>
    <row r="246" spans="1:4" s="60" customFormat="1">
      <c r="A246" s="57"/>
      <c r="B246" s="58"/>
      <c r="C246" s="58"/>
      <c r="D246" s="59"/>
    </row>
    <row r="247" spans="1:4" s="60" customFormat="1">
      <c r="A247" s="57"/>
      <c r="B247" s="58"/>
      <c r="C247" s="58"/>
      <c r="D247" s="59"/>
    </row>
    <row r="248" spans="1:4" s="60" customFormat="1">
      <c r="A248" s="57"/>
      <c r="B248" s="58"/>
      <c r="C248" s="58"/>
      <c r="D248" s="59"/>
    </row>
    <row r="249" spans="1:4" s="60" customFormat="1">
      <c r="A249" s="57"/>
      <c r="B249" s="58"/>
      <c r="C249" s="58"/>
      <c r="D249" s="59"/>
    </row>
    <row r="250" spans="1:4" s="60" customFormat="1">
      <c r="A250" s="57"/>
      <c r="B250" s="58"/>
      <c r="C250" s="58"/>
      <c r="D250" s="59"/>
    </row>
    <row r="251" spans="1:4" s="60" customFormat="1">
      <c r="A251" s="57"/>
      <c r="B251" s="58"/>
      <c r="C251" s="58"/>
      <c r="D251" s="59"/>
    </row>
    <row r="252" spans="1:4" s="60" customFormat="1">
      <c r="A252" s="57"/>
      <c r="B252" s="58"/>
      <c r="C252" s="58"/>
      <c r="D252" s="59"/>
    </row>
    <row r="253" spans="1:4" s="60" customFormat="1">
      <c r="A253" s="57"/>
      <c r="B253" s="58"/>
      <c r="C253" s="58"/>
      <c r="D253" s="59"/>
    </row>
    <row r="254" spans="1:4" s="60" customFormat="1">
      <c r="A254" s="57"/>
      <c r="B254" s="58"/>
      <c r="C254" s="58"/>
      <c r="D254" s="59"/>
    </row>
    <row r="255" spans="1:4" s="60" customFormat="1">
      <c r="A255" s="57"/>
      <c r="B255" s="58"/>
      <c r="C255" s="58"/>
      <c r="D255" s="59"/>
    </row>
    <row r="256" spans="1:4" s="60" customFormat="1">
      <c r="A256" s="57"/>
      <c r="B256" s="58"/>
      <c r="C256" s="58"/>
      <c r="D256" s="59"/>
    </row>
    <row r="257" spans="1:4" s="60" customFormat="1">
      <c r="A257" s="57"/>
      <c r="B257" s="58"/>
      <c r="C257" s="58"/>
      <c r="D257" s="59"/>
    </row>
    <row r="258" spans="1:4" s="60" customFormat="1">
      <c r="A258" s="57"/>
      <c r="B258" s="58"/>
      <c r="C258" s="58"/>
      <c r="D258" s="59"/>
    </row>
    <row r="259" spans="1:4" s="60" customFormat="1">
      <c r="A259" s="57"/>
      <c r="B259" s="58"/>
      <c r="C259" s="58"/>
      <c r="D259" s="59"/>
    </row>
    <row r="260" spans="1:4" s="60" customFormat="1">
      <c r="A260" s="57"/>
      <c r="B260" s="58"/>
      <c r="C260" s="58"/>
      <c r="D260" s="59"/>
    </row>
    <row r="261" spans="1:4" s="60" customFormat="1">
      <c r="A261" s="57"/>
      <c r="B261" s="58"/>
      <c r="C261" s="58"/>
      <c r="D261" s="59"/>
    </row>
    <row r="262" spans="1:4" s="60" customFormat="1">
      <c r="A262" s="57"/>
      <c r="B262" s="58"/>
      <c r="C262" s="58"/>
      <c r="D262" s="59"/>
    </row>
    <row r="263" spans="1:4" s="60" customFormat="1">
      <c r="A263" s="57"/>
      <c r="B263" s="58"/>
      <c r="C263" s="58"/>
      <c r="D263" s="59"/>
    </row>
    <row r="264" spans="1:4" s="60" customFormat="1">
      <c r="A264" s="57"/>
      <c r="B264" s="58"/>
      <c r="C264" s="58"/>
      <c r="D264" s="59"/>
    </row>
    <row r="265" spans="1:4" s="60" customFormat="1">
      <c r="A265" s="57"/>
      <c r="B265" s="58"/>
      <c r="C265" s="58"/>
      <c r="D265" s="59"/>
    </row>
    <row r="266" spans="1:4" s="60" customFormat="1">
      <c r="A266" s="57"/>
      <c r="B266" s="58"/>
      <c r="C266" s="58"/>
      <c r="D266" s="59"/>
    </row>
    <row r="267" spans="1:4" s="60" customFormat="1">
      <c r="A267" s="57"/>
      <c r="B267" s="58"/>
      <c r="C267" s="58"/>
      <c r="D267" s="59"/>
    </row>
    <row r="268" spans="1:4" s="60" customFormat="1">
      <c r="A268" s="57"/>
      <c r="B268" s="58"/>
      <c r="C268" s="58"/>
      <c r="D268" s="59"/>
    </row>
    <row r="269" spans="1:4" s="60" customFormat="1">
      <c r="A269" s="57"/>
      <c r="B269" s="58"/>
      <c r="C269" s="58"/>
      <c r="D269" s="59"/>
    </row>
    <row r="270" spans="1:4" s="60" customFormat="1">
      <c r="A270" s="57"/>
      <c r="B270" s="58"/>
      <c r="C270" s="58"/>
      <c r="D270" s="59"/>
    </row>
    <row r="271" spans="1:4" s="60" customFormat="1">
      <c r="A271" s="57"/>
      <c r="B271" s="58"/>
      <c r="C271" s="58"/>
      <c r="D271" s="59"/>
    </row>
    <row r="272" spans="1:4" s="60" customFormat="1">
      <c r="A272" s="57"/>
      <c r="B272" s="58"/>
      <c r="C272" s="58"/>
      <c r="D272" s="59"/>
    </row>
    <row r="273" spans="1:4" s="60" customFormat="1">
      <c r="A273" s="57"/>
      <c r="B273" s="58"/>
      <c r="C273" s="58"/>
      <c r="D273" s="59"/>
    </row>
    <row r="274" spans="1:4" s="60" customFormat="1">
      <c r="A274" s="57"/>
      <c r="B274" s="58"/>
      <c r="C274" s="58"/>
      <c r="D274" s="59"/>
    </row>
    <row r="275" spans="1:4" s="60" customFormat="1">
      <c r="A275" s="57"/>
      <c r="B275" s="58"/>
      <c r="C275" s="58"/>
      <c r="D275" s="59"/>
    </row>
    <row r="276" spans="1:4" s="60" customFormat="1">
      <c r="A276" s="57"/>
      <c r="B276" s="58"/>
      <c r="C276" s="58"/>
      <c r="D276" s="59"/>
    </row>
    <row r="277" spans="1:4" s="60" customFormat="1">
      <c r="A277" s="57"/>
      <c r="B277" s="58"/>
      <c r="C277" s="58"/>
      <c r="D277" s="59"/>
    </row>
    <row r="278" spans="1:4" s="60" customFormat="1">
      <c r="A278" s="57"/>
      <c r="B278" s="58"/>
      <c r="C278" s="58"/>
      <c r="D278" s="59"/>
    </row>
    <row r="279" spans="1:4" s="60" customFormat="1">
      <c r="A279" s="57"/>
      <c r="B279" s="58"/>
      <c r="C279" s="58"/>
      <c r="D279" s="59"/>
    </row>
    <row r="280" spans="1:4" s="60" customFormat="1">
      <c r="A280" s="57"/>
      <c r="B280" s="58"/>
      <c r="C280" s="58"/>
      <c r="D280" s="59"/>
    </row>
    <row r="281" spans="1:4" s="60" customFormat="1">
      <c r="A281" s="57"/>
      <c r="B281" s="58"/>
      <c r="C281" s="58"/>
      <c r="D281" s="59"/>
    </row>
    <row r="282" spans="1:4" s="60" customFormat="1">
      <c r="A282" s="57"/>
      <c r="B282" s="58"/>
      <c r="C282" s="58"/>
      <c r="D282" s="59"/>
    </row>
    <row r="283" spans="1:4" s="60" customFormat="1">
      <c r="A283" s="57"/>
      <c r="B283" s="58"/>
      <c r="C283" s="58"/>
      <c r="D283" s="59"/>
    </row>
    <row r="284" spans="1:4" s="60" customFormat="1">
      <c r="A284" s="57"/>
      <c r="B284" s="58"/>
      <c r="C284" s="58"/>
      <c r="D284" s="59"/>
    </row>
    <row r="285" spans="1:4" s="60" customFormat="1">
      <c r="A285" s="57"/>
      <c r="B285" s="58"/>
      <c r="C285" s="58"/>
      <c r="D285" s="59"/>
    </row>
    <row r="286" spans="1:4" s="60" customFormat="1">
      <c r="A286" s="57"/>
      <c r="B286" s="58"/>
      <c r="C286" s="58"/>
      <c r="D286" s="59"/>
    </row>
    <row r="287" spans="1:4" s="60" customFormat="1">
      <c r="A287" s="57"/>
      <c r="B287" s="58"/>
      <c r="C287" s="58"/>
      <c r="D287" s="59"/>
    </row>
    <row r="288" spans="1:4" s="60" customFormat="1">
      <c r="A288" s="57"/>
      <c r="B288" s="58"/>
      <c r="C288" s="58"/>
      <c r="D288" s="59"/>
    </row>
    <row r="289" spans="1:4" s="60" customFormat="1">
      <c r="A289" s="57"/>
      <c r="B289" s="58"/>
      <c r="C289" s="58"/>
      <c r="D289" s="59"/>
    </row>
    <row r="290" spans="1:4" s="60" customFormat="1">
      <c r="A290" s="57"/>
      <c r="B290" s="58"/>
      <c r="C290" s="58"/>
      <c r="D290" s="59"/>
    </row>
    <row r="291" spans="1:4" s="60" customFormat="1">
      <c r="A291" s="57"/>
      <c r="B291" s="58"/>
      <c r="C291" s="58"/>
      <c r="D291" s="59"/>
    </row>
    <row r="292" spans="1:4" s="60" customFormat="1">
      <c r="A292" s="57"/>
      <c r="B292" s="58"/>
      <c r="C292" s="58"/>
      <c r="D292" s="59"/>
    </row>
    <row r="293" spans="1:4" s="60" customFormat="1">
      <c r="A293" s="57"/>
      <c r="B293" s="58"/>
      <c r="C293" s="58"/>
      <c r="D293" s="59"/>
    </row>
    <row r="294" spans="1:4" s="60" customFormat="1">
      <c r="A294" s="57"/>
      <c r="B294" s="58"/>
      <c r="C294" s="58"/>
      <c r="D294" s="59"/>
    </row>
    <row r="295" spans="1:4" s="60" customFormat="1">
      <c r="A295" s="57"/>
      <c r="B295" s="58"/>
      <c r="C295" s="58"/>
      <c r="D295" s="59"/>
    </row>
    <row r="296" spans="1:4" s="60" customFormat="1">
      <c r="A296" s="57"/>
      <c r="B296" s="58"/>
      <c r="C296" s="58"/>
      <c r="D296" s="59"/>
    </row>
    <row r="297" spans="1:4" s="60" customFormat="1">
      <c r="A297" s="57"/>
      <c r="B297" s="58"/>
      <c r="C297" s="58"/>
      <c r="D297" s="59"/>
    </row>
    <row r="298" spans="1:4" s="60" customFormat="1">
      <c r="A298" s="57"/>
      <c r="B298" s="58"/>
      <c r="C298" s="58"/>
      <c r="D298" s="59"/>
    </row>
    <row r="299" spans="1:4" s="60" customFormat="1">
      <c r="A299" s="57"/>
      <c r="B299" s="58"/>
      <c r="C299" s="58"/>
      <c r="D299" s="59"/>
    </row>
    <row r="300" spans="1:4" s="60" customFormat="1">
      <c r="A300" s="57"/>
      <c r="B300" s="58"/>
      <c r="C300" s="58"/>
      <c r="D300" s="59"/>
    </row>
    <row r="301" spans="1:4" s="60" customFormat="1">
      <c r="A301" s="57"/>
      <c r="B301" s="58"/>
      <c r="C301" s="58"/>
      <c r="D301" s="59"/>
    </row>
    <row r="302" spans="1:4" s="60" customFormat="1">
      <c r="A302" s="57"/>
      <c r="B302" s="58"/>
      <c r="C302" s="58"/>
      <c r="D302" s="59"/>
    </row>
    <row r="303" spans="1:4" s="60" customFormat="1">
      <c r="A303" s="57"/>
      <c r="B303" s="58"/>
      <c r="C303" s="58"/>
      <c r="D303" s="59"/>
    </row>
    <row r="304" spans="1:4" s="60" customFormat="1">
      <c r="A304" s="57"/>
      <c r="B304" s="58"/>
      <c r="C304" s="58"/>
      <c r="D304" s="59"/>
    </row>
    <row r="305" spans="1:4" s="60" customFormat="1">
      <c r="A305" s="57"/>
      <c r="B305" s="58"/>
      <c r="C305" s="58"/>
      <c r="D305" s="59"/>
    </row>
    <row r="306" spans="1:4" s="60" customFormat="1">
      <c r="A306" s="57"/>
      <c r="B306" s="58"/>
      <c r="C306" s="58"/>
      <c r="D306" s="59"/>
    </row>
    <row r="307" spans="1:4" s="60" customFormat="1">
      <c r="A307" s="57"/>
      <c r="B307" s="58"/>
      <c r="C307" s="58"/>
      <c r="D307" s="59"/>
    </row>
    <row r="308" spans="1:4" s="60" customFormat="1">
      <c r="A308" s="57"/>
      <c r="B308" s="58"/>
      <c r="C308" s="58"/>
      <c r="D308" s="59"/>
    </row>
    <row r="309" spans="1:4" s="60" customFormat="1">
      <c r="A309" s="57"/>
      <c r="B309" s="58"/>
      <c r="C309" s="58"/>
      <c r="D309" s="59"/>
    </row>
    <row r="310" spans="1:4" s="60" customFormat="1">
      <c r="A310" s="57"/>
      <c r="B310" s="58"/>
      <c r="C310" s="58"/>
      <c r="D310" s="59"/>
    </row>
    <row r="311" spans="1:4" s="60" customFormat="1">
      <c r="A311" s="57"/>
      <c r="B311" s="58"/>
      <c r="C311" s="58"/>
      <c r="D311" s="59"/>
    </row>
    <row r="312" spans="1:4" s="60" customFormat="1">
      <c r="A312" s="57"/>
      <c r="B312" s="58"/>
      <c r="C312" s="58"/>
      <c r="D312" s="59"/>
    </row>
    <row r="313" spans="1:4" s="60" customFormat="1">
      <c r="A313" s="57"/>
      <c r="B313" s="58"/>
      <c r="C313" s="58"/>
      <c r="D313" s="59"/>
    </row>
    <row r="314" spans="1:4" s="60" customFormat="1">
      <c r="A314" s="57"/>
      <c r="B314" s="58"/>
      <c r="C314" s="58"/>
      <c r="D314" s="59"/>
    </row>
    <row r="315" spans="1:4" s="60" customFormat="1">
      <c r="A315" s="57"/>
      <c r="B315" s="58"/>
      <c r="C315" s="58"/>
      <c r="D315" s="59"/>
    </row>
    <row r="316" spans="1:4" s="60" customFormat="1">
      <c r="A316" s="57"/>
      <c r="B316" s="58"/>
      <c r="C316" s="58"/>
      <c r="D316" s="59"/>
    </row>
    <row r="317" spans="1:4" s="60" customFormat="1">
      <c r="A317" s="57"/>
      <c r="B317" s="58"/>
      <c r="C317" s="58"/>
      <c r="D317" s="59"/>
    </row>
    <row r="318" spans="1:4" s="60" customFormat="1">
      <c r="A318" s="57"/>
      <c r="B318" s="58"/>
      <c r="C318" s="58"/>
      <c r="D318" s="59"/>
    </row>
    <row r="319" spans="1:4" s="60" customFormat="1">
      <c r="A319" s="57"/>
      <c r="B319" s="58"/>
      <c r="C319" s="58"/>
      <c r="D319" s="59"/>
    </row>
    <row r="320" spans="1:4" s="60" customFormat="1">
      <c r="A320" s="57"/>
      <c r="B320" s="58"/>
      <c r="C320" s="58"/>
      <c r="D320" s="59"/>
    </row>
    <row r="321" spans="1:39" s="60" customFormat="1">
      <c r="A321" s="57"/>
      <c r="B321" s="58"/>
      <c r="C321" s="58"/>
      <c r="D321" s="59"/>
    </row>
    <row r="322" spans="1:39" s="29" customFormat="1">
      <c r="A322" s="55"/>
      <c r="B322" s="56"/>
      <c r="C322" s="56"/>
      <c r="D322" s="67"/>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42"/>
    </row>
  </sheetData>
  <sheetProtection password="C0B0" sheet="1" formatCells="0" formatColumns="0" formatRows="0" insertColumns="0" insertRows="0" insertHyperlinks="0" deleteColumns="0" deleteRows="0" sort="0" autoFilter="0" pivotTables="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39997558519241921"/>
  </sheetPr>
  <dimension ref="A1:AH380"/>
  <sheetViews>
    <sheetView topLeftCell="A43" zoomScale="85" zoomScaleNormal="85" workbookViewId="0">
      <selection activeCell="A2" sqref="A2:D2"/>
    </sheetView>
  </sheetViews>
  <sheetFormatPr defaultRowHeight="15" customHeight="1"/>
  <cols>
    <col min="1" max="1" width="26.28515625" style="69" customWidth="1"/>
    <col min="2" max="2" width="50.42578125" style="72" customWidth="1"/>
    <col min="3" max="3" width="84" style="35" customWidth="1"/>
    <col min="4" max="4" width="12.85546875" style="70" customWidth="1"/>
    <col min="5" max="5" width="18.5703125" style="60" customWidth="1"/>
    <col min="6" max="34" width="9.140625" style="60"/>
    <col min="35" max="16384" width="9.140625" style="35"/>
  </cols>
  <sheetData>
    <row r="1" spans="1:34" ht="95.25" customHeight="1">
      <c r="A1" s="143"/>
      <c r="B1" s="143"/>
      <c r="C1" s="143"/>
      <c r="D1" s="143"/>
    </row>
    <row r="2" spans="1:34" ht="12.95" customHeight="1">
      <c r="A2" s="73" t="s">
        <v>205</v>
      </c>
      <c r="B2" s="73" t="s">
        <v>626</v>
      </c>
      <c r="C2" s="73" t="s">
        <v>326</v>
      </c>
      <c r="D2" s="74" t="s">
        <v>327</v>
      </c>
    </row>
    <row r="3" spans="1:34" s="71" customFormat="1" ht="12.95" customHeight="1">
      <c r="A3" s="75"/>
      <c r="B3" s="75"/>
      <c r="C3" s="75"/>
      <c r="D3" s="76"/>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row>
    <row r="4" spans="1:34" s="71" customFormat="1" ht="12.95" customHeight="1">
      <c r="A4" s="73" t="s">
        <v>627</v>
      </c>
      <c r="B4" s="75"/>
      <c r="C4" s="75"/>
      <c r="D4" s="76"/>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row>
    <row r="5" spans="1:34" ht="12.95" customHeight="1">
      <c r="A5" s="117" t="s">
        <v>207</v>
      </c>
      <c r="B5" s="118" t="s">
        <v>208</v>
      </c>
      <c r="C5" s="119" t="s">
        <v>208</v>
      </c>
      <c r="D5" s="120">
        <v>32.47</v>
      </c>
    </row>
    <row r="6" spans="1:34" ht="12.95" customHeight="1">
      <c r="A6" s="117" t="s">
        <v>207</v>
      </c>
      <c r="B6" s="118" t="s">
        <v>209</v>
      </c>
      <c r="C6" s="119" t="s">
        <v>209</v>
      </c>
      <c r="D6" s="120">
        <v>35.020000000000003</v>
      </c>
    </row>
    <row r="7" spans="1:34" ht="12.95" customHeight="1">
      <c r="A7" s="117" t="s">
        <v>210</v>
      </c>
      <c r="B7" s="118" t="s">
        <v>211</v>
      </c>
      <c r="C7" s="119" t="s">
        <v>211</v>
      </c>
      <c r="D7" s="120">
        <v>63.62</v>
      </c>
    </row>
    <row r="8" spans="1:34" ht="12.95" customHeight="1">
      <c r="A8" s="117" t="s">
        <v>210</v>
      </c>
      <c r="B8" s="118" t="s">
        <v>212</v>
      </c>
      <c r="C8" s="119" t="s">
        <v>212</v>
      </c>
      <c r="D8" s="120">
        <v>94.97</v>
      </c>
    </row>
    <row r="9" spans="1:34" ht="12.95" customHeight="1">
      <c r="A9" s="117" t="s">
        <v>213</v>
      </c>
      <c r="B9" s="118" t="s">
        <v>214</v>
      </c>
      <c r="C9" s="119" t="s">
        <v>214</v>
      </c>
      <c r="D9" s="120">
        <v>43.58</v>
      </c>
    </row>
    <row r="10" spans="1:34" ht="12.95" customHeight="1">
      <c r="A10" s="117" t="s">
        <v>213</v>
      </c>
      <c r="B10" s="118" t="s">
        <v>323</v>
      </c>
      <c r="C10" s="119" t="s">
        <v>323</v>
      </c>
      <c r="D10" s="120">
        <v>67.06</v>
      </c>
    </row>
    <row r="11" spans="1:34" ht="12.95" customHeight="1">
      <c r="A11" s="117" t="s">
        <v>215</v>
      </c>
      <c r="B11" s="118" t="s">
        <v>216</v>
      </c>
      <c r="C11" s="119" t="s">
        <v>216</v>
      </c>
      <c r="D11" s="120">
        <v>69.08</v>
      </c>
    </row>
    <row r="12" spans="1:34" ht="12.95" customHeight="1">
      <c r="A12" s="117" t="s">
        <v>217</v>
      </c>
      <c r="B12" s="118" t="s">
        <v>218</v>
      </c>
      <c r="C12" s="119" t="s">
        <v>218</v>
      </c>
      <c r="D12" s="120">
        <v>40.229999999999997</v>
      </c>
    </row>
    <row r="13" spans="1:34" ht="12.95" customHeight="1">
      <c r="A13" s="117" t="s">
        <v>217</v>
      </c>
      <c r="B13" s="118" t="s">
        <v>219</v>
      </c>
      <c r="C13" s="119" t="s">
        <v>219</v>
      </c>
      <c r="D13" s="120">
        <v>64.25</v>
      </c>
    </row>
    <row r="14" spans="1:34" ht="12.95" customHeight="1">
      <c r="A14" s="77"/>
      <c r="B14" s="78"/>
      <c r="C14" s="79"/>
      <c r="D14" s="80"/>
    </row>
    <row r="15" spans="1:34" ht="12.95" customHeight="1">
      <c r="A15" s="73" t="s">
        <v>628</v>
      </c>
      <c r="B15" s="78"/>
      <c r="C15" s="79"/>
      <c r="D15" s="80"/>
    </row>
    <row r="16" spans="1:34" ht="12.95" customHeight="1">
      <c r="A16" s="117" t="s">
        <v>220</v>
      </c>
      <c r="B16" s="118" t="s">
        <v>221</v>
      </c>
      <c r="C16" s="119" t="s">
        <v>221</v>
      </c>
      <c r="D16" s="120">
        <v>25.22</v>
      </c>
    </row>
    <row r="17" spans="1:4" ht="12.95" customHeight="1">
      <c r="A17" s="117" t="s">
        <v>222</v>
      </c>
      <c r="B17" s="118" t="s">
        <v>223</v>
      </c>
      <c r="C17" s="119" t="s">
        <v>223</v>
      </c>
      <c r="D17" s="120">
        <v>19.559999999999999</v>
      </c>
    </row>
    <row r="18" spans="1:4" ht="12.95" customHeight="1">
      <c r="A18" s="117" t="s">
        <v>224</v>
      </c>
      <c r="B18" s="118" t="s">
        <v>225</v>
      </c>
      <c r="C18" s="119" t="s">
        <v>225</v>
      </c>
      <c r="D18" s="120">
        <v>48.56</v>
      </c>
    </row>
    <row r="19" spans="1:4" ht="12.95" customHeight="1">
      <c r="A19" s="77"/>
      <c r="B19" s="78"/>
      <c r="C19" s="79"/>
      <c r="D19" s="80"/>
    </row>
    <row r="20" spans="1:4" ht="12.95" customHeight="1">
      <c r="A20" s="73" t="s">
        <v>629</v>
      </c>
      <c r="B20" s="78"/>
      <c r="C20" s="79"/>
      <c r="D20" s="80"/>
    </row>
    <row r="21" spans="1:4" ht="12.95" customHeight="1">
      <c r="A21" s="117" t="s">
        <v>226</v>
      </c>
      <c r="B21" s="118" t="s">
        <v>324</v>
      </c>
      <c r="C21" s="119" t="s">
        <v>324</v>
      </c>
      <c r="D21" s="120">
        <v>17.16</v>
      </c>
    </row>
    <row r="22" spans="1:4" ht="12.95" customHeight="1">
      <c r="A22" s="117" t="s">
        <v>227</v>
      </c>
      <c r="B22" s="118" t="s">
        <v>228</v>
      </c>
      <c r="C22" s="119" t="s">
        <v>228</v>
      </c>
      <c r="D22" s="120">
        <v>17.45</v>
      </c>
    </row>
    <row r="23" spans="1:4" ht="12.95" customHeight="1">
      <c r="A23" s="117" t="s">
        <v>229</v>
      </c>
      <c r="B23" s="118" t="s">
        <v>325</v>
      </c>
      <c r="C23" s="119" t="s">
        <v>325</v>
      </c>
      <c r="D23" s="120">
        <v>9.24</v>
      </c>
    </row>
    <row r="24" spans="1:4" ht="12.95" customHeight="1">
      <c r="A24" s="117" t="s">
        <v>230</v>
      </c>
      <c r="B24" s="118" t="s">
        <v>231</v>
      </c>
      <c r="C24" s="119" t="s">
        <v>231</v>
      </c>
      <c r="D24" s="120">
        <v>8.01</v>
      </c>
    </row>
    <row r="25" spans="1:4" ht="12.95" customHeight="1">
      <c r="A25" s="117" t="s">
        <v>232</v>
      </c>
      <c r="B25" s="118" t="s">
        <v>233</v>
      </c>
      <c r="C25" s="119" t="s">
        <v>233</v>
      </c>
      <c r="D25" s="120">
        <v>19.09</v>
      </c>
    </row>
    <row r="26" spans="1:4" ht="12.95" customHeight="1">
      <c r="A26" s="117" t="s">
        <v>276</v>
      </c>
      <c r="B26" s="118" t="s">
        <v>277</v>
      </c>
      <c r="C26" s="119" t="s">
        <v>277</v>
      </c>
      <c r="D26" s="120">
        <v>4.8499999999999996</v>
      </c>
    </row>
    <row r="27" spans="1:4" ht="12.95" customHeight="1">
      <c r="A27" s="117" t="s">
        <v>234</v>
      </c>
      <c r="B27" s="118" t="s">
        <v>235</v>
      </c>
      <c r="C27" s="119" t="s">
        <v>235</v>
      </c>
      <c r="D27" s="120">
        <v>36.47</v>
      </c>
    </row>
    <row r="28" spans="1:4" ht="12.95" customHeight="1">
      <c r="A28" s="77"/>
      <c r="B28" s="78"/>
      <c r="C28" s="79"/>
      <c r="D28" s="80"/>
    </row>
    <row r="29" spans="1:4" ht="12.95" customHeight="1">
      <c r="A29" s="73" t="s">
        <v>630</v>
      </c>
      <c r="B29" s="78"/>
      <c r="C29" s="79"/>
      <c r="D29" s="80"/>
    </row>
    <row r="30" spans="1:4" ht="12.95" customHeight="1">
      <c r="A30" s="117" t="s">
        <v>236</v>
      </c>
      <c r="B30" s="118" t="s">
        <v>237</v>
      </c>
      <c r="C30" s="119" t="s">
        <v>237</v>
      </c>
      <c r="D30" s="120">
        <v>5</v>
      </c>
    </row>
    <row r="31" spans="1:4" ht="12.95" customHeight="1">
      <c r="A31" s="117" t="s">
        <v>238</v>
      </c>
      <c r="B31" s="118" t="s">
        <v>239</v>
      </c>
      <c r="C31" s="119" t="s">
        <v>239</v>
      </c>
      <c r="D31" s="120">
        <v>4.71</v>
      </c>
    </row>
    <row r="32" spans="1:4" ht="12.95" customHeight="1">
      <c r="A32" s="117" t="s">
        <v>240</v>
      </c>
      <c r="B32" s="118" t="s">
        <v>241</v>
      </c>
      <c r="C32" s="119" t="s">
        <v>241</v>
      </c>
      <c r="D32" s="120">
        <v>27.6</v>
      </c>
    </row>
    <row r="33" spans="1:4" ht="12.95" customHeight="1">
      <c r="A33" s="117" t="s">
        <v>240</v>
      </c>
      <c r="B33" s="118" t="s">
        <v>242</v>
      </c>
      <c r="C33" s="119" t="s">
        <v>242</v>
      </c>
      <c r="D33" s="120">
        <v>42.57</v>
      </c>
    </row>
    <row r="34" spans="1:4" ht="12.95" customHeight="1">
      <c r="A34" s="117" t="s">
        <v>240</v>
      </c>
      <c r="B34" s="118" t="s">
        <v>243</v>
      </c>
      <c r="C34" s="119" t="s">
        <v>243</v>
      </c>
      <c r="D34" s="120">
        <v>33.93</v>
      </c>
    </row>
    <row r="35" spans="1:4" ht="12.95" customHeight="1">
      <c r="A35" s="117" t="s">
        <v>244</v>
      </c>
      <c r="B35" s="118" t="s">
        <v>245</v>
      </c>
      <c r="C35" s="119" t="s">
        <v>245</v>
      </c>
      <c r="D35" s="120">
        <v>5.07</v>
      </c>
    </row>
    <row r="36" spans="1:4" ht="12.95" customHeight="1">
      <c r="A36" s="117" t="s">
        <v>254</v>
      </c>
      <c r="B36" s="118" t="s">
        <v>255</v>
      </c>
      <c r="C36" s="119" t="s">
        <v>255</v>
      </c>
      <c r="D36" s="120">
        <v>40.03</v>
      </c>
    </row>
    <row r="37" spans="1:4" ht="12.95" customHeight="1">
      <c r="A37" s="117" t="s">
        <v>254</v>
      </c>
      <c r="B37" s="118" t="s">
        <v>256</v>
      </c>
      <c r="C37" s="119" t="s">
        <v>256</v>
      </c>
      <c r="D37" s="120">
        <v>60.42</v>
      </c>
    </row>
    <row r="38" spans="1:4" ht="12.95" customHeight="1">
      <c r="A38" s="117" t="s">
        <v>254</v>
      </c>
      <c r="B38" s="118" t="s">
        <v>257</v>
      </c>
      <c r="C38" s="119" t="s">
        <v>257</v>
      </c>
      <c r="D38" s="120">
        <v>99.88</v>
      </c>
    </row>
    <row r="39" spans="1:4" ht="12.95" customHeight="1">
      <c r="A39" s="117" t="s">
        <v>254</v>
      </c>
      <c r="B39" s="118" t="s">
        <v>258</v>
      </c>
      <c r="C39" s="119" t="s">
        <v>258</v>
      </c>
      <c r="D39" s="120">
        <v>180.78</v>
      </c>
    </row>
    <row r="40" spans="1:4" ht="12.95" customHeight="1">
      <c r="A40" s="117" t="s">
        <v>259</v>
      </c>
      <c r="B40" s="118" t="s">
        <v>653</v>
      </c>
      <c r="C40" s="119" t="s">
        <v>260</v>
      </c>
      <c r="D40" s="120">
        <v>8.48</v>
      </c>
    </row>
    <row r="41" spans="1:4" ht="12.95" customHeight="1">
      <c r="A41" s="117" t="s">
        <v>261</v>
      </c>
      <c r="B41" s="118" t="s">
        <v>262</v>
      </c>
      <c r="C41" s="119" t="s">
        <v>262</v>
      </c>
      <c r="D41" s="120">
        <v>5.3</v>
      </c>
    </row>
    <row r="42" spans="1:4" ht="12.95" customHeight="1">
      <c r="A42" s="117" t="s">
        <v>246</v>
      </c>
      <c r="B42" s="118" t="s">
        <v>247</v>
      </c>
      <c r="C42" s="119" t="s">
        <v>247</v>
      </c>
      <c r="D42" s="120">
        <v>10.86</v>
      </c>
    </row>
    <row r="43" spans="1:4" ht="12.95" customHeight="1">
      <c r="A43" s="77"/>
      <c r="B43" s="78"/>
      <c r="C43" s="79"/>
      <c r="D43" s="80"/>
    </row>
    <row r="44" spans="1:4" ht="12.95" customHeight="1">
      <c r="A44" s="73" t="s">
        <v>631</v>
      </c>
      <c r="B44" s="78"/>
      <c r="C44" s="79"/>
      <c r="D44" s="80"/>
    </row>
    <row r="45" spans="1:4" ht="12.95" customHeight="1">
      <c r="A45" s="117" t="s">
        <v>248</v>
      </c>
      <c r="B45" s="118" t="s">
        <v>249</v>
      </c>
      <c r="C45" s="119" t="s">
        <v>249</v>
      </c>
      <c r="D45" s="120">
        <v>456.26</v>
      </c>
    </row>
    <row r="46" spans="1:4" ht="12.95" customHeight="1">
      <c r="A46" s="117" t="s">
        <v>250</v>
      </c>
      <c r="B46" s="118" t="s">
        <v>251</v>
      </c>
      <c r="C46" s="119" t="s">
        <v>251</v>
      </c>
      <c r="D46" s="120">
        <v>12.72</v>
      </c>
    </row>
    <row r="47" spans="1:4" ht="12.95" customHeight="1">
      <c r="A47" s="117" t="s">
        <v>250</v>
      </c>
      <c r="B47" s="118" t="s">
        <v>252</v>
      </c>
      <c r="C47" s="119" t="s">
        <v>252</v>
      </c>
      <c r="D47" s="120">
        <v>21.03</v>
      </c>
    </row>
    <row r="48" spans="1:4" ht="12.95" customHeight="1">
      <c r="A48" s="117" t="s">
        <v>250</v>
      </c>
      <c r="B48" s="118" t="s">
        <v>253</v>
      </c>
      <c r="C48" s="119" t="s">
        <v>253</v>
      </c>
      <c r="D48" s="120">
        <v>38.1</v>
      </c>
    </row>
    <row r="49" spans="1:4" ht="12.95" customHeight="1">
      <c r="A49" s="117" t="s">
        <v>263</v>
      </c>
      <c r="B49" s="118" t="s">
        <v>328</v>
      </c>
      <c r="C49" s="119" t="s">
        <v>328</v>
      </c>
      <c r="D49" s="120">
        <v>8.3800000000000008</v>
      </c>
    </row>
    <row r="50" spans="1:4" ht="12.95" customHeight="1">
      <c r="A50" s="117" t="s">
        <v>285</v>
      </c>
      <c r="B50" s="118" t="s">
        <v>654</v>
      </c>
      <c r="C50" s="119" t="s">
        <v>286</v>
      </c>
      <c r="D50" s="120">
        <v>40.25</v>
      </c>
    </row>
    <row r="51" spans="1:4" ht="12.95" customHeight="1">
      <c r="A51" s="77"/>
      <c r="B51" s="78"/>
      <c r="C51" s="79"/>
      <c r="D51" s="80"/>
    </row>
    <row r="52" spans="1:4" ht="12.95" customHeight="1">
      <c r="A52" s="73" t="s">
        <v>632</v>
      </c>
      <c r="B52" s="78"/>
      <c r="C52" s="79"/>
      <c r="D52" s="80"/>
    </row>
    <row r="53" spans="1:4" ht="12.95" customHeight="1">
      <c r="A53" s="117" t="s">
        <v>264</v>
      </c>
      <c r="B53" s="118" t="s">
        <v>265</v>
      </c>
      <c r="C53" s="119" t="s">
        <v>265</v>
      </c>
      <c r="D53" s="120">
        <v>2.15</v>
      </c>
    </row>
    <row r="54" spans="1:4" ht="12.95" customHeight="1">
      <c r="A54" s="117" t="s">
        <v>266</v>
      </c>
      <c r="B54" s="118" t="s">
        <v>267</v>
      </c>
      <c r="C54" s="119" t="s">
        <v>267</v>
      </c>
      <c r="D54" s="120">
        <v>11.05</v>
      </c>
    </row>
    <row r="55" spans="1:4" ht="12.95" customHeight="1">
      <c r="A55" s="117" t="s">
        <v>268</v>
      </c>
      <c r="B55" s="118" t="s">
        <v>269</v>
      </c>
      <c r="C55" s="119" t="s">
        <v>269</v>
      </c>
      <c r="D55" s="120">
        <v>20.62</v>
      </c>
    </row>
    <row r="56" spans="1:4" ht="12.95" customHeight="1">
      <c r="A56" s="117" t="s">
        <v>270</v>
      </c>
      <c r="B56" s="118" t="s">
        <v>271</v>
      </c>
      <c r="C56" s="119" t="s">
        <v>271</v>
      </c>
      <c r="D56" s="120">
        <v>20.86</v>
      </c>
    </row>
    <row r="57" spans="1:4" ht="12.95" customHeight="1">
      <c r="A57" s="117" t="s">
        <v>272</v>
      </c>
      <c r="B57" s="118" t="s">
        <v>273</v>
      </c>
      <c r="C57" s="119" t="s">
        <v>273</v>
      </c>
      <c r="D57" s="120">
        <v>17.52</v>
      </c>
    </row>
    <row r="58" spans="1:4" ht="12.95" customHeight="1">
      <c r="A58" s="117" t="s">
        <v>274</v>
      </c>
      <c r="B58" s="118" t="s">
        <v>275</v>
      </c>
      <c r="C58" s="119" t="s">
        <v>275</v>
      </c>
      <c r="D58" s="120">
        <v>4.63</v>
      </c>
    </row>
    <row r="59" spans="1:4" ht="12.95" customHeight="1">
      <c r="A59" s="117" t="s">
        <v>278</v>
      </c>
      <c r="B59" s="118" t="s">
        <v>279</v>
      </c>
      <c r="C59" s="119" t="s">
        <v>279</v>
      </c>
      <c r="D59" s="120">
        <v>25.12</v>
      </c>
    </row>
    <row r="60" spans="1:4" ht="12.95" customHeight="1">
      <c r="A60" s="117" t="s">
        <v>280</v>
      </c>
      <c r="B60" s="118" t="s">
        <v>281</v>
      </c>
      <c r="C60" s="119" t="s">
        <v>281</v>
      </c>
      <c r="D60" s="120">
        <v>10.73</v>
      </c>
    </row>
    <row r="61" spans="1:4" ht="12.95" customHeight="1">
      <c r="A61" s="117" t="s">
        <v>282</v>
      </c>
      <c r="B61" s="118" t="s">
        <v>283</v>
      </c>
      <c r="C61" s="119" t="s">
        <v>283</v>
      </c>
      <c r="D61" s="120">
        <v>4.97</v>
      </c>
    </row>
    <row r="62" spans="1:4" ht="12.95" customHeight="1">
      <c r="A62" s="117" t="s">
        <v>284</v>
      </c>
      <c r="B62" s="118" t="s">
        <v>329</v>
      </c>
      <c r="C62" s="119" t="s">
        <v>329</v>
      </c>
      <c r="D62" s="120">
        <v>40.86</v>
      </c>
    </row>
    <row r="63" spans="1:4" ht="12.95" customHeight="1">
      <c r="A63" s="77"/>
      <c r="B63" s="78"/>
      <c r="C63" s="79"/>
      <c r="D63" s="80"/>
    </row>
    <row r="64" spans="1:4" ht="12.95" customHeight="1">
      <c r="A64" s="73" t="s">
        <v>633</v>
      </c>
      <c r="B64" s="78"/>
      <c r="C64" s="79"/>
      <c r="D64" s="80"/>
    </row>
    <row r="65" spans="1:4" ht="12.95" customHeight="1">
      <c r="A65" s="117" t="s">
        <v>287</v>
      </c>
      <c r="B65" s="118" t="s">
        <v>288</v>
      </c>
      <c r="C65" s="119" t="s">
        <v>288</v>
      </c>
      <c r="D65" s="120">
        <v>255.61</v>
      </c>
    </row>
    <row r="66" spans="1:4" ht="12.95" customHeight="1">
      <c r="A66" s="117" t="s">
        <v>289</v>
      </c>
      <c r="B66" s="118" t="s">
        <v>290</v>
      </c>
      <c r="C66" s="119" t="s">
        <v>290</v>
      </c>
      <c r="D66" s="120">
        <v>548.63</v>
      </c>
    </row>
    <row r="67" spans="1:4" ht="12.95" customHeight="1">
      <c r="A67" s="117" t="s">
        <v>291</v>
      </c>
      <c r="B67" s="118" t="s">
        <v>292</v>
      </c>
      <c r="C67" s="119" t="s">
        <v>292</v>
      </c>
      <c r="D67" s="120">
        <v>506.95</v>
      </c>
    </row>
    <row r="68" spans="1:4" ht="12.95" customHeight="1">
      <c r="A68" s="117" t="s">
        <v>293</v>
      </c>
      <c r="B68" s="118" t="s">
        <v>294</v>
      </c>
      <c r="C68" s="119" t="s">
        <v>294</v>
      </c>
      <c r="D68" s="120">
        <v>23.46</v>
      </c>
    </row>
    <row r="70" spans="1:4" s="60" customFormat="1" ht="15" customHeight="1">
      <c r="A70" s="81"/>
      <c r="B70" s="82"/>
      <c r="D70" s="83"/>
    </row>
    <row r="71" spans="1:4" s="60" customFormat="1" ht="15" customHeight="1">
      <c r="A71" s="81"/>
      <c r="B71" s="82"/>
      <c r="D71" s="83"/>
    </row>
    <row r="72" spans="1:4" s="60" customFormat="1" ht="15" customHeight="1">
      <c r="A72" s="81"/>
      <c r="B72" s="82"/>
      <c r="D72" s="83"/>
    </row>
    <row r="73" spans="1:4" s="60" customFormat="1" ht="15" customHeight="1">
      <c r="A73" s="81"/>
      <c r="B73" s="82"/>
      <c r="D73" s="83"/>
    </row>
    <row r="74" spans="1:4" s="60" customFormat="1" ht="15" customHeight="1">
      <c r="A74" s="81"/>
      <c r="B74" s="82"/>
      <c r="D74" s="83"/>
    </row>
    <row r="75" spans="1:4" s="60" customFormat="1" ht="15" customHeight="1">
      <c r="A75" s="81"/>
      <c r="B75" s="82"/>
      <c r="D75" s="83"/>
    </row>
    <row r="76" spans="1:4" s="60" customFormat="1" ht="15" customHeight="1">
      <c r="A76" s="81"/>
      <c r="B76" s="82"/>
      <c r="D76" s="83"/>
    </row>
    <row r="77" spans="1:4" s="60" customFormat="1" ht="15" customHeight="1">
      <c r="A77" s="81"/>
      <c r="B77" s="82"/>
      <c r="D77" s="83"/>
    </row>
    <row r="78" spans="1:4" s="60" customFormat="1" ht="15" customHeight="1">
      <c r="A78" s="81"/>
      <c r="B78" s="82"/>
      <c r="D78" s="83"/>
    </row>
    <row r="79" spans="1:4" s="60" customFormat="1" ht="15" customHeight="1">
      <c r="A79" s="81"/>
      <c r="B79" s="82"/>
      <c r="D79" s="83"/>
    </row>
    <row r="80" spans="1:4" s="60" customFormat="1" ht="15" customHeight="1">
      <c r="A80" s="81"/>
      <c r="B80" s="82"/>
      <c r="D80" s="83"/>
    </row>
    <row r="81" spans="1:4" s="60" customFormat="1" ht="15" customHeight="1">
      <c r="A81" s="81"/>
      <c r="B81" s="82"/>
      <c r="D81" s="83"/>
    </row>
    <row r="82" spans="1:4" s="60" customFormat="1" ht="15" customHeight="1">
      <c r="A82" s="81"/>
      <c r="B82" s="82"/>
      <c r="D82" s="83"/>
    </row>
    <row r="83" spans="1:4" s="60" customFormat="1" ht="15" customHeight="1">
      <c r="A83" s="81"/>
      <c r="B83" s="82"/>
      <c r="D83" s="83"/>
    </row>
    <row r="84" spans="1:4" s="60" customFormat="1" ht="15" customHeight="1">
      <c r="A84" s="84"/>
      <c r="B84" s="85"/>
      <c r="D84" s="83"/>
    </row>
    <row r="85" spans="1:4" s="60" customFormat="1" ht="15" customHeight="1">
      <c r="A85" s="84"/>
      <c r="B85" s="85"/>
      <c r="D85" s="83"/>
    </row>
    <row r="86" spans="1:4" s="60" customFormat="1" ht="15" customHeight="1">
      <c r="A86" s="84"/>
      <c r="B86" s="85"/>
      <c r="D86" s="83"/>
    </row>
    <row r="87" spans="1:4" s="60" customFormat="1" ht="15" customHeight="1">
      <c r="A87" s="84"/>
      <c r="B87" s="85"/>
      <c r="D87" s="83"/>
    </row>
    <row r="88" spans="1:4" s="60" customFormat="1" ht="15" customHeight="1">
      <c r="A88" s="81"/>
      <c r="B88" s="82"/>
      <c r="D88" s="83"/>
    </row>
    <row r="89" spans="1:4" s="60" customFormat="1" ht="15" customHeight="1">
      <c r="A89" s="81"/>
      <c r="B89" s="82"/>
      <c r="D89" s="83"/>
    </row>
    <row r="90" spans="1:4" s="60" customFormat="1" ht="15" customHeight="1">
      <c r="A90" s="81"/>
      <c r="B90" s="82"/>
      <c r="D90" s="83"/>
    </row>
    <row r="91" spans="1:4" s="60" customFormat="1" ht="15" customHeight="1">
      <c r="A91" s="81"/>
      <c r="B91" s="82"/>
      <c r="D91" s="83"/>
    </row>
    <row r="92" spans="1:4" s="60" customFormat="1" ht="15" customHeight="1">
      <c r="A92" s="81"/>
      <c r="B92" s="82"/>
      <c r="D92" s="83"/>
    </row>
    <row r="93" spans="1:4" s="60" customFormat="1" ht="15" customHeight="1">
      <c r="A93" s="81"/>
      <c r="B93" s="82"/>
      <c r="D93" s="83"/>
    </row>
    <row r="94" spans="1:4" s="60" customFormat="1" ht="15" customHeight="1">
      <c r="A94" s="81"/>
      <c r="B94" s="82"/>
      <c r="D94" s="83"/>
    </row>
    <row r="95" spans="1:4" s="60" customFormat="1" ht="15" customHeight="1">
      <c r="A95" s="81"/>
      <c r="B95" s="82"/>
      <c r="D95" s="83"/>
    </row>
    <row r="96" spans="1:4" s="60" customFormat="1" ht="15" customHeight="1">
      <c r="A96" s="81"/>
      <c r="B96" s="82"/>
      <c r="D96" s="83"/>
    </row>
    <row r="97" spans="1:4" s="60" customFormat="1" ht="15" customHeight="1">
      <c r="A97" s="81"/>
      <c r="B97" s="82"/>
      <c r="D97" s="83"/>
    </row>
    <row r="98" spans="1:4" s="60" customFormat="1" ht="15" customHeight="1">
      <c r="A98" s="81"/>
      <c r="B98" s="82"/>
      <c r="D98" s="83"/>
    </row>
    <row r="99" spans="1:4" s="60" customFormat="1" ht="15" customHeight="1">
      <c r="A99" s="81"/>
      <c r="B99" s="82"/>
      <c r="D99" s="83"/>
    </row>
    <row r="100" spans="1:4" s="60" customFormat="1" ht="15" customHeight="1">
      <c r="A100" s="81"/>
      <c r="B100" s="82"/>
      <c r="D100" s="83"/>
    </row>
    <row r="101" spans="1:4" s="60" customFormat="1" ht="15" customHeight="1">
      <c r="A101" s="81"/>
      <c r="B101" s="82"/>
      <c r="D101" s="83"/>
    </row>
    <row r="102" spans="1:4" s="60" customFormat="1" ht="15" customHeight="1">
      <c r="A102" s="81"/>
      <c r="B102" s="82"/>
      <c r="D102" s="83"/>
    </row>
    <row r="103" spans="1:4" s="60" customFormat="1" ht="15" customHeight="1">
      <c r="A103" s="81"/>
      <c r="B103" s="82"/>
      <c r="D103" s="83"/>
    </row>
    <row r="104" spans="1:4" s="60" customFormat="1" ht="15" customHeight="1">
      <c r="A104" s="81"/>
      <c r="B104" s="82"/>
      <c r="D104" s="83"/>
    </row>
    <row r="105" spans="1:4" s="60" customFormat="1" ht="15" customHeight="1">
      <c r="A105" s="81"/>
      <c r="B105" s="82"/>
      <c r="D105" s="83"/>
    </row>
    <row r="106" spans="1:4" s="60" customFormat="1" ht="15" customHeight="1">
      <c r="A106" s="81"/>
      <c r="B106" s="82"/>
      <c r="D106" s="83"/>
    </row>
    <row r="107" spans="1:4" s="60" customFormat="1" ht="15" customHeight="1">
      <c r="A107" s="81"/>
      <c r="B107" s="82"/>
      <c r="D107" s="83"/>
    </row>
    <row r="108" spans="1:4" s="60" customFormat="1" ht="15" customHeight="1">
      <c r="A108" s="81"/>
      <c r="B108" s="82"/>
      <c r="D108" s="83"/>
    </row>
    <row r="109" spans="1:4" s="60" customFormat="1" ht="15" customHeight="1">
      <c r="A109" s="81"/>
      <c r="B109" s="82"/>
      <c r="D109" s="83"/>
    </row>
    <row r="110" spans="1:4" s="60" customFormat="1" ht="15" customHeight="1">
      <c r="A110" s="81"/>
      <c r="B110" s="82"/>
      <c r="D110" s="83"/>
    </row>
    <row r="111" spans="1:4" s="60" customFormat="1" ht="15" customHeight="1">
      <c r="A111" s="81"/>
      <c r="B111" s="82"/>
      <c r="D111" s="83"/>
    </row>
    <row r="112" spans="1:4" s="60" customFormat="1" ht="15" customHeight="1">
      <c r="A112" s="81"/>
      <c r="B112" s="82"/>
      <c r="D112" s="83"/>
    </row>
    <row r="113" spans="1:4" s="60" customFormat="1" ht="15" customHeight="1">
      <c r="A113" s="81"/>
      <c r="B113" s="82"/>
      <c r="D113" s="83"/>
    </row>
    <row r="114" spans="1:4" s="60" customFormat="1" ht="15" customHeight="1">
      <c r="A114" s="81"/>
      <c r="B114" s="82"/>
      <c r="D114" s="83"/>
    </row>
    <row r="115" spans="1:4" s="60" customFormat="1" ht="15" customHeight="1">
      <c r="A115" s="81"/>
      <c r="B115" s="82"/>
      <c r="D115" s="83"/>
    </row>
    <row r="116" spans="1:4" s="60" customFormat="1" ht="15" customHeight="1">
      <c r="A116" s="81"/>
      <c r="B116" s="82"/>
      <c r="D116" s="83"/>
    </row>
    <row r="117" spans="1:4" s="60" customFormat="1" ht="15" customHeight="1">
      <c r="A117" s="81"/>
      <c r="B117" s="82"/>
      <c r="D117" s="83"/>
    </row>
    <row r="118" spans="1:4" s="60" customFormat="1" ht="15" customHeight="1">
      <c r="A118" s="81"/>
      <c r="B118" s="82"/>
      <c r="D118" s="83"/>
    </row>
    <row r="119" spans="1:4" s="60" customFormat="1" ht="15" customHeight="1">
      <c r="A119" s="81"/>
      <c r="B119" s="82"/>
      <c r="D119" s="83"/>
    </row>
    <row r="120" spans="1:4" s="60" customFormat="1" ht="15" customHeight="1">
      <c r="A120" s="81"/>
      <c r="B120" s="82"/>
      <c r="D120" s="83"/>
    </row>
    <row r="121" spans="1:4" s="60" customFormat="1" ht="15" customHeight="1">
      <c r="A121" s="81"/>
      <c r="B121" s="82"/>
      <c r="D121" s="83"/>
    </row>
    <row r="122" spans="1:4" s="60" customFormat="1" ht="15" customHeight="1">
      <c r="A122" s="81"/>
      <c r="B122" s="82"/>
      <c r="D122" s="83"/>
    </row>
    <row r="123" spans="1:4" s="60" customFormat="1" ht="15" customHeight="1">
      <c r="A123" s="81"/>
      <c r="B123" s="82"/>
      <c r="D123" s="83"/>
    </row>
    <row r="124" spans="1:4" s="60" customFormat="1" ht="15" customHeight="1">
      <c r="A124" s="81"/>
      <c r="B124" s="82"/>
      <c r="D124" s="83"/>
    </row>
    <row r="125" spans="1:4" s="60" customFormat="1" ht="15" customHeight="1">
      <c r="A125" s="81"/>
      <c r="B125" s="82"/>
      <c r="D125" s="83"/>
    </row>
    <row r="126" spans="1:4" s="60" customFormat="1" ht="15" customHeight="1">
      <c r="A126" s="81"/>
      <c r="B126" s="82"/>
      <c r="D126" s="83"/>
    </row>
    <row r="127" spans="1:4" s="60" customFormat="1" ht="15" customHeight="1">
      <c r="A127" s="81"/>
      <c r="B127" s="82"/>
      <c r="D127" s="83"/>
    </row>
    <row r="128" spans="1:4" s="60" customFormat="1" ht="15" customHeight="1">
      <c r="A128" s="81"/>
      <c r="B128" s="82"/>
      <c r="D128" s="83"/>
    </row>
    <row r="129" spans="1:4" s="60" customFormat="1" ht="15" customHeight="1">
      <c r="A129" s="81"/>
      <c r="B129" s="82"/>
      <c r="D129" s="83"/>
    </row>
    <row r="130" spans="1:4" s="60" customFormat="1" ht="15" customHeight="1">
      <c r="A130" s="81"/>
      <c r="B130" s="82"/>
      <c r="D130" s="83"/>
    </row>
    <row r="131" spans="1:4" s="60" customFormat="1" ht="15" customHeight="1">
      <c r="A131" s="81"/>
      <c r="B131" s="82"/>
      <c r="D131" s="83"/>
    </row>
    <row r="132" spans="1:4" s="60" customFormat="1" ht="15" customHeight="1">
      <c r="A132" s="81"/>
      <c r="B132" s="82"/>
      <c r="D132" s="83"/>
    </row>
    <row r="133" spans="1:4" s="60" customFormat="1" ht="15" customHeight="1">
      <c r="A133" s="81"/>
      <c r="B133" s="82"/>
      <c r="D133" s="83"/>
    </row>
    <row r="134" spans="1:4" s="60" customFormat="1" ht="15" customHeight="1">
      <c r="A134" s="81"/>
      <c r="B134" s="82"/>
      <c r="D134" s="83"/>
    </row>
    <row r="135" spans="1:4" s="60" customFormat="1" ht="15" customHeight="1">
      <c r="A135" s="81"/>
      <c r="B135" s="82"/>
      <c r="D135" s="83"/>
    </row>
    <row r="136" spans="1:4" s="60" customFormat="1" ht="15" customHeight="1">
      <c r="A136" s="81"/>
      <c r="B136" s="82"/>
      <c r="D136" s="83"/>
    </row>
    <row r="137" spans="1:4" s="60" customFormat="1" ht="15" customHeight="1">
      <c r="A137" s="81"/>
      <c r="B137" s="82"/>
      <c r="D137" s="83"/>
    </row>
    <row r="138" spans="1:4" s="60" customFormat="1" ht="15" customHeight="1">
      <c r="A138" s="81"/>
      <c r="B138" s="82"/>
      <c r="D138" s="83"/>
    </row>
    <row r="139" spans="1:4" s="60" customFormat="1" ht="15" customHeight="1">
      <c r="A139" s="81"/>
      <c r="B139" s="82"/>
      <c r="D139" s="83"/>
    </row>
    <row r="140" spans="1:4" s="60" customFormat="1" ht="15" customHeight="1">
      <c r="A140" s="81"/>
      <c r="B140" s="82"/>
      <c r="D140" s="83"/>
    </row>
    <row r="141" spans="1:4" s="60" customFormat="1" ht="15" customHeight="1">
      <c r="A141" s="81"/>
      <c r="B141" s="82"/>
      <c r="D141" s="83"/>
    </row>
    <row r="142" spans="1:4" s="60" customFormat="1" ht="15" customHeight="1">
      <c r="A142" s="81"/>
      <c r="B142" s="82"/>
      <c r="D142" s="83"/>
    </row>
    <row r="143" spans="1:4" s="60" customFormat="1" ht="15" customHeight="1">
      <c r="A143" s="81"/>
      <c r="B143" s="82"/>
      <c r="D143" s="83"/>
    </row>
    <row r="144" spans="1:4" s="60" customFormat="1" ht="15" customHeight="1">
      <c r="A144" s="81"/>
      <c r="B144" s="82"/>
      <c r="D144" s="83"/>
    </row>
    <row r="145" spans="1:4" s="60" customFormat="1" ht="15" customHeight="1">
      <c r="A145" s="81"/>
      <c r="B145" s="82"/>
      <c r="D145" s="83"/>
    </row>
    <row r="146" spans="1:4" s="60" customFormat="1" ht="15" customHeight="1">
      <c r="A146" s="81"/>
      <c r="B146" s="82"/>
      <c r="D146" s="83"/>
    </row>
    <row r="147" spans="1:4" s="60" customFormat="1" ht="15" customHeight="1">
      <c r="A147" s="81"/>
      <c r="B147" s="82"/>
      <c r="D147" s="83"/>
    </row>
    <row r="148" spans="1:4" s="60" customFormat="1" ht="15" customHeight="1">
      <c r="A148" s="81"/>
      <c r="B148" s="82"/>
      <c r="D148" s="83"/>
    </row>
    <row r="149" spans="1:4" s="60" customFormat="1" ht="15" customHeight="1">
      <c r="A149" s="81"/>
      <c r="B149" s="82"/>
      <c r="D149" s="83"/>
    </row>
    <row r="150" spans="1:4" s="60" customFormat="1" ht="15" customHeight="1">
      <c r="A150" s="81"/>
      <c r="B150" s="82"/>
      <c r="D150" s="83"/>
    </row>
    <row r="151" spans="1:4" s="60" customFormat="1" ht="15" customHeight="1">
      <c r="A151" s="81"/>
      <c r="B151" s="82"/>
      <c r="D151" s="83"/>
    </row>
    <row r="152" spans="1:4" s="60" customFormat="1" ht="15" customHeight="1">
      <c r="A152" s="81"/>
      <c r="B152" s="82"/>
      <c r="D152" s="83"/>
    </row>
    <row r="153" spans="1:4" s="60" customFormat="1" ht="15" customHeight="1">
      <c r="A153" s="81"/>
      <c r="B153" s="82"/>
      <c r="D153" s="83"/>
    </row>
    <row r="154" spans="1:4" s="60" customFormat="1" ht="15" customHeight="1">
      <c r="A154" s="81"/>
      <c r="B154" s="82"/>
      <c r="D154" s="83"/>
    </row>
    <row r="155" spans="1:4" s="60" customFormat="1" ht="15" customHeight="1">
      <c r="A155" s="81"/>
      <c r="B155" s="82"/>
      <c r="D155" s="83"/>
    </row>
    <row r="156" spans="1:4" s="60" customFormat="1" ht="15" customHeight="1">
      <c r="A156" s="81"/>
      <c r="B156" s="82"/>
      <c r="D156" s="83"/>
    </row>
    <row r="157" spans="1:4" s="60" customFormat="1" ht="15" customHeight="1">
      <c r="A157" s="81"/>
      <c r="B157" s="82"/>
      <c r="D157" s="83"/>
    </row>
    <row r="158" spans="1:4" s="60" customFormat="1" ht="15" customHeight="1">
      <c r="A158" s="81"/>
      <c r="B158" s="82"/>
      <c r="D158" s="83"/>
    </row>
    <row r="159" spans="1:4" s="60" customFormat="1" ht="15" customHeight="1">
      <c r="A159" s="81"/>
      <c r="B159" s="82"/>
      <c r="D159" s="83"/>
    </row>
    <row r="160" spans="1:4" s="60" customFormat="1" ht="15" customHeight="1">
      <c r="A160" s="81"/>
      <c r="B160" s="82"/>
      <c r="D160" s="83"/>
    </row>
    <row r="161" spans="1:4" s="60" customFormat="1" ht="15" customHeight="1">
      <c r="A161" s="81"/>
      <c r="B161" s="82"/>
      <c r="D161" s="83"/>
    </row>
    <row r="162" spans="1:4" s="60" customFormat="1" ht="15" customHeight="1">
      <c r="A162" s="81"/>
      <c r="B162" s="82"/>
      <c r="D162" s="83"/>
    </row>
    <row r="163" spans="1:4" s="60" customFormat="1" ht="15" customHeight="1">
      <c r="A163" s="81"/>
      <c r="B163" s="82"/>
      <c r="D163" s="83"/>
    </row>
    <row r="164" spans="1:4" s="60" customFormat="1" ht="15" customHeight="1">
      <c r="A164" s="81"/>
      <c r="B164" s="82"/>
      <c r="D164" s="83"/>
    </row>
    <row r="165" spans="1:4" s="60" customFormat="1" ht="15" customHeight="1">
      <c r="A165" s="81"/>
      <c r="B165" s="82"/>
      <c r="D165" s="83"/>
    </row>
    <row r="166" spans="1:4" s="60" customFormat="1" ht="15" customHeight="1">
      <c r="A166" s="81"/>
      <c r="B166" s="82"/>
      <c r="D166" s="83"/>
    </row>
    <row r="167" spans="1:4" s="60" customFormat="1" ht="15" customHeight="1">
      <c r="A167" s="81"/>
      <c r="B167" s="82"/>
      <c r="D167" s="83"/>
    </row>
    <row r="168" spans="1:4" s="60" customFormat="1" ht="15" customHeight="1">
      <c r="A168" s="81"/>
      <c r="B168" s="82"/>
      <c r="D168" s="83"/>
    </row>
    <row r="169" spans="1:4" s="60" customFormat="1" ht="15" customHeight="1">
      <c r="A169" s="81"/>
      <c r="B169" s="82"/>
      <c r="D169" s="83"/>
    </row>
    <row r="170" spans="1:4" s="60" customFormat="1" ht="15" customHeight="1">
      <c r="A170" s="81"/>
      <c r="B170" s="82"/>
      <c r="D170" s="83"/>
    </row>
    <row r="171" spans="1:4" s="60" customFormat="1" ht="15" customHeight="1">
      <c r="A171" s="81"/>
      <c r="B171" s="82"/>
      <c r="D171" s="83"/>
    </row>
    <row r="172" spans="1:4" s="60" customFormat="1" ht="15" customHeight="1">
      <c r="A172" s="81"/>
      <c r="B172" s="82"/>
      <c r="D172" s="83"/>
    </row>
    <row r="173" spans="1:4" s="60" customFormat="1" ht="15" customHeight="1">
      <c r="A173" s="81"/>
      <c r="B173" s="82"/>
      <c r="D173" s="83"/>
    </row>
    <row r="174" spans="1:4" s="60" customFormat="1" ht="15" customHeight="1">
      <c r="A174" s="81"/>
      <c r="B174" s="82"/>
      <c r="D174" s="83"/>
    </row>
    <row r="175" spans="1:4" s="60" customFormat="1" ht="15" customHeight="1">
      <c r="A175" s="81"/>
      <c r="B175" s="82"/>
      <c r="D175" s="83"/>
    </row>
    <row r="176" spans="1:4" s="60" customFormat="1" ht="15" customHeight="1">
      <c r="A176" s="81"/>
      <c r="B176" s="82"/>
      <c r="D176" s="83"/>
    </row>
    <row r="177" spans="1:4" s="60" customFormat="1" ht="15" customHeight="1">
      <c r="A177" s="81"/>
      <c r="B177" s="82"/>
      <c r="D177" s="83"/>
    </row>
    <row r="178" spans="1:4" s="60" customFormat="1" ht="15" customHeight="1">
      <c r="A178" s="81"/>
      <c r="B178" s="82"/>
      <c r="D178" s="83"/>
    </row>
    <row r="179" spans="1:4" s="60" customFormat="1" ht="15" customHeight="1">
      <c r="A179" s="81"/>
      <c r="B179" s="82"/>
      <c r="D179" s="83"/>
    </row>
    <row r="180" spans="1:4" s="60" customFormat="1" ht="15" customHeight="1">
      <c r="A180" s="81"/>
      <c r="B180" s="82"/>
      <c r="D180" s="83"/>
    </row>
    <row r="181" spans="1:4" s="60" customFormat="1" ht="15" customHeight="1">
      <c r="A181" s="81"/>
      <c r="B181" s="82"/>
      <c r="D181" s="83"/>
    </row>
    <row r="182" spans="1:4" s="60" customFormat="1" ht="15" customHeight="1">
      <c r="A182" s="81"/>
      <c r="B182" s="82"/>
      <c r="D182" s="83"/>
    </row>
    <row r="183" spans="1:4" s="60" customFormat="1" ht="15" customHeight="1">
      <c r="A183" s="81"/>
      <c r="B183" s="82"/>
      <c r="D183" s="83"/>
    </row>
    <row r="184" spans="1:4" s="60" customFormat="1" ht="15" customHeight="1">
      <c r="A184" s="81"/>
      <c r="B184" s="82"/>
      <c r="D184" s="83"/>
    </row>
    <row r="185" spans="1:4" s="60" customFormat="1" ht="15" customHeight="1">
      <c r="A185" s="81"/>
      <c r="B185" s="82"/>
      <c r="D185" s="83"/>
    </row>
    <row r="186" spans="1:4" s="60" customFormat="1" ht="15" customHeight="1">
      <c r="A186" s="81"/>
      <c r="B186" s="82"/>
      <c r="D186" s="83"/>
    </row>
    <row r="187" spans="1:4" s="60" customFormat="1" ht="15" customHeight="1">
      <c r="A187" s="81"/>
      <c r="B187" s="82"/>
      <c r="D187" s="83"/>
    </row>
    <row r="188" spans="1:4" s="60" customFormat="1" ht="15" customHeight="1">
      <c r="A188" s="81"/>
      <c r="B188" s="82"/>
      <c r="D188" s="83"/>
    </row>
    <row r="189" spans="1:4" s="60" customFormat="1" ht="15" customHeight="1">
      <c r="A189" s="81"/>
      <c r="B189" s="82"/>
      <c r="D189" s="83"/>
    </row>
    <row r="190" spans="1:4" s="60" customFormat="1" ht="15" customHeight="1">
      <c r="A190" s="81"/>
      <c r="B190" s="82"/>
      <c r="D190" s="83"/>
    </row>
    <row r="191" spans="1:4" s="60" customFormat="1" ht="15" customHeight="1">
      <c r="A191" s="81"/>
      <c r="B191" s="82"/>
      <c r="D191" s="83"/>
    </row>
    <row r="192" spans="1:4" s="60" customFormat="1" ht="15" customHeight="1">
      <c r="A192" s="81"/>
      <c r="B192" s="82"/>
      <c r="D192" s="83"/>
    </row>
    <row r="193" spans="1:4" s="60" customFormat="1" ht="15" customHeight="1">
      <c r="A193" s="81"/>
      <c r="B193" s="82"/>
      <c r="D193" s="83"/>
    </row>
    <row r="194" spans="1:4" s="60" customFormat="1" ht="15" customHeight="1">
      <c r="A194" s="81"/>
      <c r="B194" s="82"/>
      <c r="D194" s="83"/>
    </row>
    <row r="195" spans="1:4" s="60" customFormat="1" ht="15" customHeight="1">
      <c r="A195" s="81"/>
      <c r="B195" s="82"/>
      <c r="D195" s="83"/>
    </row>
    <row r="196" spans="1:4" s="60" customFormat="1" ht="15" customHeight="1">
      <c r="A196" s="81"/>
      <c r="B196" s="82"/>
      <c r="D196" s="83"/>
    </row>
    <row r="197" spans="1:4" s="60" customFormat="1" ht="15" customHeight="1">
      <c r="A197" s="81"/>
      <c r="B197" s="82"/>
      <c r="D197" s="83"/>
    </row>
    <row r="198" spans="1:4" s="60" customFormat="1" ht="15" customHeight="1">
      <c r="A198" s="81"/>
      <c r="B198" s="82"/>
      <c r="D198" s="83"/>
    </row>
    <row r="199" spans="1:4" s="60" customFormat="1" ht="15" customHeight="1">
      <c r="A199" s="81"/>
      <c r="B199" s="82"/>
      <c r="D199" s="83"/>
    </row>
    <row r="200" spans="1:4" s="60" customFormat="1" ht="15" customHeight="1">
      <c r="A200" s="81"/>
      <c r="B200" s="82"/>
      <c r="D200" s="83"/>
    </row>
    <row r="201" spans="1:4" s="60" customFormat="1" ht="15" customHeight="1">
      <c r="A201" s="81"/>
      <c r="B201" s="82"/>
      <c r="D201" s="83"/>
    </row>
    <row r="202" spans="1:4" s="60" customFormat="1" ht="15" customHeight="1">
      <c r="A202" s="81"/>
      <c r="B202" s="82"/>
      <c r="D202" s="83"/>
    </row>
    <row r="203" spans="1:4" s="60" customFormat="1" ht="15" customHeight="1">
      <c r="A203" s="81"/>
      <c r="B203" s="82"/>
      <c r="D203" s="83"/>
    </row>
    <row r="204" spans="1:4" s="60" customFormat="1" ht="15" customHeight="1">
      <c r="A204" s="81"/>
      <c r="B204" s="82"/>
      <c r="D204" s="83"/>
    </row>
    <row r="205" spans="1:4" s="60" customFormat="1" ht="15" customHeight="1">
      <c r="A205" s="81"/>
      <c r="B205" s="82"/>
      <c r="D205" s="83"/>
    </row>
    <row r="206" spans="1:4" s="60" customFormat="1" ht="15" customHeight="1">
      <c r="A206" s="81"/>
      <c r="B206" s="82"/>
      <c r="D206" s="83"/>
    </row>
    <row r="207" spans="1:4" s="60" customFormat="1" ht="15" customHeight="1">
      <c r="A207" s="81"/>
      <c r="B207" s="82"/>
      <c r="D207" s="83"/>
    </row>
    <row r="208" spans="1:4" s="60" customFormat="1" ht="15" customHeight="1">
      <c r="A208" s="81"/>
      <c r="B208" s="82"/>
      <c r="D208" s="83"/>
    </row>
    <row r="209" spans="1:4" s="60" customFormat="1" ht="15" customHeight="1">
      <c r="A209" s="81"/>
      <c r="B209" s="82"/>
      <c r="D209" s="83"/>
    </row>
    <row r="210" spans="1:4" s="60" customFormat="1" ht="15" customHeight="1">
      <c r="A210" s="81"/>
      <c r="B210" s="82"/>
      <c r="D210" s="83"/>
    </row>
    <row r="211" spans="1:4" s="60" customFormat="1" ht="15" customHeight="1">
      <c r="A211" s="81"/>
      <c r="B211" s="82"/>
      <c r="D211" s="83"/>
    </row>
    <row r="212" spans="1:4" s="60" customFormat="1" ht="15" customHeight="1">
      <c r="A212" s="81"/>
      <c r="B212" s="82"/>
      <c r="D212" s="83"/>
    </row>
    <row r="213" spans="1:4" s="60" customFormat="1" ht="15" customHeight="1">
      <c r="A213" s="81"/>
      <c r="B213" s="82"/>
      <c r="D213" s="83"/>
    </row>
    <row r="214" spans="1:4" s="60" customFormat="1" ht="15" customHeight="1">
      <c r="A214" s="81"/>
      <c r="B214" s="82"/>
      <c r="D214" s="83"/>
    </row>
    <row r="215" spans="1:4" s="60" customFormat="1" ht="15" customHeight="1">
      <c r="A215" s="81"/>
      <c r="B215" s="82"/>
      <c r="D215" s="83"/>
    </row>
    <row r="216" spans="1:4" s="60" customFormat="1" ht="15" customHeight="1">
      <c r="A216" s="81"/>
      <c r="B216" s="82"/>
      <c r="D216" s="83"/>
    </row>
    <row r="217" spans="1:4" s="60" customFormat="1" ht="15" customHeight="1">
      <c r="A217" s="81"/>
      <c r="B217" s="82"/>
      <c r="D217" s="83"/>
    </row>
    <row r="218" spans="1:4" s="60" customFormat="1" ht="15" customHeight="1">
      <c r="A218" s="81"/>
      <c r="B218" s="82"/>
      <c r="D218" s="83"/>
    </row>
    <row r="219" spans="1:4" s="60" customFormat="1" ht="15" customHeight="1">
      <c r="A219" s="81"/>
      <c r="B219" s="82"/>
      <c r="D219" s="83"/>
    </row>
    <row r="220" spans="1:4" s="60" customFormat="1" ht="15" customHeight="1">
      <c r="A220" s="81"/>
      <c r="B220" s="82"/>
      <c r="D220" s="83"/>
    </row>
    <row r="221" spans="1:4" s="60" customFormat="1" ht="15" customHeight="1">
      <c r="A221" s="81"/>
      <c r="B221" s="82"/>
      <c r="D221" s="83"/>
    </row>
    <row r="222" spans="1:4" s="60" customFormat="1" ht="15" customHeight="1">
      <c r="A222" s="81"/>
      <c r="B222" s="82"/>
      <c r="D222" s="83"/>
    </row>
    <row r="223" spans="1:4" s="60" customFormat="1" ht="15" customHeight="1">
      <c r="A223" s="81"/>
      <c r="B223" s="82"/>
      <c r="D223" s="83"/>
    </row>
    <row r="224" spans="1:4" s="60" customFormat="1" ht="15" customHeight="1">
      <c r="A224" s="81"/>
      <c r="B224" s="82"/>
      <c r="D224" s="83"/>
    </row>
    <row r="225" spans="1:4" s="60" customFormat="1" ht="15" customHeight="1">
      <c r="A225" s="81"/>
      <c r="B225" s="82"/>
      <c r="D225" s="83"/>
    </row>
    <row r="226" spans="1:4" s="60" customFormat="1" ht="15" customHeight="1">
      <c r="A226" s="81"/>
      <c r="B226" s="82"/>
      <c r="D226" s="83"/>
    </row>
    <row r="227" spans="1:4" s="60" customFormat="1" ht="15" customHeight="1">
      <c r="A227" s="81"/>
      <c r="B227" s="82"/>
      <c r="D227" s="83"/>
    </row>
    <row r="228" spans="1:4" s="60" customFormat="1" ht="15" customHeight="1">
      <c r="A228" s="81"/>
      <c r="B228" s="82"/>
      <c r="D228" s="83"/>
    </row>
    <row r="229" spans="1:4" s="60" customFormat="1" ht="15" customHeight="1">
      <c r="A229" s="81"/>
      <c r="B229" s="82"/>
      <c r="D229" s="83"/>
    </row>
    <row r="230" spans="1:4" s="60" customFormat="1" ht="15" customHeight="1">
      <c r="A230" s="81"/>
      <c r="B230" s="82"/>
      <c r="D230" s="83"/>
    </row>
    <row r="231" spans="1:4" s="60" customFormat="1" ht="15" customHeight="1">
      <c r="A231" s="81"/>
      <c r="B231" s="82"/>
      <c r="D231" s="83"/>
    </row>
    <row r="232" spans="1:4" s="60" customFormat="1" ht="15" customHeight="1">
      <c r="A232" s="81"/>
      <c r="B232" s="82"/>
      <c r="D232" s="83"/>
    </row>
    <row r="233" spans="1:4" s="60" customFormat="1" ht="15" customHeight="1">
      <c r="A233" s="81"/>
      <c r="B233" s="82"/>
      <c r="D233" s="83"/>
    </row>
    <row r="234" spans="1:4" s="60" customFormat="1" ht="15" customHeight="1">
      <c r="A234" s="81"/>
      <c r="B234" s="82"/>
      <c r="D234" s="83"/>
    </row>
    <row r="235" spans="1:4" s="60" customFormat="1" ht="15" customHeight="1">
      <c r="A235" s="81"/>
      <c r="B235" s="82"/>
      <c r="D235" s="83"/>
    </row>
    <row r="236" spans="1:4" s="60" customFormat="1" ht="15" customHeight="1">
      <c r="A236" s="81"/>
      <c r="B236" s="82"/>
      <c r="D236" s="83"/>
    </row>
    <row r="237" spans="1:4" s="60" customFormat="1" ht="15" customHeight="1">
      <c r="A237" s="81"/>
      <c r="B237" s="82"/>
      <c r="D237" s="83"/>
    </row>
    <row r="238" spans="1:4" s="60" customFormat="1" ht="15" customHeight="1">
      <c r="A238" s="81"/>
      <c r="B238" s="82"/>
      <c r="D238" s="83"/>
    </row>
    <row r="239" spans="1:4" s="60" customFormat="1" ht="15" customHeight="1">
      <c r="A239" s="81"/>
      <c r="B239" s="82"/>
      <c r="D239" s="83"/>
    </row>
    <row r="240" spans="1:4" s="60" customFormat="1" ht="15" customHeight="1">
      <c r="A240" s="81"/>
      <c r="B240" s="82"/>
      <c r="D240" s="83"/>
    </row>
    <row r="241" spans="1:4" s="60" customFormat="1" ht="15" customHeight="1">
      <c r="A241" s="81"/>
      <c r="B241" s="82"/>
      <c r="D241" s="83"/>
    </row>
    <row r="242" spans="1:4" s="60" customFormat="1" ht="15" customHeight="1">
      <c r="A242" s="81"/>
      <c r="B242" s="82"/>
      <c r="D242" s="83"/>
    </row>
    <row r="243" spans="1:4" s="60" customFormat="1" ht="15" customHeight="1">
      <c r="A243" s="81"/>
      <c r="B243" s="82"/>
      <c r="D243" s="83"/>
    </row>
    <row r="244" spans="1:4" s="60" customFormat="1" ht="15" customHeight="1">
      <c r="A244" s="81"/>
      <c r="B244" s="82"/>
      <c r="D244" s="83"/>
    </row>
    <row r="245" spans="1:4" s="60" customFormat="1" ht="15" customHeight="1">
      <c r="A245" s="81"/>
      <c r="B245" s="82"/>
      <c r="D245" s="83"/>
    </row>
    <row r="246" spans="1:4" s="60" customFormat="1" ht="15" customHeight="1">
      <c r="A246" s="81"/>
      <c r="B246" s="82"/>
      <c r="D246" s="83"/>
    </row>
    <row r="247" spans="1:4" s="60" customFormat="1" ht="15" customHeight="1">
      <c r="A247" s="81"/>
      <c r="B247" s="82"/>
      <c r="D247" s="83"/>
    </row>
    <row r="248" spans="1:4" s="60" customFormat="1" ht="15" customHeight="1">
      <c r="A248" s="81"/>
      <c r="B248" s="82"/>
      <c r="D248" s="83"/>
    </row>
    <row r="249" spans="1:4" s="60" customFormat="1" ht="15" customHeight="1">
      <c r="A249" s="81"/>
      <c r="B249" s="82"/>
      <c r="D249" s="83"/>
    </row>
    <row r="250" spans="1:4" s="60" customFormat="1" ht="15" customHeight="1">
      <c r="A250" s="81"/>
      <c r="B250" s="82"/>
      <c r="D250" s="83"/>
    </row>
    <row r="251" spans="1:4" s="60" customFormat="1" ht="15" customHeight="1">
      <c r="A251" s="81"/>
      <c r="B251" s="82"/>
      <c r="D251" s="83"/>
    </row>
    <row r="252" spans="1:4" s="60" customFormat="1" ht="15" customHeight="1">
      <c r="A252" s="81"/>
      <c r="B252" s="82"/>
      <c r="D252" s="83"/>
    </row>
    <row r="253" spans="1:4" s="60" customFormat="1" ht="15" customHeight="1">
      <c r="A253" s="81"/>
      <c r="B253" s="82"/>
      <c r="D253" s="83"/>
    </row>
    <row r="254" spans="1:4" s="60" customFormat="1" ht="15" customHeight="1">
      <c r="A254" s="81"/>
      <c r="B254" s="82"/>
      <c r="D254" s="83"/>
    </row>
    <row r="255" spans="1:4" s="60" customFormat="1" ht="15" customHeight="1">
      <c r="A255" s="81"/>
      <c r="B255" s="82"/>
      <c r="D255" s="83"/>
    </row>
    <row r="256" spans="1:4" s="60" customFormat="1" ht="15" customHeight="1">
      <c r="A256" s="81"/>
      <c r="B256" s="82"/>
      <c r="D256" s="83"/>
    </row>
    <row r="257" spans="1:4" s="60" customFormat="1" ht="15" customHeight="1">
      <c r="A257" s="81"/>
      <c r="B257" s="82"/>
      <c r="D257" s="83"/>
    </row>
    <row r="258" spans="1:4" s="60" customFormat="1" ht="15" customHeight="1">
      <c r="A258" s="81"/>
      <c r="B258" s="82"/>
      <c r="D258" s="83"/>
    </row>
    <row r="259" spans="1:4" s="60" customFormat="1" ht="15" customHeight="1">
      <c r="A259" s="81"/>
      <c r="B259" s="82"/>
      <c r="D259" s="83"/>
    </row>
    <row r="260" spans="1:4" s="60" customFormat="1" ht="15" customHeight="1">
      <c r="A260" s="81"/>
      <c r="B260" s="82"/>
      <c r="D260" s="83"/>
    </row>
    <row r="261" spans="1:4" s="60" customFormat="1" ht="15" customHeight="1">
      <c r="A261" s="81"/>
      <c r="B261" s="82"/>
      <c r="D261" s="83"/>
    </row>
    <row r="262" spans="1:4" s="60" customFormat="1" ht="15" customHeight="1">
      <c r="A262" s="81"/>
      <c r="B262" s="82"/>
      <c r="D262" s="83"/>
    </row>
    <row r="263" spans="1:4" s="60" customFormat="1" ht="15" customHeight="1">
      <c r="A263" s="81"/>
      <c r="B263" s="82"/>
      <c r="D263" s="83"/>
    </row>
    <row r="264" spans="1:4" s="60" customFormat="1" ht="15" customHeight="1">
      <c r="A264" s="81"/>
      <c r="B264" s="82"/>
      <c r="D264" s="83"/>
    </row>
    <row r="265" spans="1:4" s="60" customFormat="1" ht="15" customHeight="1">
      <c r="A265" s="81"/>
      <c r="B265" s="82"/>
      <c r="D265" s="83"/>
    </row>
    <row r="266" spans="1:4" s="60" customFormat="1" ht="15" customHeight="1">
      <c r="A266" s="81"/>
      <c r="B266" s="82"/>
      <c r="D266" s="83"/>
    </row>
    <row r="267" spans="1:4" s="60" customFormat="1" ht="15" customHeight="1">
      <c r="A267" s="81"/>
      <c r="B267" s="82"/>
      <c r="D267" s="83"/>
    </row>
    <row r="268" spans="1:4" s="60" customFormat="1" ht="15" customHeight="1">
      <c r="A268" s="81"/>
      <c r="B268" s="82"/>
      <c r="D268" s="83"/>
    </row>
    <row r="269" spans="1:4" s="60" customFormat="1" ht="15" customHeight="1">
      <c r="A269" s="81"/>
      <c r="B269" s="82"/>
      <c r="D269" s="83"/>
    </row>
    <row r="270" spans="1:4" s="60" customFormat="1" ht="15" customHeight="1">
      <c r="A270" s="81"/>
      <c r="B270" s="82"/>
      <c r="D270" s="83"/>
    </row>
    <row r="271" spans="1:4" s="60" customFormat="1" ht="15" customHeight="1">
      <c r="A271" s="81"/>
      <c r="B271" s="82"/>
      <c r="D271" s="83"/>
    </row>
    <row r="272" spans="1:4" s="60" customFormat="1" ht="15" customHeight="1">
      <c r="A272" s="81"/>
      <c r="B272" s="82"/>
      <c r="D272" s="83"/>
    </row>
    <row r="273" spans="1:4" s="60" customFormat="1" ht="15" customHeight="1">
      <c r="A273" s="81"/>
      <c r="B273" s="82"/>
      <c r="D273" s="83"/>
    </row>
    <row r="274" spans="1:4" s="60" customFormat="1" ht="15" customHeight="1">
      <c r="A274" s="81"/>
      <c r="B274" s="82"/>
      <c r="D274" s="83"/>
    </row>
    <row r="275" spans="1:4" s="60" customFormat="1" ht="15" customHeight="1">
      <c r="A275" s="81"/>
      <c r="B275" s="82"/>
      <c r="D275" s="83"/>
    </row>
    <row r="276" spans="1:4" s="60" customFormat="1" ht="15" customHeight="1">
      <c r="A276" s="81"/>
      <c r="B276" s="82"/>
      <c r="D276" s="83"/>
    </row>
    <row r="277" spans="1:4" s="60" customFormat="1" ht="15" customHeight="1">
      <c r="A277" s="81"/>
      <c r="B277" s="82"/>
      <c r="D277" s="83"/>
    </row>
    <row r="278" spans="1:4" s="60" customFormat="1" ht="15" customHeight="1">
      <c r="A278" s="81"/>
      <c r="B278" s="82"/>
      <c r="D278" s="83"/>
    </row>
    <row r="279" spans="1:4" s="60" customFormat="1" ht="15" customHeight="1">
      <c r="A279" s="81"/>
      <c r="B279" s="82"/>
      <c r="D279" s="83"/>
    </row>
    <row r="280" spans="1:4" s="60" customFormat="1" ht="15" customHeight="1">
      <c r="A280" s="81"/>
      <c r="B280" s="82"/>
      <c r="D280" s="83"/>
    </row>
    <row r="281" spans="1:4" s="60" customFormat="1" ht="15" customHeight="1">
      <c r="A281" s="81"/>
      <c r="B281" s="82"/>
      <c r="D281" s="83"/>
    </row>
    <row r="282" spans="1:4" s="60" customFormat="1" ht="15" customHeight="1">
      <c r="A282" s="81"/>
      <c r="B282" s="82"/>
      <c r="D282" s="83"/>
    </row>
    <row r="283" spans="1:4" s="60" customFormat="1" ht="15" customHeight="1">
      <c r="A283" s="81"/>
      <c r="B283" s="82"/>
      <c r="D283" s="83"/>
    </row>
    <row r="284" spans="1:4" s="60" customFormat="1" ht="15" customHeight="1">
      <c r="A284" s="81"/>
      <c r="B284" s="82"/>
      <c r="D284" s="83"/>
    </row>
    <row r="285" spans="1:4" s="60" customFormat="1" ht="15" customHeight="1">
      <c r="A285" s="81"/>
      <c r="B285" s="82"/>
      <c r="D285" s="83"/>
    </row>
    <row r="286" spans="1:4" s="60" customFormat="1" ht="15" customHeight="1">
      <c r="A286" s="81"/>
      <c r="B286" s="82"/>
      <c r="D286" s="83"/>
    </row>
    <row r="287" spans="1:4" s="60" customFormat="1" ht="15" customHeight="1">
      <c r="A287" s="81"/>
      <c r="B287" s="82"/>
      <c r="D287" s="83"/>
    </row>
    <row r="288" spans="1:4" s="60" customFormat="1" ht="15" customHeight="1">
      <c r="A288" s="81"/>
      <c r="B288" s="82"/>
      <c r="D288" s="83"/>
    </row>
    <row r="289" spans="1:4" s="60" customFormat="1" ht="15" customHeight="1">
      <c r="A289" s="81"/>
      <c r="B289" s="82"/>
      <c r="D289" s="83"/>
    </row>
    <row r="290" spans="1:4" s="60" customFormat="1" ht="15" customHeight="1">
      <c r="A290" s="81"/>
      <c r="B290" s="82"/>
      <c r="D290" s="83"/>
    </row>
    <row r="291" spans="1:4" s="60" customFormat="1" ht="15" customHeight="1">
      <c r="A291" s="81"/>
      <c r="B291" s="82"/>
      <c r="D291" s="83"/>
    </row>
    <row r="292" spans="1:4" s="60" customFormat="1" ht="15" customHeight="1">
      <c r="A292" s="81"/>
      <c r="B292" s="82"/>
      <c r="D292" s="83"/>
    </row>
    <row r="293" spans="1:4" s="60" customFormat="1" ht="15" customHeight="1">
      <c r="A293" s="81"/>
      <c r="B293" s="82"/>
      <c r="D293" s="83"/>
    </row>
    <row r="294" spans="1:4" s="60" customFormat="1" ht="15" customHeight="1">
      <c r="A294" s="81"/>
      <c r="B294" s="82"/>
      <c r="D294" s="83"/>
    </row>
    <row r="295" spans="1:4" s="60" customFormat="1" ht="15" customHeight="1">
      <c r="A295" s="81"/>
      <c r="B295" s="82"/>
      <c r="D295" s="83"/>
    </row>
    <row r="296" spans="1:4" s="60" customFormat="1" ht="15" customHeight="1">
      <c r="A296" s="81"/>
      <c r="B296" s="82"/>
      <c r="D296" s="83"/>
    </row>
    <row r="297" spans="1:4" s="60" customFormat="1" ht="15" customHeight="1">
      <c r="A297" s="81"/>
      <c r="B297" s="82"/>
      <c r="D297" s="83"/>
    </row>
    <row r="298" spans="1:4" s="60" customFormat="1" ht="15" customHeight="1">
      <c r="A298" s="81"/>
      <c r="B298" s="82"/>
      <c r="D298" s="83"/>
    </row>
    <row r="299" spans="1:4" s="60" customFormat="1" ht="15" customHeight="1">
      <c r="A299" s="81"/>
      <c r="B299" s="82"/>
      <c r="D299" s="83"/>
    </row>
    <row r="300" spans="1:4" s="60" customFormat="1" ht="15" customHeight="1">
      <c r="A300" s="81"/>
      <c r="B300" s="82"/>
      <c r="D300" s="83"/>
    </row>
    <row r="301" spans="1:4" s="60" customFormat="1" ht="15" customHeight="1">
      <c r="A301" s="81"/>
      <c r="B301" s="82"/>
      <c r="D301" s="83"/>
    </row>
    <row r="302" spans="1:4" s="60" customFormat="1" ht="15" customHeight="1">
      <c r="A302" s="81"/>
      <c r="B302" s="82"/>
      <c r="D302" s="83"/>
    </row>
    <row r="303" spans="1:4" s="60" customFormat="1" ht="15" customHeight="1">
      <c r="A303" s="81"/>
      <c r="B303" s="82"/>
      <c r="D303" s="83"/>
    </row>
    <row r="304" spans="1:4" s="60" customFormat="1" ht="15" customHeight="1">
      <c r="A304" s="81"/>
      <c r="B304" s="82"/>
      <c r="D304" s="83"/>
    </row>
    <row r="305" spans="1:4" s="60" customFormat="1" ht="15" customHeight="1">
      <c r="A305" s="81"/>
      <c r="B305" s="82"/>
      <c r="D305" s="83"/>
    </row>
    <row r="306" spans="1:4" s="60" customFormat="1" ht="15" customHeight="1">
      <c r="A306" s="81"/>
      <c r="B306" s="82"/>
      <c r="D306" s="83"/>
    </row>
    <row r="307" spans="1:4" s="60" customFormat="1" ht="15" customHeight="1">
      <c r="A307" s="81"/>
      <c r="B307" s="82"/>
      <c r="D307" s="83"/>
    </row>
    <row r="308" spans="1:4" s="60" customFormat="1" ht="15" customHeight="1">
      <c r="A308" s="81"/>
      <c r="B308" s="82"/>
      <c r="D308" s="83"/>
    </row>
    <row r="309" spans="1:4" s="60" customFormat="1" ht="15" customHeight="1">
      <c r="A309" s="81"/>
      <c r="B309" s="82"/>
      <c r="D309" s="83"/>
    </row>
    <row r="310" spans="1:4" s="60" customFormat="1" ht="15" customHeight="1">
      <c r="A310" s="81"/>
      <c r="B310" s="82"/>
      <c r="D310" s="83"/>
    </row>
    <row r="311" spans="1:4" s="60" customFormat="1" ht="15" customHeight="1">
      <c r="A311" s="81"/>
      <c r="B311" s="82"/>
      <c r="D311" s="83"/>
    </row>
    <row r="312" spans="1:4" s="60" customFormat="1" ht="15" customHeight="1">
      <c r="A312" s="81"/>
      <c r="B312" s="82"/>
      <c r="D312" s="83"/>
    </row>
    <row r="313" spans="1:4" s="60" customFormat="1" ht="15" customHeight="1">
      <c r="A313" s="81"/>
      <c r="B313" s="82"/>
      <c r="D313" s="83"/>
    </row>
    <row r="314" spans="1:4" s="60" customFormat="1" ht="15" customHeight="1">
      <c r="A314" s="81"/>
      <c r="B314" s="82"/>
      <c r="D314" s="83"/>
    </row>
    <row r="315" spans="1:4" s="60" customFormat="1" ht="15" customHeight="1">
      <c r="A315" s="81"/>
      <c r="B315" s="82"/>
      <c r="D315" s="83"/>
    </row>
    <row r="316" spans="1:4" s="60" customFormat="1" ht="15" customHeight="1">
      <c r="A316" s="81"/>
      <c r="B316" s="82"/>
      <c r="D316" s="83"/>
    </row>
    <row r="317" spans="1:4" s="60" customFormat="1" ht="15" customHeight="1">
      <c r="A317" s="81"/>
      <c r="B317" s="82"/>
      <c r="D317" s="83"/>
    </row>
    <row r="318" spans="1:4" s="60" customFormat="1" ht="15" customHeight="1">
      <c r="A318" s="81"/>
      <c r="B318" s="82"/>
      <c r="D318" s="83"/>
    </row>
    <row r="319" spans="1:4" s="60" customFormat="1" ht="15" customHeight="1">
      <c r="A319" s="81"/>
      <c r="B319" s="82"/>
      <c r="D319" s="83"/>
    </row>
    <row r="320" spans="1:4" s="60" customFormat="1" ht="15" customHeight="1">
      <c r="A320" s="81"/>
      <c r="B320" s="82"/>
      <c r="D320" s="83"/>
    </row>
    <row r="321" spans="1:4" s="60" customFormat="1" ht="15" customHeight="1">
      <c r="A321" s="81"/>
      <c r="B321" s="82"/>
      <c r="D321" s="83"/>
    </row>
    <row r="322" spans="1:4" s="60" customFormat="1" ht="15" customHeight="1">
      <c r="A322" s="81"/>
      <c r="B322" s="82"/>
      <c r="D322" s="83"/>
    </row>
    <row r="323" spans="1:4" s="60" customFormat="1" ht="15" customHeight="1">
      <c r="A323" s="81"/>
      <c r="B323" s="82"/>
      <c r="D323" s="83"/>
    </row>
    <row r="324" spans="1:4" s="60" customFormat="1" ht="15" customHeight="1">
      <c r="A324" s="81"/>
      <c r="B324" s="82"/>
      <c r="D324" s="83"/>
    </row>
    <row r="325" spans="1:4" s="60" customFormat="1" ht="15" customHeight="1">
      <c r="A325" s="81"/>
      <c r="B325" s="82"/>
      <c r="D325" s="83"/>
    </row>
    <row r="326" spans="1:4" s="60" customFormat="1" ht="15" customHeight="1">
      <c r="A326" s="81"/>
      <c r="B326" s="82"/>
      <c r="D326" s="83"/>
    </row>
    <row r="327" spans="1:4" s="60" customFormat="1" ht="15" customHeight="1">
      <c r="A327" s="81"/>
      <c r="B327" s="82"/>
      <c r="D327" s="83"/>
    </row>
    <row r="328" spans="1:4" s="60" customFormat="1" ht="15" customHeight="1">
      <c r="A328" s="81"/>
      <c r="B328" s="82"/>
      <c r="D328" s="83"/>
    </row>
    <row r="329" spans="1:4" s="60" customFormat="1" ht="15" customHeight="1">
      <c r="A329" s="81"/>
      <c r="B329" s="82"/>
      <c r="D329" s="83"/>
    </row>
    <row r="330" spans="1:4" s="60" customFormat="1" ht="15" customHeight="1">
      <c r="A330" s="81"/>
      <c r="B330" s="82"/>
      <c r="D330" s="83"/>
    </row>
    <row r="331" spans="1:4" s="60" customFormat="1" ht="15" customHeight="1">
      <c r="A331" s="81"/>
      <c r="B331" s="82"/>
      <c r="D331" s="83"/>
    </row>
    <row r="332" spans="1:4" s="60" customFormat="1" ht="15" customHeight="1">
      <c r="A332" s="81"/>
      <c r="B332" s="82"/>
      <c r="D332" s="83"/>
    </row>
    <row r="333" spans="1:4" s="60" customFormat="1" ht="15" customHeight="1">
      <c r="A333" s="81"/>
      <c r="B333" s="82"/>
      <c r="D333" s="83"/>
    </row>
    <row r="334" spans="1:4" s="60" customFormat="1" ht="15" customHeight="1">
      <c r="A334" s="81"/>
      <c r="B334" s="82"/>
      <c r="D334" s="83"/>
    </row>
    <row r="335" spans="1:4" s="60" customFormat="1" ht="15" customHeight="1">
      <c r="A335" s="81"/>
      <c r="B335" s="82"/>
      <c r="D335" s="83"/>
    </row>
    <row r="336" spans="1:4" s="60" customFormat="1" ht="15" customHeight="1">
      <c r="A336" s="81"/>
      <c r="B336" s="82"/>
      <c r="D336" s="83"/>
    </row>
    <row r="337" spans="1:4" s="60" customFormat="1" ht="15" customHeight="1">
      <c r="A337" s="81"/>
      <c r="B337" s="82"/>
      <c r="D337" s="83"/>
    </row>
    <row r="338" spans="1:4" s="60" customFormat="1" ht="15" customHeight="1">
      <c r="A338" s="81"/>
      <c r="B338" s="82"/>
      <c r="D338" s="83"/>
    </row>
    <row r="339" spans="1:4" s="60" customFormat="1" ht="15" customHeight="1">
      <c r="A339" s="81"/>
      <c r="B339" s="82"/>
      <c r="D339" s="83"/>
    </row>
    <row r="340" spans="1:4" s="60" customFormat="1" ht="15" customHeight="1">
      <c r="A340" s="81"/>
      <c r="B340" s="82"/>
      <c r="D340" s="83"/>
    </row>
    <row r="341" spans="1:4" s="60" customFormat="1" ht="15" customHeight="1">
      <c r="A341" s="81"/>
      <c r="B341" s="82"/>
      <c r="D341" s="83"/>
    </row>
    <row r="342" spans="1:4" s="60" customFormat="1" ht="15" customHeight="1">
      <c r="A342" s="81"/>
      <c r="B342" s="82"/>
      <c r="D342" s="83"/>
    </row>
    <row r="343" spans="1:4" s="60" customFormat="1" ht="15" customHeight="1">
      <c r="A343" s="81"/>
      <c r="B343" s="82"/>
      <c r="D343" s="83"/>
    </row>
    <row r="344" spans="1:4" s="60" customFormat="1" ht="15" customHeight="1">
      <c r="A344" s="81"/>
      <c r="B344" s="82"/>
      <c r="D344" s="83"/>
    </row>
    <row r="345" spans="1:4" s="60" customFormat="1" ht="15" customHeight="1">
      <c r="A345" s="81"/>
      <c r="B345" s="82"/>
      <c r="D345" s="83"/>
    </row>
    <row r="346" spans="1:4" s="60" customFormat="1" ht="15" customHeight="1">
      <c r="A346" s="81"/>
      <c r="B346" s="82"/>
      <c r="D346" s="83"/>
    </row>
    <row r="347" spans="1:4" s="60" customFormat="1" ht="15" customHeight="1">
      <c r="A347" s="81"/>
      <c r="B347" s="82"/>
      <c r="D347" s="83"/>
    </row>
    <row r="348" spans="1:4" s="60" customFormat="1" ht="15" customHeight="1">
      <c r="A348" s="81"/>
      <c r="B348" s="82"/>
      <c r="D348" s="83"/>
    </row>
    <row r="349" spans="1:4" s="60" customFormat="1" ht="15" customHeight="1">
      <c r="A349" s="81"/>
      <c r="B349" s="82"/>
      <c r="D349" s="83"/>
    </row>
    <row r="350" spans="1:4" s="60" customFormat="1" ht="15" customHeight="1">
      <c r="A350" s="81"/>
      <c r="B350" s="82"/>
      <c r="D350" s="83"/>
    </row>
    <row r="351" spans="1:4" s="60" customFormat="1" ht="15" customHeight="1">
      <c r="A351" s="81"/>
      <c r="B351" s="82"/>
      <c r="D351" s="83"/>
    </row>
    <row r="352" spans="1:4" s="60" customFormat="1" ht="15" customHeight="1">
      <c r="A352" s="81"/>
      <c r="B352" s="82"/>
      <c r="D352" s="83"/>
    </row>
    <row r="353" spans="1:4" s="60" customFormat="1" ht="15" customHeight="1">
      <c r="A353" s="81"/>
      <c r="B353" s="82"/>
      <c r="D353" s="83"/>
    </row>
    <row r="354" spans="1:4" s="60" customFormat="1" ht="15" customHeight="1">
      <c r="A354" s="81"/>
      <c r="B354" s="82"/>
      <c r="D354" s="83"/>
    </row>
    <row r="355" spans="1:4" s="60" customFormat="1" ht="15" customHeight="1">
      <c r="A355" s="81"/>
      <c r="B355" s="82"/>
      <c r="D355" s="83"/>
    </row>
    <row r="356" spans="1:4" s="60" customFormat="1" ht="15" customHeight="1">
      <c r="A356" s="81"/>
      <c r="B356" s="82"/>
      <c r="D356" s="83"/>
    </row>
    <row r="357" spans="1:4" s="60" customFormat="1" ht="15" customHeight="1">
      <c r="A357" s="81"/>
      <c r="B357" s="82"/>
      <c r="D357" s="83"/>
    </row>
    <row r="358" spans="1:4" s="60" customFormat="1" ht="15" customHeight="1">
      <c r="A358" s="81"/>
      <c r="B358" s="82"/>
      <c r="D358" s="83"/>
    </row>
    <row r="359" spans="1:4" s="60" customFormat="1" ht="15" customHeight="1">
      <c r="A359" s="81"/>
      <c r="B359" s="82"/>
      <c r="D359" s="83"/>
    </row>
    <row r="360" spans="1:4" s="60" customFormat="1" ht="15" customHeight="1">
      <c r="A360" s="81"/>
      <c r="B360" s="82"/>
      <c r="D360" s="83"/>
    </row>
    <row r="361" spans="1:4" s="60" customFormat="1" ht="15" customHeight="1">
      <c r="A361" s="81"/>
      <c r="B361" s="82"/>
      <c r="D361" s="83"/>
    </row>
    <row r="362" spans="1:4" s="60" customFormat="1" ht="15" customHeight="1">
      <c r="A362" s="81"/>
      <c r="B362" s="82"/>
      <c r="D362" s="83"/>
    </row>
    <row r="363" spans="1:4" s="60" customFormat="1" ht="15" customHeight="1">
      <c r="A363" s="81"/>
      <c r="B363" s="82"/>
      <c r="D363" s="83"/>
    </row>
    <row r="364" spans="1:4" s="60" customFormat="1" ht="15" customHeight="1">
      <c r="A364" s="81"/>
      <c r="B364" s="82"/>
      <c r="D364" s="83"/>
    </row>
    <row r="365" spans="1:4" s="60" customFormat="1" ht="15" customHeight="1">
      <c r="A365" s="81"/>
      <c r="B365" s="82"/>
      <c r="D365" s="83"/>
    </row>
    <row r="366" spans="1:4" s="60" customFormat="1" ht="15" customHeight="1">
      <c r="A366" s="81"/>
      <c r="B366" s="82"/>
      <c r="D366" s="83"/>
    </row>
    <row r="367" spans="1:4" s="60" customFormat="1" ht="15" customHeight="1">
      <c r="A367" s="81"/>
      <c r="B367" s="82"/>
      <c r="D367" s="83"/>
    </row>
    <row r="368" spans="1:4" s="60" customFormat="1" ht="15" customHeight="1">
      <c r="A368" s="81"/>
      <c r="B368" s="82"/>
      <c r="D368" s="83"/>
    </row>
    <row r="369" spans="1:4" s="60" customFormat="1" ht="15" customHeight="1">
      <c r="A369" s="81"/>
      <c r="B369" s="82"/>
      <c r="D369" s="83"/>
    </row>
    <row r="370" spans="1:4" s="60" customFormat="1" ht="15" customHeight="1">
      <c r="A370" s="81"/>
      <c r="B370" s="82"/>
      <c r="D370" s="83"/>
    </row>
    <row r="371" spans="1:4" s="60" customFormat="1" ht="15" customHeight="1">
      <c r="A371" s="81"/>
      <c r="B371" s="82"/>
      <c r="D371" s="83"/>
    </row>
    <row r="372" spans="1:4" s="60" customFormat="1" ht="15" customHeight="1">
      <c r="A372" s="81"/>
      <c r="B372" s="82"/>
      <c r="D372" s="83"/>
    </row>
    <row r="373" spans="1:4" s="60" customFormat="1" ht="15" customHeight="1">
      <c r="A373" s="81"/>
      <c r="B373" s="82"/>
      <c r="D373" s="83"/>
    </row>
    <row r="374" spans="1:4" s="60" customFormat="1" ht="15" customHeight="1">
      <c r="A374" s="81"/>
      <c r="B374" s="82"/>
      <c r="D374" s="83"/>
    </row>
    <row r="375" spans="1:4" s="60" customFormat="1" ht="15" customHeight="1">
      <c r="A375" s="81"/>
      <c r="B375" s="82"/>
      <c r="D375" s="83"/>
    </row>
    <row r="376" spans="1:4" s="60" customFormat="1" ht="15" customHeight="1">
      <c r="A376" s="81"/>
      <c r="B376" s="82"/>
      <c r="D376" s="83"/>
    </row>
    <row r="377" spans="1:4" s="60" customFormat="1" ht="15" customHeight="1">
      <c r="A377" s="81"/>
      <c r="B377" s="82"/>
      <c r="D377" s="83"/>
    </row>
    <row r="378" spans="1:4" s="60" customFormat="1" ht="15" customHeight="1">
      <c r="A378" s="81"/>
      <c r="B378" s="82"/>
      <c r="D378" s="83"/>
    </row>
    <row r="379" spans="1:4" s="60" customFormat="1" ht="15" customHeight="1">
      <c r="A379" s="81"/>
      <c r="B379" s="82"/>
      <c r="D379" s="83"/>
    </row>
    <row r="380" spans="1:4" s="60" customFormat="1" ht="15" customHeight="1">
      <c r="A380" s="81"/>
      <c r="B380" s="82"/>
      <c r="D380" s="83"/>
    </row>
  </sheetData>
  <sheetProtection password="C0B0" sheet="1" formatCells="0" formatColumns="0" formatRows="0" insertColumns="0" insertRows="0" insertHyperlinks="0" deleteColumns="0" deleteRows="0" sort="0" autoFilter="0" pivotTables="0"/>
  <mergeCells count="1">
    <mergeCell ref="A1:D1"/>
  </mergeCells>
  <pageMargins left="0.7" right="0.7" top="0.75" bottom="0.75" header="0.3" footer="0.3"/>
  <customProperties>
    <customPr name="DVSECTIONID" r:id="rId1"/>
  </customPropertie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122"/>
  <sheetViews>
    <sheetView workbookViewId="0">
      <selection activeCell="CF121" sqref="CF121"/>
    </sheetView>
  </sheetViews>
  <sheetFormatPr defaultRowHeight="15"/>
  <sheetData>
    <row r="1" spans="1:256">
      <c r="A1" t="e">
        <f>IF(#REF!,"AAAAAE++WgA=",0)</f>
        <v>#REF!</v>
      </c>
      <c r="B1" t="e">
        <f>AND(#REF!,"AAAAAE++WgE=")</f>
        <v>#REF!</v>
      </c>
      <c r="C1" t="e">
        <f>AND(#REF!,"AAAAAE++WgI=")</f>
        <v>#REF!</v>
      </c>
      <c r="D1" t="e">
        <f>AND(#REF!,"AAAAAE++WgM=")</f>
        <v>#REF!</v>
      </c>
      <c r="E1" t="e">
        <f>AND(#REF!,"AAAAAE++WgQ=")</f>
        <v>#REF!</v>
      </c>
      <c r="F1" t="e">
        <f>AND(#REF!,"AAAAAE++WgU=")</f>
        <v>#REF!</v>
      </c>
      <c r="G1" t="e">
        <f>AND(#REF!,"AAAAAE++WgY=")</f>
        <v>#REF!</v>
      </c>
      <c r="H1" t="e">
        <f>AND(#REF!,"AAAAAE++Wgc=")</f>
        <v>#REF!</v>
      </c>
      <c r="I1" t="e">
        <f>IF(#REF!,"AAAAAE++Wgg=",0)</f>
        <v>#REF!</v>
      </c>
      <c r="J1" t="e">
        <f>AND(#REF!,"AAAAAE++Wgk=")</f>
        <v>#REF!</v>
      </c>
      <c r="K1" t="e">
        <f>AND(#REF!,"AAAAAE++Wgo=")</f>
        <v>#REF!</v>
      </c>
      <c r="L1" t="e">
        <f>AND(#REF!,"AAAAAE++Wgs=")</f>
        <v>#REF!</v>
      </c>
      <c r="M1" t="e">
        <f>AND(#REF!,"AAAAAE++Wgw=")</f>
        <v>#REF!</v>
      </c>
      <c r="N1" t="e">
        <f>AND(#REF!,"AAAAAE++Wg0=")</f>
        <v>#REF!</v>
      </c>
      <c r="O1" t="e">
        <f>AND(#REF!,"AAAAAE++Wg4=")</f>
        <v>#REF!</v>
      </c>
      <c r="P1" t="e">
        <f>AND(#REF!,"AAAAAE++Wg8=")</f>
        <v>#REF!</v>
      </c>
      <c r="Q1" t="e">
        <f>IF(#REF!,"AAAAAE++WhA=",0)</f>
        <v>#REF!</v>
      </c>
      <c r="R1" t="e">
        <f>AND(#REF!,"AAAAAE++WhE=")</f>
        <v>#REF!</v>
      </c>
      <c r="S1" t="e">
        <f>AND(#REF!,"AAAAAE++WhI=")</f>
        <v>#REF!</v>
      </c>
      <c r="T1" t="e">
        <f>AND(#REF!,"AAAAAE++WhM=")</f>
        <v>#REF!</v>
      </c>
      <c r="U1" t="e">
        <f>AND(#REF!,"AAAAAE++WhQ=")</f>
        <v>#REF!</v>
      </c>
      <c r="V1" t="e">
        <f>AND(#REF!,"AAAAAE++WhU=")</f>
        <v>#REF!</v>
      </c>
      <c r="W1" t="e">
        <f>AND(#REF!,"AAAAAE++WhY=")</f>
        <v>#REF!</v>
      </c>
      <c r="X1" t="e">
        <f>AND(#REF!,"AAAAAE++Whc=")</f>
        <v>#REF!</v>
      </c>
      <c r="Y1" t="e">
        <f>IF(#REF!,"AAAAAE++Whg=",0)</f>
        <v>#REF!</v>
      </c>
      <c r="Z1" t="e">
        <f>AND(#REF!,"AAAAAE++Whk=")</f>
        <v>#REF!</v>
      </c>
      <c r="AA1" t="e">
        <f>AND(#REF!,"AAAAAE++Who=")</f>
        <v>#REF!</v>
      </c>
      <c r="AB1" t="e">
        <f>AND(#REF!,"AAAAAE++Whs=")</f>
        <v>#REF!</v>
      </c>
      <c r="AC1" t="e">
        <f>AND(#REF!,"AAAAAE++Whw=")</f>
        <v>#REF!</v>
      </c>
      <c r="AD1" t="e">
        <f>AND(#REF!,"AAAAAE++Wh0=")</f>
        <v>#REF!</v>
      </c>
      <c r="AE1" t="e">
        <f>AND(#REF!,"AAAAAE++Wh4=")</f>
        <v>#REF!</v>
      </c>
      <c r="AF1" t="e">
        <f>AND(#REF!,"AAAAAE++Wh8=")</f>
        <v>#REF!</v>
      </c>
      <c r="AG1" t="e">
        <f>IF(#REF!,"AAAAAE++WiA=",0)</f>
        <v>#REF!</v>
      </c>
      <c r="AH1" t="e">
        <f>AND(#REF!,"AAAAAE++WiE=")</f>
        <v>#REF!</v>
      </c>
      <c r="AI1" t="e">
        <f>AND(#REF!,"AAAAAE++WiI=")</f>
        <v>#REF!</v>
      </c>
      <c r="AJ1" t="e">
        <f>AND(#REF!,"AAAAAE++WiM=")</f>
        <v>#REF!</v>
      </c>
      <c r="AK1" t="e">
        <f>AND(#REF!,"AAAAAE++WiQ=")</f>
        <v>#REF!</v>
      </c>
      <c r="AL1" t="e">
        <f>AND(#REF!,"AAAAAE++WiU=")</f>
        <v>#REF!</v>
      </c>
      <c r="AM1" t="e">
        <f>AND(#REF!,"AAAAAE++WiY=")</f>
        <v>#REF!</v>
      </c>
      <c r="AN1" t="e">
        <f>AND(#REF!,"AAAAAE++Wic=")</f>
        <v>#REF!</v>
      </c>
      <c r="AO1" t="e">
        <f>IF(#REF!,"AAAAAE++Wig=",0)</f>
        <v>#REF!</v>
      </c>
      <c r="AP1" t="e">
        <f>AND(#REF!,"AAAAAE++Wik=")</f>
        <v>#REF!</v>
      </c>
      <c r="AQ1" t="e">
        <f>AND(#REF!,"AAAAAE++Wio=")</f>
        <v>#REF!</v>
      </c>
      <c r="AR1" t="e">
        <f>AND(#REF!,"AAAAAE++Wis=")</f>
        <v>#REF!</v>
      </c>
      <c r="AS1" t="e">
        <f>AND(#REF!,"AAAAAE++Wiw=")</f>
        <v>#REF!</v>
      </c>
      <c r="AT1" t="e">
        <f>AND(#REF!,"AAAAAE++Wi0=")</f>
        <v>#REF!</v>
      </c>
      <c r="AU1" t="e">
        <f>AND(#REF!,"AAAAAE++Wi4=")</f>
        <v>#REF!</v>
      </c>
      <c r="AV1" t="e">
        <f>AND(#REF!,"AAAAAE++Wi8=")</f>
        <v>#REF!</v>
      </c>
      <c r="AW1" t="e">
        <f>IF(#REF!,"AAAAAE++WjA=",0)</f>
        <v>#REF!</v>
      </c>
      <c r="AX1" t="e">
        <f>AND(#REF!,"AAAAAE++WjE=")</f>
        <v>#REF!</v>
      </c>
      <c r="AY1" t="e">
        <f>AND(#REF!,"AAAAAE++WjI=")</f>
        <v>#REF!</v>
      </c>
      <c r="AZ1" t="e">
        <f>AND(#REF!,"AAAAAE++WjM=")</f>
        <v>#REF!</v>
      </c>
      <c r="BA1" t="e">
        <f>AND(#REF!,"AAAAAE++WjQ=")</f>
        <v>#REF!</v>
      </c>
      <c r="BB1" t="e">
        <f>AND(#REF!,"AAAAAE++WjU=")</f>
        <v>#REF!</v>
      </c>
      <c r="BC1" t="e">
        <f>AND(#REF!,"AAAAAE++WjY=")</f>
        <v>#REF!</v>
      </c>
      <c r="BD1" t="e">
        <f>AND(#REF!,"AAAAAE++Wjc=")</f>
        <v>#REF!</v>
      </c>
      <c r="BE1" t="e">
        <f>IF(#REF!,"AAAAAE++Wjg=",0)</f>
        <v>#REF!</v>
      </c>
      <c r="BF1" t="e">
        <f>AND(#REF!,"AAAAAE++Wjk=")</f>
        <v>#REF!</v>
      </c>
      <c r="BG1" t="e">
        <f>AND(#REF!,"AAAAAE++Wjo=")</f>
        <v>#REF!</v>
      </c>
      <c r="BH1" t="e">
        <f>AND(#REF!,"AAAAAE++Wjs=")</f>
        <v>#REF!</v>
      </c>
      <c r="BI1" t="e">
        <f>AND(#REF!,"AAAAAE++Wjw=")</f>
        <v>#REF!</v>
      </c>
      <c r="BJ1" t="e">
        <f>AND(#REF!,"AAAAAE++Wj0=")</f>
        <v>#REF!</v>
      </c>
      <c r="BK1" t="e">
        <f>AND(#REF!,"AAAAAE++Wj4=")</f>
        <v>#REF!</v>
      </c>
      <c r="BL1" t="e">
        <f>AND(#REF!,"AAAAAE++Wj8=")</f>
        <v>#REF!</v>
      </c>
      <c r="BM1" t="e">
        <f>IF(#REF!,"AAAAAE++WkA=",0)</f>
        <v>#REF!</v>
      </c>
      <c r="BN1" t="e">
        <f>AND(#REF!,"AAAAAE++WkE=")</f>
        <v>#REF!</v>
      </c>
      <c r="BO1" t="e">
        <f>AND(#REF!,"AAAAAE++WkI=")</f>
        <v>#REF!</v>
      </c>
      <c r="BP1" t="e">
        <f>AND(#REF!,"AAAAAE++WkM=")</f>
        <v>#REF!</v>
      </c>
      <c r="BQ1" t="e">
        <f>AND(#REF!,"AAAAAE++WkQ=")</f>
        <v>#REF!</v>
      </c>
      <c r="BR1" t="e">
        <f>AND(#REF!,"AAAAAE++WkU=")</f>
        <v>#REF!</v>
      </c>
      <c r="BS1" t="e">
        <f>AND(#REF!,"AAAAAE++WkY=")</f>
        <v>#REF!</v>
      </c>
      <c r="BT1" t="e">
        <f>AND(#REF!,"AAAAAE++Wkc=")</f>
        <v>#REF!</v>
      </c>
      <c r="BU1" t="e">
        <f>IF(#REF!,"AAAAAE++Wkg=",0)</f>
        <v>#REF!</v>
      </c>
      <c r="BV1" t="e">
        <f>AND(#REF!,"AAAAAE++Wkk=")</f>
        <v>#REF!</v>
      </c>
      <c r="BW1" t="e">
        <f>AND(#REF!,"AAAAAE++Wko=")</f>
        <v>#REF!</v>
      </c>
      <c r="BX1" t="e">
        <f>AND(#REF!,"AAAAAE++Wks=")</f>
        <v>#REF!</v>
      </c>
      <c r="BY1" t="e">
        <f>AND(#REF!,"AAAAAE++Wkw=")</f>
        <v>#REF!</v>
      </c>
      <c r="BZ1" t="e">
        <f>AND(#REF!,"AAAAAE++Wk0=")</f>
        <v>#REF!</v>
      </c>
      <c r="CA1" t="e">
        <f>AND(#REF!,"AAAAAE++Wk4=")</f>
        <v>#REF!</v>
      </c>
      <c r="CB1" t="e">
        <f>AND(#REF!,"AAAAAE++Wk8=")</f>
        <v>#REF!</v>
      </c>
      <c r="CC1" t="e">
        <f>IF(#REF!,"AAAAAE++WlA=",0)</f>
        <v>#REF!</v>
      </c>
      <c r="CD1" t="e">
        <f>AND(#REF!,"AAAAAE++WlE=")</f>
        <v>#REF!</v>
      </c>
      <c r="CE1" t="e">
        <f>AND(#REF!,"AAAAAE++WlI=")</f>
        <v>#REF!</v>
      </c>
      <c r="CF1" t="e">
        <f>AND(#REF!,"AAAAAE++WlM=")</f>
        <v>#REF!</v>
      </c>
      <c r="CG1" t="e">
        <f>AND(#REF!,"AAAAAE++WlQ=")</f>
        <v>#REF!</v>
      </c>
      <c r="CH1" t="e">
        <f>AND(#REF!,"AAAAAE++WlU=")</f>
        <v>#REF!</v>
      </c>
      <c r="CI1" t="e">
        <f>AND(#REF!,"AAAAAE++WlY=")</f>
        <v>#REF!</v>
      </c>
      <c r="CJ1" t="e">
        <f>AND(#REF!,"AAAAAE++Wlc=")</f>
        <v>#REF!</v>
      </c>
      <c r="CK1" t="e">
        <f>IF(#REF!,"AAAAAE++Wlg=",0)</f>
        <v>#REF!</v>
      </c>
      <c r="CL1" t="e">
        <f>AND(#REF!,"AAAAAE++Wlk=")</f>
        <v>#REF!</v>
      </c>
      <c r="CM1" t="e">
        <f>AND(#REF!,"AAAAAE++Wlo=")</f>
        <v>#REF!</v>
      </c>
      <c r="CN1" t="e">
        <f>AND(#REF!,"AAAAAE++Wls=")</f>
        <v>#REF!</v>
      </c>
      <c r="CO1" t="e">
        <f>AND(#REF!,"AAAAAE++Wlw=")</f>
        <v>#REF!</v>
      </c>
      <c r="CP1" t="e">
        <f>AND(#REF!,"AAAAAE++Wl0=")</f>
        <v>#REF!</v>
      </c>
      <c r="CQ1" t="e">
        <f>AND(#REF!,"AAAAAE++Wl4=")</f>
        <v>#REF!</v>
      </c>
      <c r="CR1" t="e">
        <f>AND(#REF!,"AAAAAE++Wl8=")</f>
        <v>#REF!</v>
      </c>
      <c r="CS1" t="e">
        <f>IF(#REF!,"AAAAAE++WmA=",0)</f>
        <v>#REF!</v>
      </c>
      <c r="CT1" t="e">
        <f>AND(#REF!,"AAAAAE++WmE=")</f>
        <v>#REF!</v>
      </c>
      <c r="CU1" t="e">
        <f>AND(#REF!,"AAAAAE++WmI=")</f>
        <v>#REF!</v>
      </c>
      <c r="CV1" t="e">
        <f>AND(#REF!,"AAAAAE++WmM=")</f>
        <v>#REF!</v>
      </c>
      <c r="CW1" t="e">
        <f>AND(#REF!,"AAAAAE++WmQ=")</f>
        <v>#REF!</v>
      </c>
      <c r="CX1" t="e">
        <f>AND(#REF!,"AAAAAE++WmU=")</f>
        <v>#REF!</v>
      </c>
      <c r="CY1" t="e">
        <f>AND(#REF!,"AAAAAE++WmY=")</f>
        <v>#REF!</v>
      </c>
      <c r="CZ1" t="e">
        <f>AND(#REF!,"AAAAAE++Wmc=")</f>
        <v>#REF!</v>
      </c>
      <c r="DA1" t="e">
        <f>IF(#REF!,"AAAAAE++Wmg=",0)</f>
        <v>#REF!</v>
      </c>
      <c r="DB1" t="e">
        <f>AND(#REF!,"AAAAAE++Wmk=")</f>
        <v>#REF!</v>
      </c>
      <c r="DC1" t="e">
        <f>AND(#REF!,"AAAAAE++Wmo=")</f>
        <v>#REF!</v>
      </c>
      <c r="DD1" t="e">
        <f>AND(#REF!,"AAAAAE++Wms=")</f>
        <v>#REF!</v>
      </c>
      <c r="DE1" t="e">
        <f>AND(#REF!,"AAAAAE++Wmw=")</f>
        <v>#REF!</v>
      </c>
      <c r="DF1" t="e">
        <f>AND(#REF!,"AAAAAE++Wm0=")</f>
        <v>#REF!</v>
      </c>
      <c r="DG1" t="e">
        <f>AND(#REF!,"AAAAAE++Wm4=")</f>
        <v>#REF!</v>
      </c>
      <c r="DH1" t="e">
        <f>AND(#REF!,"AAAAAE++Wm8=")</f>
        <v>#REF!</v>
      </c>
      <c r="DI1" t="e">
        <f>IF(#REF!,"AAAAAE++WnA=",0)</f>
        <v>#REF!</v>
      </c>
      <c r="DJ1" t="e">
        <f>AND(#REF!,"AAAAAE++WnE=")</f>
        <v>#REF!</v>
      </c>
      <c r="DK1" t="e">
        <f>AND(#REF!,"AAAAAE++WnI=")</f>
        <v>#REF!</v>
      </c>
      <c r="DL1" t="e">
        <f>AND(#REF!,"AAAAAE++WnM=")</f>
        <v>#REF!</v>
      </c>
      <c r="DM1" t="e">
        <f>AND(#REF!,"AAAAAE++WnQ=")</f>
        <v>#REF!</v>
      </c>
      <c r="DN1" t="e">
        <f>AND(#REF!,"AAAAAE++WnU=")</f>
        <v>#REF!</v>
      </c>
      <c r="DO1" t="e">
        <f>AND(#REF!,"AAAAAE++WnY=")</f>
        <v>#REF!</v>
      </c>
      <c r="DP1" t="e">
        <f>AND(#REF!,"AAAAAE++Wnc=")</f>
        <v>#REF!</v>
      </c>
      <c r="DQ1" t="e">
        <f>IF(#REF!,"AAAAAE++Wng=",0)</f>
        <v>#REF!</v>
      </c>
      <c r="DR1" t="e">
        <f>AND(#REF!,"AAAAAE++Wnk=")</f>
        <v>#REF!</v>
      </c>
      <c r="DS1" t="e">
        <f>AND(#REF!,"AAAAAE++Wno=")</f>
        <v>#REF!</v>
      </c>
      <c r="DT1" t="e">
        <f>AND(#REF!,"AAAAAE++Wns=")</f>
        <v>#REF!</v>
      </c>
      <c r="DU1" t="e">
        <f>AND(#REF!,"AAAAAE++Wnw=")</f>
        <v>#REF!</v>
      </c>
      <c r="DV1" t="e">
        <f>AND(#REF!,"AAAAAE++Wn0=")</f>
        <v>#REF!</v>
      </c>
      <c r="DW1" t="e">
        <f>AND(#REF!,"AAAAAE++Wn4=")</f>
        <v>#REF!</v>
      </c>
      <c r="DX1" t="e">
        <f>AND(#REF!,"AAAAAE++Wn8=")</f>
        <v>#REF!</v>
      </c>
      <c r="DY1" t="e">
        <f>IF(#REF!,"AAAAAE++WoA=",0)</f>
        <v>#REF!</v>
      </c>
      <c r="DZ1" t="e">
        <f>AND(#REF!,"AAAAAE++WoE=")</f>
        <v>#REF!</v>
      </c>
      <c r="EA1" t="e">
        <f>AND(#REF!,"AAAAAE++WoI=")</f>
        <v>#REF!</v>
      </c>
      <c r="EB1" t="e">
        <f>AND(#REF!,"AAAAAE++WoM=")</f>
        <v>#REF!</v>
      </c>
      <c r="EC1" t="e">
        <f>AND(#REF!,"AAAAAE++WoQ=")</f>
        <v>#REF!</v>
      </c>
      <c r="ED1" t="e">
        <f>AND(#REF!,"AAAAAE++WoU=")</f>
        <v>#REF!</v>
      </c>
      <c r="EE1" t="e">
        <f>AND(#REF!,"AAAAAE++WoY=")</f>
        <v>#REF!</v>
      </c>
      <c r="EF1" t="e">
        <f>AND(#REF!,"AAAAAE++Woc=")</f>
        <v>#REF!</v>
      </c>
      <c r="EG1" t="e">
        <f>IF(#REF!,"AAAAAE++Wog=",0)</f>
        <v>#REF!</v>
      </c>
      <c r="EH1" t="e">
        <f>AND(#REF!,"AAAAAE++Wok=")</f>
        <v>#REF!</v>
      </c>
      <c r="EI1" t="e">
        <f>AND(#REF!,"AAAAAE++Woo=")</f>
        <v>#REF!</v>
      </c>
      <c r="EJ1" t="e">
        <f>AND(#REF!,"AAAAAE++Wos=")</f>
        <v>#REF!</v>
      </c>
      <c r="EK1" t="e">
        <f>AND(#REF!,"AAAAAE++Wow=")</f>
        <v>#REF!</v>
      </c>
      <c r="EL1" t="e">
        <f>AND(#REF!,"AAAAAE++Wo0=")</f>
        <v>#REF!</v>
      </c>
      <c r="EM1" t="e">
        <f>AND(#REF!,"AAAAAE++Wo4=")</f>
        <v>#REF!</v>
      </c>
      <c r="EN1" t="e">
        <f>AND(#REF!,"AAAAAE++Wo8=")</f>
        <v>#REF!</v>
      </c>
      <c r="EO1" t="e">
        <f>IF(#REF!,"AAAAAE++WpA=",0)</f>
        <v>#REF!</v>
      </c>
      <c r="EP1" t="e">
        <f>AND(#REF!,"AAAAAE++WpE=")</f>
        <v>#REF!</v>
      </c>
      <c r="EQ1" t="e">
        <f>AND(#REF!,"AAAAAE++WpI=")</f>
        <v>#REF!</v>
      </c>
      <c r="ER1" t="e">
        <f>AND(#REF!,"AAAAAE++WpM=")</f>
        <v>#REF!</v>
      </c>
      <c r="ES1" t="e">
        <f>AND(#REF!,"AAAAAE++WpQ=")</f>
        <v>#REF!</v>
      </c>
      <c r="ET1" t="e">
        <f>AND(#REF!,"AAAAAE++WpU=")</f>
        <v>#REF!</v>
      </c>
      <c r="EU1" t="e">
        <f>AND(#REF!,"AAAAAE++WpY=")</f>
        <v>#REF!</v>
      </c>
      <c r="EV1" t="e">
        <f>AND(#REF!,"AAAAAE++Wpc=")</f>
        <v>#REF!</v>
      </c>
      <c r="EW1" t="e">
        <f>IF(#REF!,"AAAAAE++Wpg=",0)</f>
        <v>#REF!</v>
      </c>
      <c r="EX1" t="e">
        <f>AND(#REF!,"AAAAAE++Wpk=")</f>
        <v>#REF!</v>
      </c>
      <c r="EY1" t="e">
        <f>AND(#REF!,"AAAAAE++Wpo=")</f>
        <v>#REF!</v>
      </c>
      <c r="EZ1" t="e">
        <f>AND(#REF!,"AAAAAE++Wps=")</f>
        <v>#REF!</v>
      </c>
      <c r="FA1" t="e">
        <f>AND(#REF!,"AAAAAE++Wpw=")</f>
        <v>#REF!</v>
      </c>
      <c r="FB1" t="e">
        <f>AND(#REF!,"AAAAAE++Wp0=")</f>
        <v>#REF!</v>
      </c>
      <c r="FC1" t="e">
        <f>AND(#REF!,"AAAAAE++Wp4=")</f>
        <v>#REF!</v>
      </c>
      <c r="FD1" t="e">
        <f>AND(#REF!,"AAAAAE++Wp8=")</f>
        <v>#REF!</v>
      </c>
      <c r="FE1" t="e">
        <f>IF(#REF!,"AAAAAE++WqA=",0)</f>
        <v>#REF!</v>
      </c>
      <c r="FF1" t="e">
        <f>AND(#REF!,"AAAAAE++WqE=")</f>
        <v>#REF!</v>
      </c>
      <c r="FG1" t="e">
        <f>AND(#REF!,"AAAAAE++WqI=")</f>
        <v>#REF!</v>
      </c>
      <c r="FH1" t="e">
        <f>AND(#REF!,"AAAAAE++WqM=")</f>
        <v>#REF!</v>
      </c>
      <c r="FI1" t="e">
        <f>AND(#REF!,"AAAAAE++WqQ=")</f>
        <v>#REF!</v>
      </c>
      <c r="FJ1" t="e">
        <f>AND(#REF!,"AAAAAE++WqU=")</f>
        <v>#REF!</v>
      </c>
      <c r="FK1" t="e">
        <f>AND(#REF!,"AAAAAE++WqY=")</f>
        <v>#REF!</v>
      </c>
      <c r="FL1" t="e">
        <f>AND(#REF!,"AAAAAE++Wqc=")</f>
        <v>#REF!</v>
      </c>
      <c r="FM1" t="e">
        <f>IF(#REF!,"AAAAAE++Wqg=",0)</f>
        <v>#REF!</v>
      </c>
      <c r="FN1" t="e">
        <f>AND(#REF!,"AAAAAE++Wqk=")</f>
        <v>#REF!</v>
      </c>
      <c r="FO1" t="e">
        <f>AND(#REF!,"AAAAAE++Wqo=")</f>
        <v>#REF!</v>
      </c>
      <c r="FP1" t="e">
        <f>AND(#REF!,"AAAAAE++Wqs=")</f>
        <v>#REF!</v>
      </c>
      <c r="FQ1" t="e">
        <f>AND(#REF!,"AAAAAE++Wqw=")</f>
        <v>#REF!</v>
      </c>
      <c r="FR1" t="e">
        <f>AND(#REF!,"AAAAAE++Wq0=")</f>
        <v>#REF!</v>
      </c>
      <c r="FS1" t="e">
        <f>AND(#REF!,"AAAAAE++Wq4=")</f>
        <v>#REF!</v>
      </c>
      <c r="FT1" t="e">
        <f>AND(#REF!,"AAAAAE++Wq8=")</f>
        <v>#REF!</v>
      </c>
      <c r="FU1" t="e">
        <f>IF(#REF!,"AAAAAE++WrA=",0)</f>
        <v>#REF!</v>
      </c>
      <c r="FV1" t="e">
        <f>AND(#REF!,"AAAAAE++WrE=")</f>
        <v>#REF!</v>
      </c>
      <c r="FW1" t="e">
        <f>AND(#REF!,"AAAAAE++WrI=")</f>
        <v>#REF!</v>
      </c>
      <c r="FX1" t="e">
        <f>AND(#REF!,"AAAAAE++WrM=")</f>
        <v>#REF!</v>
      </c>
      <c r="FY1" t="e">
        <f>AND(#REF!,"AAAAAE++WrQ=")</f>
        <v>#REF!</v>
      </c>
      <c r="FZ1" t="e">
        <f>AND(#REF!,"AAAAAE++WrU=")</f>
        <v>#REF!</v>
      </c>
      <c r="GA1" t="e">
        <f>AND(#REF!,"AAAAAE++WrY=")</f>
        <v>#REF!</v>
      </c>
      <c r="GB1" t="e">
        <f>AND(#REF!,"AAAAAE++Wrc=")</f>
        <v>#REF!</v>
      </c>
      <c r="GC1" t="e">
        <f>IF(#REF!,"AAAAAE++Wrg=",0)</f>
        <v>#REF!</v>
      </c>
      <c r="GD1" t="e">
        <f>AND(#REF!,"AAAAAE++Wrk=")</f>
        <v>#REF!</v>
      </c>
      <c r="GE1" t="e">
        <f>AND(#REF!,"AAAAAE++Wro=")</f>
        <v>#REF!</v>
      </c>
      <c r="GF1" t="e">
        <f>AND(#REF!,"AAAAAE++Wrs=")</f>
        <v>#REF!</v>
      </c>
      <c r="GG1" t="e">
        <f>AND(#REF!,"AAAAAE++Wrw=")</f>
        <v>#REF!</v>
      </c>
      <c r="GH1" t="e">
        <f>AND(#REF!,"AAAAAE++Wr0=")</f>
        <v>#REF!</v>
      </c>
      <c r="GI1" t="e">
        <f>AND(#REF!,"AAAAAE++Wr4=")</f>
        <v>#REF!</v>
      </c>
      <c r="GJ1" t="e">
        <f>AND(#REF!,"AAAAAE++Wr8=")</f>
        <v>#REF!</v>
      </c>
      <c r="GK1" t="e">
        <f>IF(#REF!,"AAAAAE++WsA=",0)</f>
        <v>#REF!</v>
      </c>
      <c r="GL1" t="e">
        <f>AND(#REF!,"AAAAAE++WsE=")</f>
        <v>#REF!</v>
      </c>
      <c r="GM1" t="e">
        <f>AND(#REF!,"AAAAAE++WsI=")</f>
        <v>#REF!</v>
      </c>
      <c r="GN1" t="e">
        <f>AND(#REF!,"AAAAAE++WsM=")</f>
        <v>#REF!</v>
      </c>
      <c r="GO1" t="e">
        <f>AND(#REF!,"AAAAAE++WsQ=")</f>
        <v>#REF!</v>
      </c>
      <c r="GP1" t="e">
        <f>AND(#REF!,"AAAAAE++WsU=")</f>
        <v>#REF!</v>
      </c>
      <c r="GQ1" t="e">
        <f>AND(#REF!,"AAAAAE++WsY=")</f>
        <v>#REF!</v>
      </c>
      <c r="GR1" t="e">
        <f>AND(#REF!,"AAAAAE++Wsc=")</f>
        <v>#REF!</v>
      </c>
      <c r="GS1" t="e">
        <f>IF(#REF!,"AAAAAE++Wsg=",0)</f>
        <v>#REF!</v>
      </c>
      <c r="GT1" t="e">
        <f>AND(#REF!,"AAAAAE++Wsk=")</f>
        <v>#REF!</v>
      </c>
      <c r="GU1" t="e">
        <f>AND(#REF!,"AAAAAE++Wso=")</f>
        <v>#REF!</v>
      </c>
      <c r="GV1" t="e">
        <f>AND(#REF!,"AAAAAE++Wss=")</f>
        <v>#REF!</v>
      </c>
      <c r="GW1" t="e">
        <f>AND(#REF!,"AAAAAE++Wsw=")</f>
        <v>#REF!</v>
      </c>
      <c r="GX1" t="e">
        <f>AND(#REF!,"AAAAAE++Ws0=")</f>
        <v>#REF!</v>
      </c>
      <c r="GY1" t="e">
        <f>AND(#REF!,"AAAAAE++Ws4=")</f>
        <v>#REF!</v>
      </c>
      <c r="GZ1" t="e">
        <f>AND(#REF!,"AAAAAE++Ws8=")</f>
        <v>#REF!</v>
      </c>
      <c r="HA1" t="e">
        <f>IF(#REF!,"AAAAAE++WtA=",0)</f>
        <v>#REF!</v>
      </c>
      <c r="HB1" t="e">
        <f>AND(#REF!,"AAAAAE++WtE=")</f>
        <v>#REF!</v>
      </c>
      <c r="HC1" t="e">
        <f>AND(#REF!,"AAAAAE++WtI=")</f>
        <v>#REF!</v>
      </c>
      <c r="HD1" t="e">
        <f>AND(#REF!,"AAAAAE++WtM=")</f>
        <v>#REF!</v>
      </c>
      <c r="HE1" t="e">
        <f>AND(#REF!,"AAAAAE++WtQ=")</f>
        <v>#REF!</v>
      </c>
      <c r="HF1" t="e">
        <f>AND(#REF!,"AAAAAE++WtU=")</f>
        <v>#REF!</v>
      </c>
      <c r="HG1" t="e">
        <f>AND(#REF!,"AAAAAE++WtY=")</f>
        <v>#REF!</v>
      </c>
      <c r="HH1" t="e">
        <f>AND(#REF!,"AAAAAE++Wtc=")</f>
        <v>#REF!</v>
      </c>
      <c r="HI1" t="e">
        <f>IF(#REF!,"AAAAAE++Wtg=",0)</f>
        <v>#REF!</v>
      </c>
      <c r="HJ1" t="e">
        <f>AND(#REF!,"AAAAAE++Wtk=")</f>
        <v>#REF!</v>
      </c>
      <c r="HK1" t="e">
        <f>AND(#REF!,"AAAAAE++Wto=")</f>
        <v>#REF!</v>
      </c>
      <c r="HL1" t="e">
        <f>AND(#REF!,"AAAAAE++Wts=")</f>
        <v>#REF!</v>
      </c>
      <c r="HM1" t="e">
        <f>AND(#REF!,"AAAAAE++Wtw=")</f>
        <v>#REF!</v>
      </c>
      <c r="HN1" t="e">
        <f>AND(#REF!,"AAAAAE++Wt0=")</f>
        <v>#REF!</v>
      </c>
      <c r="HO1" t="e">
        <f>AND(#REF!,"AAAAAE++Wt4=")</f>
        <v>#REF!</v>
      </c>
      <c r="HP1" t="e">
        <f>AND(#REF!,"AAAAAE++Wt8=")</f>
        <v>#REF!</v>
      </c>
      <c r="HQ1" t="e">
        <f>IF(#REF!,"AAAAAE++WuA=",0)</f>
        <v>#REF!</v>
      </c>
      <c r="HR1" t="e">
        <f>AND(#REF!,"AAAAAE++WuE=")</f>
        <v>#REF!</v>
      </c>
      <c r="HS1" t="e">
        <f>AND(#REF!,"AAAAAE++WuI=")</f>
        <v>#REF!</v>
      </c>
      <c r="HT1" t="e">
        <f>AND(#REF!,"AAAAAE++WuM=")</f>
        <v>#REF!</v>
      </c>
      <c r="HU1" t="e">
        <f>AND(#REF!,"AAAAAE++WuQ=")</f>
        <v>#REF!</v>
      </c>
      <c r="HV1" t="e">
        <f>AND(#REF!,"AAAAAE++WuU=")</f>
        <v>#REF!</v>
      </c>
      <c r="HW1" t="e">
        <f>AND(#REF!,"AAAAAE++WuY=")</f>
        <v>#REF!</v>
      </c>
      <c r="HX1" t="e">
        <f>AND(#REF!,"AAAAAE++Wuc=")</f>
        <v>#REF!</v>
      </c>
      <c r="HY1" t="e">
        <f>IF(#REF!,"AAAAAE++Wug=",0)</f>
        <v>#REF!</v>
      </c>
      <c r="HZ1" t="e">
        <f>AND(#REF!,"AAAAAE++Wuk=")</f>
        <v>#REF!</v>
      </c>
      <c r="IA1" t="e">
        <f>AND(#REF!,"AAAAAE++Wuo=")</f>
        <v>#REF!</v>
      </c>
      <c r="IB1" t="e">
        <f>AND(#REF!,"AAAAAE++Wus=")</f>
        <v>#REF!</v>
      </c>
      <c r="IC1" t="e">
        <f>AND(#REF!,"AAAAAE++Wuw=")</f>
        <v>#REF!</v>
      </c>
      <c r="ID1" t="e">
        <f>AND(#REF!,"AAAAAE++Wu0=")</f>
        <v>#REF!</v>
      </c>
      <c r="IE1" t="e">
        <f>AND(#REF!,"AAAAAE++Wu4=")</f>
        <v>#REF!</v>
      </c>
      <c r="IF1" t="e">
        <f>AND(#REF!,"AAAAAE++Wu8=")</f>
        <v>#REF!</v>
      </c>
      <c r="IG1" t="e">
        <f>IF(#REF!,"AAAAAE++WvA=",0)</f>
        <v>#REF!</v>
      </c>
      <c r="IH1" t="e">
        <f>AND(#REF!,"AAAAAE++WvE=")</f>
        <v>#REF!</v>
      </c>
      <c r="II1" t="e">
        <f>AND(#REF!,"AAAAAE++WvI=")</f>
        <v>#REF!</v>
      </c>
      <c r="IJ1" t="e">
        <f>AND(#REF!,"AAAAAE++WvM=")</f>
        <v>#REF!</v>
      </c>
      <c r="IK1" t="e">
        <f>AND(#REF!,"AAAAAE++WvQ=")</f>
        <v>#REF!</v>
      </c>
      <c r="IL1" t="e">
        <f>AND(#REF!,"AAAAAE++WvU=")</f>
        <v>#REF!</v>
      </c>
      <c r="IM1" t="e">
        <f>AND(#REF!,"AAAAAE++WvY=")</f>
        <v>#REF!</v>
      </c>
      <c r="IN1" t="e">
        <f>AND(#REF!,"AAAAAE++Wvc=")</f>
        <v>#REF!</v>
      </c>
      <c r="IO1" t="e">
        <f>IF(#REF!,"AAAAAE++Wvg=",0)</f>
        <v>#REF!</v>
      </c>
      <c r="IP1" t="e">
        <f>AND(#REF!,"AAAAAE++Wvk=")</f>
        <v>#REF!</v>
      </c>
      <c r="IQ1" t="e">
        <f>AND(#REF!,"AAAAAE++Wvo=")</f>
        <v>#REF!</v>
      </c>
      <c r="IR1" t="e">
        <f>AND(#REF!,"AAAAAE++Wvs=")</f>
        <v>#REF!</v>
      </c>
      <c r="IS1" t="e">
        <f>AND(#REF!,"AAAAAE++Wvw=")</f>
        <v>#REF!</v>
      </c>
      <c r="IT1" t="e">
        <f>AND(#REF!,"AAAAAE++Wv0=")</f>
        <v>#REF!</v>
      </c>
      <c r="IU1" t="e">
        <f>AND(#REF!,"AAAAAE++Wv4=")</f>
        <v>#REF!</v>
      </c>
      <c r="IV1" t="e">
        <f>AND(#REF!,"AAAAAE++Wv8=")</f>
        <v>#REF!</v>
      </c>
    </row>
    <row r="2" spans="1:256">
      <c r="A2" t="e">
        <f>IF(#REF!,"AAAAAF72/wA=",0)</f>
        <v>#REF!</v>
      </c>
      <c r="B2" t="e">
        <f>AND(#REF!,"AAAAAF72/wE=")</f>
        <v>#REF!</v>
      </c>
      <c r="C2" t="e">
        <f>AND(#REF!,"AAAAAF72/wI=")</f>
        <v>#REF!</v>
      </c>
      <c r="D2" t="e">
        <f>AND(#REF!,"AAAAAF72/wM=")</f>
        <v>#REF!</v>
      </c>
      <c r="E2" t="e">
        <f>AND(#REF!,"AAAAAF72/wQ=")</f>
        <v>#REF!</v>
      </c>
      <c r="F2" t="e">
        <f>AND(#REF!,"AAAAAF72/wU=")</f>
        <v>#REF!</v>
      </c>
      <c r="G2" t="e">
        <f>AND(#REF!,"AAAAAF72/wY=")</f>
        <v>#REF!</v>
      </c>
      <c r="H2" t="e">
        <f>AND(#REF!,"AAAAAF72/wc=")</f>
        <v>#REF!</v>
      </c>
      <c r="I2" t="e">
        <f>IF(#REF!,"AAAAAF72/wg=",0)</f>
        <v>#REF!</v>
      </c>
      <c r="J2" t="e">
        <f>AND(#REF!,"AAAAAF72/wk=")</f>
        <v>#REF!</v>
      </c>
      <c r="K2" t="e">
        <f>AND(#REF!,"AAAAAF72/wo=")</f>
        <v>#REF!</v>
      </c>
      <c r="L2" t="e">
        <f>AND(#REF!,"AAAAAF72/ws=")</f>
        <v>#REF!</v>
      </c>
      <c r="M2" t="e">
        <f>AND(#REF!,"AAAAAF72/ww=")</f>
        <v>#REF!</v>
      </c>
      <c r="N2" t="e">
        <f>AND(#REF!,"AAAAAF72/w0=")</f>
        <v>#REF!</v>
      </c>
      <c r="O2" t="e">
        <f>AND(#REF!,"AAAAAF72/w4=")</f>
        <v>#REF!</v>
      </c>
      <c r="P2" t="e">
        <f>AND(#REF!,"AAAAAF72/w8=")</f>
        <v>#REF!</v>
      </c>
      <c r="Q2" t="e">
        <f>IF(#REF!,"AAAAAF72/xA=",0)</f>
        <v>#REF!</v>
      </c>
      <c r="R2" t="e">
        <f>AND(#REF!,"AAAAAF72/xE=")</f>
        <v>#REF!</v>
      </c>
      <c r="S2" t="e">
        <f>AND(#REF!,"AAAAAF72/xI=")</f>
        <v>#REF!</v>
      </c>
      <c r="T2" t="e">
        <f>AND(#REF!,"AAAAAF72/xM=")</f>
        <v>#REF!</v>
      </c>
      <c r="U2" t="e">
        <f>AND(#REF!,"AAAAAF72/xQ=")</f>
        <v>#REF!</v>
      </c>
      <c r="V2" t="e">
        <f>AND(#REF!,"AAAAAF72/xU=")</f>
        <v>#REF!</v>
      </c>
      <c r="W2" t="e">
        <f>AND(#REF!,"AAAAAF72/xY=")</f>
        <v>#REF!</v>
      </c>
      <c r="X2" t="e">
        <f>AND(#REF!,"AAAAAF72/xc=")</f>
        <v>#REF!</v>
      </c>
      <c r="Y2" t="e">
        <f>IF(#REF!,"AAAAAF72/xg=",0)</f>
        <v>#REF!</v>
      </c>
      <c r="Z2" t="e">
        <f>AND(#REF!,"AAAAAF72/xk=")</f>
        <v>#REF!</v>
      </c>
      <c r="AA2" t="e">
        <f>AND(#REF!,"AAAAAF72/xo=")</f>
        <v>#REF!</v>
      </c>
      <c r="AB2" t="e">
        <f>AND(#REF!,"AAAAAF72/xs=")</f>
        <v>#REF!</v>
      </c>
      <c r="AC2" t="e">
        <f>AND(#REF!,"AAAAAF72/xw=")</f>
        <v>#REF!</v>
      </c>
      <c r="AD2" t="e">
        <f>AND(#REF!,"AAAAAF72/x0=")</f>
        <v>#REF!</v>
      </c>
      <c r="AE2" t="e">
        <f>AND(#REF!,"AAAAAF72/x4=")</f>
        <v>#REF!</v>
      </c>
      <c r="AF2" t="e">
        <f>AND(#REF!,"AAAAAF72/x8=")</f>
        <v>#REF!</v>
      </c>
      <c r="AG2" t="e">
        <f>IF(#REF!,"AAAAAF72/yA=",0)</f>
        <v>#REF!</v>
      </c>
      <c r="AH2" t="e">
        <f>AND(#REF!,"AAAAAF72/yE=")</f>
        <v>#REF!</v>
      </c>
      <c r="AI2" t="e">
        <f>AND(#REF!,"AAAAAF72/yI=")</f>
        <v>#REF!</v>
      </c>
      <c r="AJ2" t="e">
        <f>AND(#REF!,"AAAAAF72/yM=")</f>
        <v>#REF!</v>
      </c>
      <c r="AK2" t="e">
        <f>AND(#REF!,"AAAAAF72/yQ=")</f>
        <v>#REF!</v>
      </c>
      <c r="AL2" t="e">
        <f>AND(#REF!,"AAAAAF72/yU=")</f>
        <v>#REF!</v>
      </c>
      <c r="AM2" t="e">
        <f>AND(#REF!,"AAAAAF72/yY=")</f>
        <v>#REF!</v>
      </c>
      <c r="AN2" t="e">
        <f>AND(#REF!,"AAAAAF72/yc=")</f>
        <v>#REF!</v>
      </c>
      <c r="AO2" t="e">
        <f>IF(#REF!,"AAAAAF72/yg=",0)</f>
        <v>#REF!</v>
      </c>
      <c r="AP2" t="e">
        <f>AND(#REF!,"AAAAAF72/yk=")</f>
        <v>#REF!</v>
      </c>
      <c r="AQ2" t="e">
        <f>AND(#REF!,"AAAAAF72/yo=")</f>
        <v>#REF!</v>
      </c>
      <c r="AR2" t="e">
        <f>AND(#REF!,"AAAAAF72/ys=")</f>
        <v>#REF!</v>
      </c>
      <c r="AS2" t="e">
        <f>AND(#REF!,"AAAAAF72/yw=")</f>
        <v>#REF!</v>
      </c>
      <c r="AT2" t="e">
        <f>AND(#REF!,"AAAAAF72/y0=")</f>
        <v>#REF!</v>
      </c>
      <c r="AU2" t="e">
        <f>AND(#REF!,"AAAAAF72/y4=")</f>
        <v>#REF!</v>
      </c>
      <c r="AV2" t="e">
        <f>AND(#REF!,"AAAAAF72/y8=")</f>
        <v>#REF!</v>
      </c>
      <c r="AW2" t="e">
        <f>IF(#REF!,"AAAAAF72/zA=",0)</f>
        <v>#REF!</v>
      </c>
      <c r="AX2" t="e">
        <f>AND(#REF!,"AAAAAF72/zE=")</f>
        <v>#REF!</v>
      </c>
      <c r="AY2" t="e">
        <f>AND(#REF!,"AAAAAF72/zI=")</f>
        <v>#REF!</v>
      </c>
      <c r="AZ2" t="e">
        <f>AND(#REF!,"AAAAAF72/zM=")</f>
        <v>#REF!</v>
      </c>
      <c r="BA2" t="e">
        <f>AND(#REF!,"AAAAAF72/zQ=")</f>
        <v>#REF!</v>
      </c>
      <c r="BB2" t="e">
        <f>AND(#REF!,"AAAAAF72/zU=")</f>
        <v>#REF!</v>
      </c>
      <c r="BC2" t="e">
        <f>AND(#REF!,"AAAAAF72/zY=")</f>
        <v>#REF!</v>
      </c>
      <c r="BD2" t="e">
        <f>AND(#REF!,"AAAAAF72/zc=")</f>
        <v>#REF!</v>
      </c>
      <c r="BE2" t="e">
        <f>IF(#REF!,"AAAAAF72/zg=",0)</f>
        <v>#REF!</v>
      </c>
      <c r="BF2" t="e">
        <f>AND(#REF!,"AAAAAF72/zk=")</f>
        <v>#REF!</v>
      </c>
      <c r="BG2" t="e">
        <f>AND(#REF!,"AAAAAF72/zo=")</f>
        <v>#REF!</v>
      </c>
      <c r="BH2" t="e">
        <f>AND(#REF!,"AAAAAF72/zs=")</f>
        <v>#REF!</v>
      </c>
      <c r="BI2" t="e">
        <f>AND(#REF!,"AAAAAF72/zw=")</f>
        <v>#REF!</v>
      </c>
      <c r="BJ2" t="e">
        <f>AND(#REF!,"AAAAAF72/z0=")</f>
        <v>#REF!</v>
      </c>
      <c r="BK2" t="e">
        <f>AND(#REF!,"AAAAAF72/z4=")</f>
        <v>#REF!</v>
      </c>
      <c r="BL2" t="e">
        <f>AND(#REF!,"AAAAAF72/z8=")</f>
        <v>#REF!</v>
      </c>
      <c r="BM2" t="e">
        <f>IF(#REF!,"AAAAAF72/0A=",0)</f>
        <v>#REF!</v>
      </c>
      <c r="BN2" t="e">
        <f>AND(#REF!,"AAAAAF72/0E=")</f>
        <v>#REF!</v>
      </c>
      <c r="BO2" t="e">
        <f>AND(#REF!,"AAAAAF72/0I=")</f>
        <v>#REF!</v>
      </c>
      <c r="BP2" t="e">
        <f>AND(#REF!,"AAAAAF72/0M=")</f>
        <v>#REF!</v>
      </c>
      <c r="BQ2" t="e">
        <f>AND(#REF!,"AAAAAF72/0Q=")</f>
        <v>#REF!</v>
      </c>
      <c r="BR2" t="e">
        <f>AND(#REF!,"AAAAAF72/0U=")</f>
        <v>#REF!</v>
      </c>
      <c r="BS2" t="e">
        <f>AND(#REF!,"AAAAAF72/0Y=")</f>
        <v>#REF!</v>
      </c>
      <c r="BT2" t="e">
        <f>AND(#REF!,"AAAAAF72/0c=")</f>
        <v>#REF!</v>
      </c>
      <c r="BU2" t="e">
        <f>IF(#REF!,"AAAAAF72/0g=",0)</f>
        <v>#REF!</v>
      </c>
      <c r="BV2" t="e">
        <f>AND(#REF!,"AAAAAF72/0k=")</f>
        <v>#REF!</v>
      </c>
      <c r="BW2" t="e">
        <f>AND(#REF!,"AAAAAF72/0o=")</f>
        <v>#REF!</v>
      </c>
      <c r="BX2" t="e">
        <f>AND(#REF!,"AAAAAF72/0s=")</f>
        <v>#REF!</v>
      </c>
      <c r="BY2" t="e">
        <f>AND(#REF!,"AAAAAF72/0w=")</f>
        <v>#REF!</v>
      </c>
      <c r="BZ2" t="e">
        <f>AND(#REF!,"AAAAAF72/00=")</f>
        <v>#REF!</v>
      </c>
      <c r="CA2" t="e">
        <f>AND(#REF!,"AAAAAF72/04=")</f>
        <v>#REF!</v>
      </c>
      <c r="CB2" t="e">
        <f>AND(#REF!,"AAAAAF72/08=")</f>
        <v>#REF!</v>
      </c>
      <c r="CC2" t="e">
        <f>IF(#REF!,"AAAAAF72/1A=",0)</f>
        <v>#REF!</v>
      </c>
      <c r="CD2" t="e">
        <f>AND(#REF!,"AAAAAF72/1E=")</f>
        <v>#REF!</v>
      </c>
      <c r="CE2" t="e">
        <f>AND(#REF!,"AAAAAF72/1I=")</f>
        <v>#REF!</v>
      </c>
      <c r="CF2" t="e">
        <f>AND(#REF!,"AAAAAF72/1M=")</f>
        <v>#REF!</v>
      </c>
      <c r="CG2" t="e">
        <f>AND(#REF!,"AAAAAF72/1Q=")</f>
        <v>#REF!</v>
      </c>
      <c r="CH2" t="e">
        <f>AND(#REF!,"AAAAAF72/1U=")</f>
        <v>#REF!</v>
      </c>
      <c r="CI2" t="e">
        <f>AND(#REF!,"AAAAAF72/1Y=")</f>
        <v>#REF!</v>
      </c>
      <c r="CJ2" t="e">
        <f>AND(#REF!,"AAAAAF72/1c=")</f>
        <v>#REF!</v>
      </c>
      <c r="CK2" t="e">
        <f>IF(#REF!,"AAAAAF72/1g=",0)</f>
        <v>#REF!</v>
      </c>
      <c r="CL2" t="e">
        <f>AND(#REF!,"AAAAAF72/1k=")</f>
        <v>#REF!</v>
      </c>
      <c r="CM2" t="e">
        <f>AND(#REF!,"AAAAAF72/1o=")</f>
        <v>#REF!</v>
      </c>
      <c r="CN2" t="e">
        <f>AND(#REF!,"AAAAAF72/1s=")</f>
        <v>#REF!</v>
      </c>
      <c r="CO2" t="e">
        <f>AND(#REF!,"AAAAAF72/1w=")</f>
        <v>#REF!</v>
      </c>
      <c r="CP2" t="e">
        <f>AND(#REF!,"AAAAAF72/10=")</f>
        <v>#REF!</v>
      </c>
      <c r="CQ2" t="e">
        <f>AND(#REF!,"AAAAAF72/14=")</f>
        <v>#REF!</v>
      </c>
      <c r="CR2" t="e">
        <f>AND(#REF!,"AAAAAF72/18=")</f>
        <v>#REF!</v>
      </c>
      <c r="CS2" t="e">
        <f>IF(#REF!,"AAAAAF72/2A=",0)</f>
        <v>#REF!</v>
      </c>
      <c r="CT2" t="e">
        <f>AND(#REF!,"AAAAAF72/2E=")</f>
        <v>#REF!</v>
      </c>
      <c r="CU2" t="e">
        <f>AND(#REF!,"AAAAAF72/2I=")</f>
        <v>#REF!</v>
      </c>
      <c r="CV2" t="e">
        <f>AND(#REF!,"AAAAAF72/2M=")</f>
        <v>#REF!</v>
      </c>
      <c r="CW2" t="e">
        <f>AND(#REF!,"AAAAAF72/2Q=")</f>
        <v>#REF!</v>
      </c>
      <c r="CX2" t="e">
        <f>AND(#REF!,"AAAAAF72/2U=")</f>
        <v>#REF!</v>
      </c>
      <c r="CY2" t="e">
        <f>AND(#REF!,"AAAAAF72/2Y=")</f>
        <v>#REF!</v>
      </c>
      <c r="CZ2" t="e">
        <f>AND(#REF!,"AAAAAF72/2c=")</f>
        <v>#REF!</v>
      </c>
      <c r="DA2" t="e">
        <f>IF(#REF!,"AAAAAF72/2g=",0)</f>
        <v>#REF!</v>
      </c>
      <c r="DB2" t="e">
        <f>AND(#REF!,"AAAAAF72/2k=")</f>
        <v>#REF!</v>
      </c>
      <c r="DC2" t="e">
        <f>AND(#REF!,"AAAAAF72/2o=")</f>
        <v>#REF!</v>
      </c>
      <c r="DD2" t="e">
        <f>AND(#REF!,"AAAAAF72/2s=")</f>
        <v>#REF!</v>
      </c>
      <c r="DE2" t="e">
        <f>AND(#REF!,"AAAAAF72/2w=")</f>
        <v>#REF!</v>
      </c>
      <c r="DF2" t="e">
        <f>AND(#REF!,"AAAAAF72/20=")</f>
        <v>#REF!</v>
      </c>
      <c r="DG2" t="e">
        <f>AND(#REF!,"AAAAAF72/24=")</f>
        <v>#REF!</v>
      </c>
      <c r="DH2" t="e">
        <f>AND(#REF!,"AAAAAF72/28=")</f>
        <v>#REF!</v>
      </c>
      <c r="DI2" t="e">
        <f>IF(#REF!,"AAAAAF72/3A=",0)</f>
        <v>#REF!</v>
      </c>
      <c r="DJ2" t="e">
        <f>AND(#REF!,"AAAAAF72/3E=")</f>
        <v>#REF!</v>
      </c>
      <c r="DK2" t="e">
        <f>AND(#REF!,"AAAAAF72/3I=")</f>
        <v>#REF!</v>
      </c>
      <c r="DL2" t="e">
        <f>AND(#REF!,"AAAAAF72/3M=")</f>
        <v>#REF!</v>
      </c>
      <c r="DM2" t="e">
        <f>AND(#REF!,"AAAAAF72/3Q=")</f>
        <v>#REF!</v>
      </c>
      <c r="DN2" t="e">
        <f>AND(#REF!,"AAAAAF72/3U=")</f>
        <v>#REF!</v>
      </c>
      <c r="DO2" t="e">
        <f>AND(#REF!,"AAAAAF72/3Y=")</f>
        <v>#REF!</v>
      </c>
      <c r="DP2" t="e">
        <f>AND(#REF!,"AAAAAF72/3c=")</f>
        <v>#REF!</v>
      </c>
      <c r="DQ2" t="e">
        <f>IF(#REF!,"AAAAAF72/3g=",0)</f>
        <v>#REF!</v>
      </c>
      <c r="DR2" t="e">
        <f>AND(#REF!,"AAAAAF72/3k=")</f>
        <v>#REF!</v>
      </c>
      <c r="DS2" t="e">
        <f>AND(#REF!,"AAAAAF72/3o=")</f>
        <v>#REF!</v>
      </c>
      <c r="DT2" t="e">
        <f>AND(#REF!,"AAAAAF72/3s=")</f>
        <v>#REF!</v>
      </c>
      <c r="DU2" t="e">
        <f>AND(#REF!,"AAAAAF72/3w=")</f>
        <v>#REF!</v>
      </c>
      <c r="DV2" t="e">
        <f>AND(#REF!,"AAAAAF72/30=")</f>
        <v>#REF!</v>
      </c>
      <c r="DW2" t="e">
        <f>AND(#REF!,"AAAAAF72/34=")</f>
        <v>#REF!</v>
      </c>
      <c r="DX2" t="e">
        <f>AND(#REF!,"AAAAAF72/38=")</f>
        <v>#REF!</v>
      </c>
      <c r="DY2" t="e">
        <f>IF(#REF!,"AAAAAF72/4A=",0)</f>
        <v>#REF!</v>
      </c>
      <c r="DZ2" t="e">
        <f>AND(#REF!,"AAAAAF72/4E=")</f>
        <v>#REF!</v>
      </c>
      <c r="EA2" t="e">
        <f>AND(#REF!,"AAAAAF72/4I=")</f>
        <v>#REF!</v>
      </c>
      <c r="EB2" t="e">
        <f>AND(#REF!,"AAAAAF72/4M=")</f>
        <v>#REF!</v>
      </c>
      <c r="EC2" t="e">
        <f>AND(#REF!,"AAAAAF72/4Q=")</f>
        <v>#REF!</v>
      </c>
      <c r="ED2" t="e">
        <f>AND(#REF!,"AAAAAF72/4U=")</f>
        <v>#REF!</v>
      </c>
      <c r="EE2" t="e">
        <f>AND(#REF!,"AAAAAF72/4Y=")</f>
        <v>#REF!</v>
      </c>
      <c r="EF2" t="e">
        <f>AND(#REF!,"AAAAAF72/4c=")</f>
        <v>#REF!</v>
      </c>
      <c r="EG2" t="e">
        <f>IF(#REF!,"AAAAAF72/4g=",0)</f>
        <v>#REF!</v>
      </c>
      <c r="EH2" t="e">
        <f>AND(#REF!,"AAAAAF72/4k=")</f>
        <v>#REF!</v>
      </c>
      <c r="EI2" t="e">
        <f>AND(#REF!,"AAAAAF72/4o=")</f>
        <v>#REF!</v>
      </c>
      <c r="EJ2" t="e">
        <f>AND(#REF!,"AAAAAF72/4s=")</f>
        <v>#REF!</v>
      </c>
      <c r="EK2" t="e">
        <f>AND(#REF!,"AAAAAF72/4w=")</f>
        <v>#REF!</v>
      </c>
      <c r="EL2" t="e">
        <f>AND(#REF!,"AAAAAF72/40=")</f>
        <v>#REF!</v>
      </c>
      <c r="EM2" t="e">
        <f>AND(#REF!,"AAAAAF72/44=")</f>
        <v>#REF!</v>
      </c>
      <c r="EN2" t="e">
        <f>AND(#REF!,"AAAAAF72/48=")</f>
        <v>#REF!</v>
      </c>
      <c r="EO2" t="e">
        <f>IF(#REF!,"AAAAAF72/5A=",0)</f>
        <v>#REF!</v>
      </c>
      <c r="EP2" t="e">
        <f>AND(#REF!,"AAAAAF72/5E=")</f>
        <v>#REF!</v>
      </c>
      <c r="EQ2" t="e">
        <f>AND(#REF!,"AAAAAF72/5I=")</f>
        <v>#REF!</v>
      </c>
      <c r="ER2" t="e">
        <f>AND(#REF!,"AAAAAF72/5M=")</f>
        <v>#REF!</v>
      </c>
      <c r="ES2" t="e">
        <f>AND(#REF!,"AAAAAF72/5Q=")</f>
        <v>#REF!</v>
      </c>
      <c r="ET2" t="e">
        <f>AND(#REF!,"AAAAAF72/5U=")</f>
        <v>#REF!</v>
      </c>
      <c r="EU2" t="e">
        <f>AND(#REF!,"AAAAAF72/5Y=")</f>
        <v>#REF!</v>
      </c>
      <c r="EV2" t="e">
        <f>AND(#REF!,"AAAAAF72/5c=")</f>
        <v>#REF!</v>
      </c>
      <c r="EW2" t="e">
        <f>IF(#REF!,"AAAAAF72/5g=",0)</f>
        <v>#REF!</v>
      </c>
      <c r="EX2" t="e">
        <f>AND(#REF!,"AAAAAF72/5k=")</f>
        <v>#REF!</v>
      </c>
      <c r="EY2" t="e">
        <f>AND(#REF!,"AAAAAF72/5o=")</f>
        <v>#REF!</v>
      </c>
      <c r="EZ2" t="e">
        <f>AND(#REF!,"AAAAAF72/5s=")</f>
        <v>#REF!</v>
      </c>
      <c r="FA2" t="e">
        <f>AND(#REF!,"AAAAAF72/5w=")</f>
        <v>#REF!</v>
      </c>
      <c r="FB2" t="e">
        <f>AND(#REF!,"AAAAAF72/50=")</f>
        <v>#REF!</v>
      </c>
      <c r="FC2" t="e">
        <f>AND(#REF!,"AAAAAF72/54=")</f>
        <v>#REF!</v>
      </c>
      <c r="FD2" t="e">
        <f>AND(#REF!,"AAAAAF72/58=")</f>
        <v>#REF!</v>
      </c>
      <c r="FE2" t="e">
        <f>IF(#REF!,"AAAAAF72/6A=",0)</f>
        <v>#REF!</v>
      </c>
      <c r="FF2" t="e">
        <f>AND(#REF!,"AAAAAF72/6E=")</f>
        <v>#REF!</v>
      </c>
      <c r="FG2" t="e">
        <f>AND(#REF!,"AAAAAF72/6I=")</f>
        <v>#REF!</v>
      </c>
      <c r="FH2" t="e">
        <f>AND(#REF!,"AAAAAF72/6M=")</f>
        <v>#REF!</v>
      </c>
      <c r="FI2" t="e">
        <f>AND(#REF!,"AAAAAF72/6Q=")</f>
        <v>#REF!</v>
      </c>
      <c r="FJ2" t="e">
        <f>AND(#REF!,"AAAAAF72/6U=")</f>
        <v>#REF!</v>
      </c>
      <c r="FK2" t="e">
        <f>AND(#REF!,"AAAAAF72/6Y=")</f>
        <v>#REF!</v>
      </c>
      <c r="FL2" t="e">
        <f>AND(#REF!,"AAAAAF72/6c=")</f>
        <v>#REF!</v>
      </c>
      <c r="FM2" t="e">
        <f>IF(#REF!,"AAAAAF72/6g=",0)</f>
        <v>#REF!</v>
      </c>
      <c r="FN2" t="e">
        <f>AND(#REF!,"AAAAAF72/6k=")</f>
        <v>#REF!</v>
      </c>
      <c r="FO2" t="e">
        <f>AND(#REF!,"AAAAAF72/6o=")</f>
        <v>#REF!</v>
      </c>
      <c r="FP2" t="e">
        <f>AND(#REF!,"AAAAAF72/6s=")</f>
        <v>#REF!</v>
      </c>
      <c r="FQ2" t="e">
        <f>AND(#REF!,"AAAAAF72/6w=")</f>
        <v>#REF!</v>
      </c>
      <c r="FR2" t="e">
        <f>AND(#REF!,"AAAAAF72/60=")</f>
        <v>#REF!</v>
      </c>
      <c r="FS2" t="e">
        <f>AND(#REF!,"AAAAAF72/64=")</f>
        <v>#REF!</v>
      </c>
      <c r="FT2" t="e">
        <f>AND(#REF!,"AAAAAF72/68=")</f>
        <v>#REF!</v>
      </c>
      <c r="FU2" t="e">
        <f>IF(#REF!,"AAAAAF72/7A=",0)</f>
        <v>#REF!</v>
      </c>
      <c r="FV2" t="e">
        <f>AND(#REF!,"AAAAAF72/7E=")</f>
        <v>#REF!</v>
      </c>
      <c r="FW2" t="e">
        <f>AND(#REF!,"AAAAAF72/7I=")</f>
        <v>#REF!</v>
      </c>
      <c r="FX2" t="e">
        <f>AND(#REF!,"AAAAAF72/7M=")</f>
        <v>#REF!</v>
      </c>
      <c r="FY2" t="e">
        <f>AND(#REF!,"AAAAAF72/7Q=")</f>
        <v>#REF!</v>
      </c>
      <c r="FZ2" t="e">
        <f>AND(#REF!,"AAAAAF72/7U=")</f>
        <v>#REF!</v>
      </c>
      <c r="GA2" t="e">
        <f>AND(#REF!,"AAAAAF72/7Y=")</f>
        <v>#REF!</v>
      </c>
      <c r="GB2" t="e">
        <f>AND(#REF!,"AAAAAF72/7c=")</f>
        <v>#REF!</v>
      </c>
      <c r="GC2" t="e">
        <f>IF(#REF!,"AAAAAF72/7g=",0)</f>
        <v>#REF!</v>
      </c>
      <c r="GD2" t="e">
        <f>AND(#REF!,"AAAAAF72/7k=")</f>
        <v>#REF!</v>
      </c>
      <c r="GE2" t="e">
        <f>AND(#REF!,"AAAAAF72/7o=")</f>
        <v>#REF!</v>
      </c>
      <c r="GF2" t="e">
        <f>AND(#REF!,"AAAAAF72/7s=")</f>
        <v>#REF!</v>
      </c>
      <c r="GG2" t="e">
        <f>AND(#REF!,"AAAAAF72/7w=")</f>
        <v>#REF!</v>
      </c>
      <c r="GH2" t="e">
        <f>AND(#REF!,"AAAAAF72/70=")</f>
        <v>#REF!</v>
      </c>
      <c r="GI2" t="e">
        <f>AND(#REF!,"AAAAAF72/74=")</f>
        <v>#REF!</v>
      </c>
      <c r="GJ2" t="e">
        <f>AND(#REF!,"AAAAAF72/78=")</f>
        <v>#REF!</v>
      </c>
      <c r="GK2" t="e">
        <f>IF(#REF!,"AAAAAF72/8A=",0)</f>
        <v>#REF!</v>
      </c>
      <c r="GL2" t="e">
        <f>AND(#REF!,"AAAAAF72/8E=")</f>
        <v>#REF!</v>
      </c>
      <c r="GM2" t="e">
        <f>AND(#REF!,"AAAAAF72/8I=")</f>
        <v>#REF!</v>
      </c>
      <c r="GN2" t="e">
        <f>AND(#REF!,"AAAAAF72/8M=")</f>
        <v>#REF!</v>
      </c>
      <c r="GO2" t="e">
        <f>AND(#REF!,"AAAAAF72/8Q=")</f>
        <v>#REF!</v>
      </c>
      <c r="GP2" t="e">
        <f>AND(#REF!,"AAAAAF72/8U=")</f>
        <v>#REF!</v>
      </c>
      <c r="GQ2" t="e">
        <f>AND(#REF!,"AAAAAF72/8Y=")</f>
        <v>#REF!</v>
      </c>
      <c r="GR2" t="e">
        <f>AND(#REF!,"AAAAAF72/8c=")</f>
        <v>#REF!</v>
      </c>
      <c r="GS2" t="e">
        <f>IF(#REF!,"AAAAAF72/8g=",0)</f>
        <v>#REF!</v>
      </c>
      <c r="GT2" t="e">
        <f>AND(#REF!,"AAAAAF72/8k=")</f>
        <v>#REF!</v>
      </c>
      <c r="GU2" t="e">
        <f>AND(#REF!,"AAAAAF72/8o=")</f>
        <v>#REF!</v>
      </c>
      <c r="GV2" t="e">
        <f>AND(#REF!,"AAAAAF72/8s=")</f>
        <v>#REF!</v>
      </c>
      <c r="GW2" t="e">
        <f>AND(#REF!,"AAAAAF72/8w=")</f>
        <v>#REF!</v>
      </c>
      <c r="GX2" t="e">
        <f>AND(#REF!,"AAAAAF72/80=")</f>
        <v>#REF!</v>
      </c>
      <c r="GY2" t="e">
        <f>AND(#REF!,"AAAAAF72/84=")</f>
        <v>#REF!</v>
      </c>
      <c r="GZ2" t="e">
        <f>AND(#REF!,"AAAAAF72/88=")</f>
        <v>#REF!</v>
      </c>
      <c r="HA2" t="e">
        <f>IF(#REF!,"AAAAAF72/9A=",0)</f>
        <v>#REF!</v>
      </c>
      <c r="HB2" t="e">
        <f>AND(#REF!,"AAAAAF72/9E=")</f>
        <v>#REF!</v>
      </c>
      <c r="HC2" t="e">
        <f>AND(#REF!,"AAAAAF72/9I=")</f>
        <v>#REF!</v>
      </c>
      <c r="HD2" t="e">
        <f>AND(#REF!,"AAAAAF72/9M=")</f>
        <v>#REF!</v>
      </c>
      <c r="HE2" t="e">
        <f>AND(#REF!,"AAAAAF72/9Q=")</f>
        <v>#REF!</v>
      </c>
      <c r="HF2" t="e">
        <f>AND(#REF!,"AAAAAF72/9U=")</f>
        <v>#REF!</v>
      </c>
      <c r="HG2" t="e">
        <f>AND(#REF!,"AAAAAF72/9Y=")</f>
        <v>#REF!</v>
      </c>
      <c r="HH2" t="e">
        <f>AND(#REF!,"AAAAAF72/9c=")</f>
        <v>#REF!</v>
      </c>
      <c r="HI2" t="e">
        <f>IF(#REF!,"AAAAAF72/9g=",0)</f>
        <v>#REF!</v>
      </c>
      <c r="HJ2" t="e">
        <f>AND(#REF!,"AAAAAF72/9k=")</f>
        <v>#REF!</v>
      </c>
      <c r="HK2" t="e">
        <f>AND(#REF!,"AAAAAF72/9o=")</f>
        <v>#REF!</v>
      </c>
      <c r="HL2" t="e">
        <f>AND(#REF!,"AAAAAF72/9s=")</f>
        <v>#REF!</v>
      </c>
      <c r="HM2" t="e">
        <f>AND(#REF!,"AAAAAF72/9w=")</f>
        <v>#REF!</v>
      </c>
      <c r="HN2" t="e">
        <f>AND(#REF!,"AAAAAF72/90=")</f>
        <v>#REF!</v>
      </c>
      <c r="HO2" t="e">
        <f>AND(#REF!,"AAAAAF72/94=")</f>
        <v>#REF!</v>
      </c>
      <c r="HP2" t="e">
        <f>AND(#REF!,"AAAAAF72/98=")</f>
        <v>#REF!</v>
      </c>
      <c r="HQ2" t="e">
        <f>IF(#REF!,"AAAAAF72/+A=",0)</f>
        <v>#REF!</v>
      </c>
      <c r="HR2" t="e">
        <f>AND(#REF!,"AAAAAF72/+E=")</f>
        <v>#REF!</v>
      </c>
      <c r="HS2" t="e">
        <f>AND(#REF!,"AAAAAF72/+I=")</f>
        <v>#REF!</v>
      </c>
      <c r="HT2" t="e">
        <f>AND(#REF!,"AAAAAF72/+M=")</f>
        <v>#REF!</v>
      </c>
      <c r="HU2" t="e">
        <f>AND(#REF!,"AAAAAF72/+Q=")</f>
        <v>#REF!</v>
      </c>
      <c r="HV2" t="e">
        <f>AND(#REF!,"AAAAAF72/+U=")</f>
        <v>#REF!</v>
      </c>
      <c r="HW2" t="e">
        <f>AND(#REF!,"AAAAAF72/+Y=")</f>
        <v>#REF!</v>
      </c>
      <c r="HX2" t="e">
        <f>AND(#REF!,"AAAAAF72/+c=")</f>
        <v>#REF!</v>
      </c>
      <c r="HY2" t="e">
        <f>IF(#REF!,"AAAAAF72/+g=",0)</f>
        <v>#REF!</v>
      </c>
      <c r="HZ2" t="e">
        <f>AND(#REF!,"AAAAAF72/+k=")</f>
        <v>#REF!</v>
      </c>
      <c r="IA2" t="e">
        <f>AND(#REF!,"AAAAAF72/+o=")</f>
        <v>#REF!</v>
      </c>
      <c r="IB2" t="e">
        <f>AND(#REF!,"AAAAAF72/+s=")</f>
        <v>#REF!</v>
      </c>
      <c r="IC2" t="e">
        <f>AND(#REF!,"AAAAAF72/+w=")</f>
        <v>#REF!</v>
      </c>
      <c r="ID2" t="e">
        <f>AND(#REF!,"AAAAAF72/+0=")</f>
        <v>#REF!</v>
      </c>
      <c r="IE2" t="e">
        <f>AND(#REF!,"AAAAAF72/+4=")</f>
        <v>#REF!</v>
      </c>
      <c r="IF2" t="e">
        <f>AND(#REF!,"AAAAAF72/+8=")</f>
        <v>#REF!</v>
      </c>
      <c r="IG2" t="e">
        <f>IF(#REF!,"AAAAAF72//A=",0)</f>
        <v>#REF!</v>
      </c>
      <c r="IH2" t="e">
        <f>AND(#REF!,"AAAAAF72//E=")</f>
        <v>#REF!</v>
      </c>
      <c r="II2" t="e">
        <f>AND(#REF!,"AAAAAF72//I=")</f>
        <v>#REF!</v>
      </c>
      <c r="IJ2" t="e">
        <f>AND(#REF!,"AAAAAF72//M=")</f>
        <v>#REF!</v>
      </c>
      <c r="IK2" t="e">
        <f>AND(#REF!,"AAAAAF72//Q=")</f>
        <v>#REF!</v>
      </c>
      <c r="IL2" t="e">
        <f>AND(#REF!,"AAAAAF72//U=")</f>
        <v>#REF!</v>
      </c>
      <c r="IM2" t="e">
        <f>AND(#REF!,"AAAAAF72//Y=")</f>
        <v>#REF!</v>
      </c>
      <c r="IN2" t="e">
        <f>AND(#REF!,"AAAAAF72//c=")</f>
        <v>#REF!</v>
      </c>
      <c r="IO2" t="e">
        <f>IF(#REF!,"AAAAAF72//g=",0)</f>
        <v>#REF!</v>
      </c>
      <c r="IP2" t="e">
        <f>AND(#REF!,"AAAAAF72//k=")</f>
        <v>#REF!</v>
      </c>
      <c r="IQ2" t="e">
        <f>AND(#REF!,"AAAAAF72//o=")</f>
        <v>#REF!</v>
      </c>
      <c r="IR2" t="e">
        <f>AND(#REF!,"AAAAAF72//s=")</f>
        <v>#REF!</v>
      </c>
      <c r="IS2" t="e">
        <f>AND(#REF!,"AAAAAF72//w=")</f>
        <v>#REF!</v>
      </c>
      <c r="IT2" t="e">
        <f>AND(#REF!,"AAAAAF72//0=")</f>
        <v>#REF!</v>
      </c>
      <c r="IU2" t="e">
        <f>AND(#REF!,"AAAAAF72//4=")</f>
        <v>#REF!</v>
      </c>
      <c r="IV2" t="e">
        <f>AND(#REF!,"AAAAAF72//8=")</f>
        <v>#REF!</v>
      </c>
    </row>
    <row r="3" spans="1:256">
      <c r="A3" t="e">
        <f>IF(#REF!,"AAAAAH/PsQA=",0)</f>
        <v>#REF!</v>
      </c>
      <c r="B3" t="e">
        <f>AND(#REF!,"AAAAAH/PsQE=")</f>
        <v>#REF!</v>
      </c>
      <c r="C3" t="e">
        <f>AND(#REF!,"AAAAAH/PsQI=")</f>
        <v>#REF!</v>
      </c>
      <c r="D3" t="e">
        <f>AND(#REF!,"AAAAAH/PsQM=")</f>
        <v>#REF!</v>
      </c>
      <c r="E3" t="e">
        <f>AND(#REF!,"AAAAAH/PsQQ=")</f>
        <v>#REF!</v>
      </c>
      <c r="F3" t="e">
        <f>AND(#REF!,"AAAAAH/PsQU=")</f>
        <v>#REF!</v>
      </c>
      <c r="G3" t="e">
        <f>AND(#REF!,"AAAAAH/PsQY=")</f>
        <v>#REF!</v>
      </c>
      <c r="H3" t="e">
        <f>AND(#REF!,"AAAAAH/PsQc=")</f>
        <v>#REF!</v>
      </c>
      <c r="I3" t="e">
        <f>IF(#REF!,"AAAAAH/PsQg=",0)</f>
        <v>#REF!</v>
      </c>
      <c r="J3" t="e">
        <f>AND(#REF!,"AAAAAH/PsQk=")</f>
        <v>#REF!</v>
      </c>
      <c r="K3" t="e">
        <f>AND(#REF!,"AAAAAH/PsQo=")</f>
        <v>#REF!</v>
      </c>
      <c r="L3" t="e">
        <f>AND(#REF!,"AAAAAH/PsQs=")</f>
        <v>#REF!</v>
      </c>
      <c r="M3" t="e">
        <f>AND(#REF!,"AAAAAH/PsQw=")</f>
        <v>#REF!</v>
      </c>
      <c r="N3" t="e">
        <f>AND(#REF!,"AAAAAH/PsQ0=")</f>
        <v>#REF!</v>
      </c>
      <c r="O3" t="e">
        <f>AND(#REF!,"AAAAAH/PsQ4=")</f>
        <v>#REF!</v>
      </c>
      <c r="P3" t="e">
        <f>AND(#REF!,"AAAAAH/PsQ8=")</f>
        <v>#REF!</v>
      </c>
      <c r="Q3" t="e">
        <f>IF(#REF!,"AAAAAH/PsRA=",0)</f>
        <v>#REF!</v>
      </c>
      <c r="R3" t="e">
        <f>AND(#REF!,"AAAAAH/PsRE=")</f>
        <v>#REF!</v>
      </c>
      <c r="S3" t="e">
        <f>AND(#REF!,"AAAAAH/PsRI=")</f>
        <v>#REF!</v>
      </c>
      <c r="T3" t="e">
        <f>AND(#REF!,"AAAAAH/PsRM=")</f>
        <v>#REF!</v>
      </c>
      <c r="U3" t="e">
        <f>AND(#REF!,"AAAAAH/PsRQ=")</f>
        <v>#REF!</v>
      </c>
      <c r="V3" t="e">
        <f>AND(#REF!,"AAAAAH/PsRU=")</f>
        <v>#REF!</v>
      </c>
      <c r="W3" t="e">
        <f>AND(#REF!,"AAAAAH/PsRY=")</f>
        <v>#REF!</v>
      </c>
      <c r="X3" t="e">
        <f>AND(#REF!,"AAAAAH/PsRc=")</f>
        <v>#REF!</v>
      </c>
      <c r="Y3" t="e">
        <f>IF(#REF!,"AAAAAH/PsRg=",0)</f>
        <v>#REF!</v>
      </c>
      <c r="Z3" t="e">
        <f>AND(#REF!,"AAAAAH/PsRk=")</f>
        <v>#REF!</v>
      </c>
      <c r="AA3" t="e">
        <f>AND(#REF!,"AAAAAH/PsRo=")</f>
        <v>#REF!</v>
      </c>
      <c r="AB3" t="e">
        <f>AND(#REF!,"AAAAAH/PsRs=")</f>
        <v>#REF!</v>
      </c>
      <c r="AC3" t="e">
        <f>AND(#REF!,"AAAAAH/PsRw=")</f>
        <v>#REF!</v>
      </c>
      <c r="AD3" t="e">
        <f>AND(#REF!,"AAAAAH/PsR0=")</f>
        <v>#REF!</v>
      </c>
      <c r="AE3" t="e">
        <f>AND(#REF!,"AAAAAH/PsR4=")</f>
        <v>#REF!</v>
      </c>
      <c r="AF3" t="e">
        <f>AND(#REF!,"AAAAAH/PsR8=")</f>
        <v>#REF!</v>
      </c>
      <c r="AG3" t="e">
        <f>IF(#REF!,"AAAAAH/PsSA=",0)</f>
        <v>#REF!</v>
      </c>
      <c r="AH3" t="e">
        <f>AND(#REF!,"AAAAAH/PsSE=")</f>
        <v>#REF!</v>
      </c>
      <c r="AI3" t="e">
        <f>AND(#REF!,"AAAAAH/PsSI=")</f>
        <v>#REF!</v>
      </c>
      <c r="AJ3" t="e">
        <f>AND(#REF!,"AAAAAH/PsSM=")</f>
        <v>#REF!</v>
      </c>
      <c r="AK3" t="e">
        <f>AND(#REF!,"AAAAAH/PsSQ=")</f>
        <v>#REF!</v>
      </c>
      <c r="AL3" t="e">
        <f>AND(#REF!,"AAAAAH/PsSU=")</f>
        <v>#REF!</v>
      </c>
      <c r="AM3" t="e">
        <f>AND(#REF!,"AAAAAH/PsSY=")</f>
        <v>#REF!</v>
      </c>
      <c r="AN3" t="e">
        <f>AND(#REF!,"AAAAAH/PsSc=")</f>
        <v>#REF!</v>
      </c>
      <c r="AO3" t="e">
        <f>IF(#REF!,"AAAAAH/PsSg=",0)</f>
        <v>#REF!</v>
      </c>
      <c r="AP3" t="e">
        <f>AND(#REF!,"AAAAAH/PsSk=")</f>
        <v>#REF!</v>
      </c>
      <c r="AQ3" t="e">
        <f>AND(#REF!,"AAAAAH/PsSo=")</f>
        <v>#REF!</v>
      </c>
      <c r="AR3" t="e">
        <f>AND(#REF!,"AAAAAH/PsSs=")</f>
        <v>#REF!</v>
      </c>
      <c r="AS3" t="e">
        <f>AND(#REF!,"AAAAAH/PsSw=")</f>
        <v>#REF!</v>
      </c>
      <c r="AT3" t="e">
        <f>AND(#REF!,"AAAAAH/PsS0=")</f>
        <v>#REF!</v>
      </c>
      <c r="AU3" t="e">
        <f>AND(#REF!,"AAAAAH/PsS4=")</f>
        <v>#REF!</v>
      </c>
      <c r="AV3" t="e">
        <f>AND(#REF!,"AAAAAH/PsS8=")</f>
        <v>#REF!</v>
      </c>
      <c r="AW3" t="e">
        <f>IF(#REF!,"AAAAAH/PsTA=",0)</f>
        <v>#REF!</v>
      </c>
      <c r="AX3" t="e">
        <f>AND(#REF!,"AAAAAH/PsTE=")</f>
        <v>#REF!</v>
      </c>
      <c r="AY3" t="e">
        <f>AND(#REF!,"AAAAAH/PsTI=")</f>
        <v>#REF!</v>
      </c>
      <c r="AZ3" t="e">
        <f>AND(#REF!,"AAAAAH/PsTM=")</f>
        <v>#REF!</v>
      </c>
      <c r="BA3" t="e">
        <f>AND(#REF!,"AAAAAH/PsTQ=")</f>
        <v>#REF!</v>
      </c>
      <c r="BB3" t="e">
        <f>AND(#REF!,"AAAAAH/PsTU=")</f>
        <v>#REF!</v>
      </c>
      <c r="BC3" t="e">
        <f>AND(#REF!,"AAAAAH/PsTY=")</f>
        <v>#REF!</v>
      </c>
      <c r="BD3" t="e">
        <f>AND(#REF!,"AAAAAH/PsTc=")</f>
        <v>#REF!</v>
      </c>
      <c r="BE3" t="e">
        <f>IF(#REF!,"AAAAAH/PsTg=",0)</f>
        <v>#REF!</v>
      </c>
      <c r="BF3" t="e">
        <f>AND(#REF!,"AAAAAH/PsTk=")</f>
        <v>#REF!</v>
      </c>
      <c r="BG3" t="e">
        <f>AND(#REF!,"AAAAAH/PsTo=")</f>
        <v>#REF!</v>
      </c>
      <c r="BH3" t="e">
        <f>AND(#REF!,"AAAAAH/PsTs=")</f>
        <v>#REF!</v>
      </c>
      <c r="BI3" t="e">
        <f>AND(#REF!,"AAAAAH/PsTw=")</f>
        <v>#REF!</v>
      </c>
      <c r="BJ3" t="e">
        <f>AND(#REF!,"AAAAAH/PsT0=")</f>
        <v>#REF!</v>
      </c>
      <c r="BK3" t="e">
        <f>AND(#REF!,"AAAAAH/PsT4=")</f>
        <v>#REF!</v>
      </c>
      <c r="BL3" t="e">
        <f>AND(#REF!,"AAAAAH/PsT8=")</f>
        <v>#REF!</v>
      </c>
      <c r="BM3" t="e">
        <f>IF(#REF!,"AAAAAH/PsUA=",0)</f>
        <v>#REF!</v>
      </c>
      <c r="BN3" t="e">
        <f>AND(#REF!,"AAAAAH/PsUE=")</f>
        <v>#REF!</v>
      </c>
      <c r="BO3" t="e">
        <f>AND(#REF!,"AAAAAH/PsUI=")</f>
        <v>#REF!</v>
      </c>
      <c r="BP3" t="e">
        <f>AND(#REF!,"AAAAAH/PsUM=")</f>
        <v>#REF!</v>
      </c>
      <c r="BQ3" t="e">
        <f>AND(#REF!,"AAAAAH/PsUQ=")</f>
        <v>#REF!</v>
      </c>
      <c r="BR3" t="e">
        <f>AND(#REF!,"AAAAAH/PsUU=")</f>
        <v>#REF!</v>
      </c>
      <c r="BS3" t="e">
        <f>AND(#REF!,"AAAAAH/PsUY=")</f>
        <v>#REF!</v>
      </c>
      <c r="BT3" t="e">
        <f>AND(#REF!,"AAAAAH/PsUc=")</f>
        <v>#REF!</v>
      </c>
      <c r="BU3" t="e">
        <f>IF(#REF!,"AAAAAH/PsUg=",0)</f>
        <v>#REF!</v>
      </c>
      <c r="BV3" t="e">
        <f>AND(#REF!,"AAAAAH/PsUk=")</f>
        <v>#REF!</v>
      </c>
      <c r="BW3" t="e">
        <f>AND(#REF!,"AAAAAH/PsUo=")</f>
        <v>#REF!</v>
      </c>
      <c r="BX3" t="e">
        <f>AND(#REF!,"AAAAAH/PsUs=")</f>
        <v>#REF!</v>
      </c>
      <c r="BY3" t="e">
        <f>AND(#REF!,"AAAAAH/PsUw=")</f>
        <v>#REF!</v>
      </c>
      <c r="BZ3" t="e">
        <f>AND(#REF!,"AAAAAH/PsU0=")</f>
        <v>#REF!</v>
      </c>
      <c r="CA3" t="e">
        <f>AND(#REF!,"AAAAAH/PsU4=")</f>
        <v>#REF!</v>
      </c>
      <c r="CB3" t="e">
        <f>AND(#REF!,"AAAAAH/PsU8=")</f>
        <v>#REF!</v>
      </c>
      <c r="CC3" t="e">
        <f>IF(#REF!,"AAAAAH/PsVA=",0)</f>
        <v>#REF!</v>
      </c>
      <c r="CD3" t="e">
        <f>AND(#REF!,"AAAAAH/PsVE=")</f>
        <v>#REF!</v>
      </c>
      <c r="CE3" t="e">
        <f>AND(#REF!,"AAAAAH/PsVI=")</f>
        <v>#REF!</v>
      </c>
      <c r="CF3" t="e">
        <f>AND(#REF!,"AAAAAH/PsVM=")</f>
        <v>#REF!</v>
      </c>
      <c r="CG3" t="e">
        <f>AND(#REF!,"AAAAAH/PsVQ=")</f>
        <v>#REF!</v>
      </c>
      <c r="CH3" t="e">
        <f>AND(#REF!,"AAAAAH/PsVU=")</f>
        <v>#REF!</v>
      </c>
      <c r="CI3" t="e">
        <f>AND(#REF!,"AAAAAH/PsVY=")</f>
        <v>#REF!</v>
      </c>
      <c r="CJ3" t="e">
        <f>AND(#REF!,"AAAAAH/PsVc=")</f>
        <v>#REF!</v>
      </c>
      <c r="CK3" t="e">
        <f>IF(#REF!,"AAAAAH/PsVg=",0)</f>
        <v>#REF!</v>
      </c>
      <c r="CL3" t="e">
        <f>AND(#REF!,"AAAAAH/PsVk=")</f>
        <v>#REF!</v>
      </c>
      <c r="CM3" t="e">
        <f>AND(#REF!,"AAAAAH/PsVo=")</f>
        <v>#REF!</v>
      </c>
      <c r="CN3" t="e">
        <f>AND(#REF!,"AAAAAH/PsVs=")</f>
        <v>#REF!</v>
      </c>
      <c r="CO3" t="e">
        <f>AND(#REF!,"AAAAAH/PsVw=")</f>
        <v>#REF!</v>
      </c>
      <c r="CP3" t="e">
        <f>AND(#REF!,"AAAAAH/PsV0=")</f>
        <v>#REF!</v>
      </c>
      <c r="CQ3" t="e">
        <f>AND(#REF!,"AAAAAH/PsV4=")</f>
        <v>#REF!</v>
      </c>
      <c r="CR3" t="e">
        <f>AND(#REF!,"AAAAAH/PsV8=")</f>
        <v>#REF!</v>
      </c>
      <c r="CS3" t="e">
        <f>IF(#REF!,"AAAAAH/PsWA=",0)</f>
        <v>#REF!</v>
      </c>
      <c r="CT3" t="e">
        <f>AND(#REF!,"AAAAAH/PsWE=")</f>
        <v>#REF!</v>
      </c>
      <c r="CU3" t="e">
        <f>AND(#REF!,"AAAAAH/PsWI=")</f>
        <v>#REF!</v>
      </c>
      <c r="CV3" t="e">
        <f>AND(#REF!,"AAAAAH/PsWM=")</f>
        <v>#REF!</v>
      </c>
      <c r="CW3" t="e">
        <f>AND(#REF!,"AAAAAH/PsWQ=")</f>
        <v>#REF!</v>
      </c>
      <c r="CX3" t="e">
        <f>AND(#REF!,"AAAAAH/PsWU=")</f>
        <v>#REF!</v>
      </c>
      <c r="CY3" t="e">
        <f>AND(#REF!,"AAAAAH/PsWY=")</f>
        <v>#REF!</v>
      </c>
      <c r="CZ3" t="e">
        <f>AND(#REF!,"AAAAAH/PsWc=")</f>
        <v>#REF!</v>
      </c>
      <c r="DA3" t="e">
        <f>IF(#REF!,"AAAAAH/PsWg=",0)</f>
        <v>#REF!</v>
      </c>
      <c r="DB3" t="e">
        <f>AND(#REF!,"AAAAAH/PsWk=")</f>
        <v>#REF!</v>
      </c>
      <c r="DC3" t="e">
        <f>AND(#REF!,"AAAAAH/PsWo=")</f>
        <v>#REF!</v>
      </c>
      <c r="DD3" t="e">
        <f>AND(#REF!,"AAAAAH/PsWs=")</f>
        <v>#REF!</v>
      </c>
      <c r="DE3" t="e">
        <f>AND(#REF!,"AAAAAH/PsWw=")</f>
        <v>#REF!</v>
      </c>
      <c r="DF3" t="e">
        <f>AND(#REF!,"AAAAAH/PsW0=")</f>
        <v>#REF!</v>
      </c>
      <c r="DG3" t="e">
        <f>AND(#REF!,"AAAAAH/PsW4=")</f>
        <v>#REF!</v>
      </c>
      <c r="DH3" t="e">
        <f>AND(#REF!,"AAAAAH/PsW8=")</f>
        <v>#REF!</v>
      </c>
      <c r="DI3" t="e">
        <f>IF(#REF!,"AAAAAH/PsXA=",0)</f>
        <v>#REF!</v>
      </c>
      <c r="DJ3" t="e">
        <f>AND(#REF!,"AAAAAH/PsXE=")</f>
        <v>#REF!</v>
      </c>
      <c r="DK3" t="e">
        <f>AND(#REF!,"AAAAAH/PsXI=")</f>
        <v>#REF!</v>
      </c>
      <c r="DL3" t="e">
        <f>AND(#REF!,"AAAAAH/PsXM=")</f>
        <v>#REF!</v>
      </c>
      <c r="DM3" t="e">
        <f>AND(#REF!,"AAAAAH/PsXQ=")</f>
        <v>#REF!</v>
      </c>
      <c r="DN3" t="e">
        <f>AND(#REF!,"AAAAAH/PsXU=")</f>
        <v>#REF!</v>
      </c>
      <c r="DO3" t="e">
        <f>AND(#REF!,"AAAAAH/PsXY=")</f>
        <v>#REF!</v>
      </c>
      <c r="DP3" t="e">
        <f>AND(#REF!,"AAAAAH/PsXc=")</f>
        <v>#REF!</v>
      </c>
      <c r="DQ3" t="e">
        <f>IF(#REF!,"AAAAAH/PsXg=",0)</f>
        <v>#REF!</v>
      </c>
      <c r="DR3" t="e">
        <f>AND(#REF!,"AAAAAH/PsXk=")</f>
        <v>#REF!</v>
      </c>
      <c r="DS3" t="e">
        <f>AND(#REF!,"AAAAAH/PsXo=")</f>
        <v>#REF!</v>
      </c>
      <c r="DT3" t="e">
        <f>AND(#REF!,"AAAAAH/PsXs=")</f>
        <v>#REF!</v>
      </c>
      <c r="DU3" t="e">
        <f>AND(#REF!,"AAAAAH/PsXw=")</f>
        <v>#REF!</v>
      </c>
      <c r="DV3" t="e">
        <f>AND(#REF!,"AAAAAH/PsX0=")</f>
        <v>#REF!</v>
      </c>
      <c r="DW3" t="e">
        <f>AND(#REF!,"AAAAAH/PsX4=")</f>
        <v>#REF!</v>
      </c>
      <c r="DX3" t="e">
        <f>AND(#REF!,"AAAAAH/PsX8=")</f>
        <v>#REF!</v>
      </c>
      <c r="DY3" t="e">
        <f>IF(#REF!,"AAAAAH/PsYA=",0)</f>
        <v>#REF!</v>
      </c>
      <c r="DZ3" t="e">
        <f>AND(#REF!,"AAAAAH/PsYE=")</f>
        <v>#REF!</v>
      </c>
      <c r="EA3" t="e">
        <f>AND(#REF!,"AAAAAH/PsYI=")</f>
        <v>#REF!</v>
      </c>
      <c r="EB3" t="e">
        <f>AND(#REF!,"AAAAAH/PsYM=")</f>
        <v>#REF!</v>
      </c>
      <c r="EC3" t="e">
        <f>AND(#REF!,"AAAAAH/PsYQ=")</f>
        <v>#REF!</v>
      </c>
      <c r="ED3" t="e">
        <f>AND(#REF!,"AAAAAH/PsYU=")</f>
        <v>#REF!</v>
      </c>
      <c r="EE3" t="e">
        <f>AND(#REF!,"AAAAAH/PsYY=")</f>
        <v>#REF!</v>
      </c>
      <c r="EF3" t="e">
        <f>AND(#REF!,"AAAAAH/PsYc=")</f>
        <v>#REF!</v>
      </c>
      <c r="EG3" t="e">
        <f>IF(#REF!,"AAAAAH/PsYg=",0)</f>
        <v>#REF!</v>
      </c>
      <c r="EH3" t="e">
        <f>AND(#REF!,"AAAAAH/PsYk=")</f>
        <v>#REF!</v>
      </c>
      <c r="EI3" t="e">
        <f>AND(#REF!,"AAAAAH/PsYo=")</f>
        <v>#REF!</v>
      </c>
      <c r="EJ3" t="e">
        <f>AND(#REF!,"AAAAAH/PsYs=")</f>
        <v>#REF!</v>
      </c>
      <c r="EK3" t="e">
        <f>AND(#REF!,"AAAAAH/PsYw=")</f>
        <v>#REF!</v>
      </c>
      <c r="EL3" t="e">
        <f>AND(#REF!,"AAAAAH/PsY0=")</f>
        <v>#REF!</v>
      </c>
      <c r="EM3" t="e">
        <f>AND(#REF!,"AAAAAH/PsY4=")</f>
        <v>#REF!</v>
      </c>
      <c r="EN3" t="e">
        <f>AND(#REF!,"AAAAAH/PsY8=")</f>
        <v>#REF!</v>
      </c>
      <c r="EO3" t="e">
        <f>IF(#REF!,"AAAAAH/PsZA=",0)</f>
        <v>#REF!</v>
      </c>
      <c r="EP3" t="e">
        <f>AND(#REF!,"AAAAAH/PsZE=")</f>
        <v>#REF!</v>
      </c>
      <c r="EQ3" t="e">
        <f>AND(#REF!,"AAAAAH/PsZI=")</f>
        <v>#REF!</v>
      </c>
      <c r="ER3" t="e">
        <f>AND(#REF!,"AAAAAH/PsZM=")</f>
        <v>#REF!</v>
      </c>
      <c r="ES3" t="e">
        <f>AND(#REF!,"AAAAAH/PsZQ=")</f>
        <v>#REF!</v>
      </c>
      <c r="ET3" t="e">
        <f>AND(#REF!,"AAAAAH/PsZU=")</f>
        <v>#REF!</v>
      </c>
      <c r="EU3" t="e">
        <f>AND(#REF!,"AAAAAH/PsZY=")</f>
        <v>#REF!</v>
      </c>
      <c r="EV3" t="e">
        <f>AND(#REF!,"AAAAAH/PsZc=")</f>
        <v>#REF!</v>
      </c>
      <c r="EW3" t="e">
        <f>IF(#REF!,"AAAAAH/PsZg=",0)</f>
        <v>#REF!</v>
      </c>
      <c r="EX3" t="e">
        <f>AND(#REF!,"AAAAAH/PsZk=")</f>
        <v>#REF!</v>
      </c>
      <c r="EY3" t="e">
        <f>AND(#REF!,"AAAAAH/PsZo=")</f>
        <v>#REF!</v>
      </c>
      <c r="EZ3" t="e">
        <f>AND(#REF!,"AAAAAH/PsZs=")</f>
        <v>#REF!</v>
      </c>
      <c r="FA3" t="e">
        <f>AND(#REF!,"AAAAAH/PsZw=")</f>
        <v>#REF!</v>
      </c>
      <c r="FB3" t="e">
        <f>AND(#REF!,"AAAAAH/PsZ0=")</f>
        <v>#REF!</v>
      </c>
      <c r="FC3" t="e">
        <f>AND(#REF!,"AAAAAH/PsZ4=")</f>
        <v>#REF!</v>
      </c>
      <c r="FD3" t="e">
        <f>AND(#REF!,"AAAAAH/PsZ8=")</f>
        <v>#REF!</v>
      </c>
      <c r="FE3" t="e">
        <f>IF(#REF!,"AAAAAH/PsaA=",0)</f>
        <v>#REF!</v>
      </c>
      <c r="FF3" t="e">
        <f>AND(#REF!,"AAAAAH/PsaE=")</f>
        <v>#REF!</v>
      </c>
      <c r="FG3" t="e">
        <f>AND(#REF!,"AAAAAH/PsaI=")</f>
        <v>#REF!</v>
      </c>
      <c r="FH3" t="e">
        <f>AND(#REF!,"AAAAAH/PsaM=")</f>
        <v>#REF!</v>
      </c>
      <c r="FI3" t="e">
        <f>AND(#REF!,"AAAAAH/PsaQ=")</f>
        <v>#REF!</v>
      </c>
      <c r="FJ3" t="e">
        <f>AND(#REF!,"AAAAAH/PsaU=")</f>
        <v>#REF!</v>
      </c>
      <c r="FK3" t="e">
        <f>AND(#REF!,"AAAAAH/PsaY=")</f>
        <v>#REF!</v>
      </c>
      <c r="FL3" t="e">
        <f>AND(#REF!,"AAAAAH/Psac=")</f>
        <v>#REF!</v>
      </c>
      <c r="FM3" t="e">
        <f>IF(#REF!,"AAAAAH/Psag=",0)</f>
        <v>#REF!</v>
      </c>
      <c r="FN3" t="e">
        <f>AND(#REF!,"AAAAAH/Psak=")</f>
        <v>#REF!</v>
      </c>
      <c r="FO3" t="e">
        <f>AND(#REF!,"AAAAAH/Psao=")</f>
        <v>#REF!</v>
      </c>
      <c r="FP3" t="e">
        <f>AND(#REF!,"AAAAAH/Psas=")</f>
        <v>#REF!</v>
      </c>
      <c r="FQ3" t="e">
        <f>AND(#REF!,"AAAAAH/Psaw=")</f>
        <v>#REF!</v>
      </c>
      <c r="FR3" t="e">
        <f>AND(#REF!,"AAAAAH/Psa0=")</f>
        <v>#REF!</v>
      </c>
      <c r="FS3" t="e">
        <f>AND(#REF!,"AAAAAH/Psa4=")</f>
        <v>#REF!</v>
      </c>
      <c r="FT3" t="e">
        <f>AND(#REF!,"AAAAAH/Psa8=")</f>
        <v>#REF!</v>
      </c>
      <c r="FU3" t="e">
        <f>IF(#REF!,"AAAAAH/PsbA=",0)</f>
        <v>#REF!</v>
      </c>
      <c r="FV3" t="e">
        <f>AND(#REF!,"AAAAAH/PsbE=")</f>
        <v>#REF!</v>
      </c>
      <c r="FW3" t="e">
        <f>AND(#REF!,"AAAAAH/PsbI=")</f>
        <v>#REF!</v>
      </c>
      <c r="FX3" t="e">
        <f>AND(#REF!,"AAAAAH/PsbM=")</f>
        <v>#REF!</v>
      </c>
      <c r="FY3" t="e">
        <f>AND(#REF!,"AAAAAH/PsbQ=")</f>
        <v>#REF!</v>
      </c>
      <c r="FZ3" t="e">
        <f>AND(#REF!,"AAAAAH/PsbU=")</f>
        <v>#REF!</v>
      </c>
      <c r="GA3" t="e">
        <f>AND(#REF!,"AAAAAH/PsbY=")</f>
        <v>#REF!</v>
      </c>
      <c r="GB3" t="e">
        <f>AND(#REF!,"AAAAAH/Psbc=")</f>
        <v>#REF!</v>
      </c>
      <c r="GC3" t="e">
        <f>IF(#REF!,"AAAAAH/Psbg=",0)</f>
        <v>#REF!</v>
      </c>
      <c r="GD3" t="e">
        <f>AND(#REF!,"AAAAAH/Psbk=")</f>
        <v>#REF!</v>
      </c>
      <c r="GE3" t="e">
        <f>AND(#REF!,"AAAAAH/Psbo=")</f>
        <v>#REF!</v>
      </c>
      <c r="GF3" t="e">
        <f>AND(#REF!,"AAAAAH/Psbs=")</f>
        <v>#REF!</v>
      </c>
      <c r="GG3" t="e">
        <f>AND(#REF!,"AAAAAH/Psbw=")</f>
        <v>#REF!</v>
      </c>
      <c r="GH3" t="e">
        <f>AND(#REF!,"AAAAAH/Psb0=")</f>
        <v>#REF!</v>
      </c>
      <c r="GI3" t="e">
        <f>AND(#REF!,"AAAAAH/Psb4=")</f>
        <v>#REF!</v>
      </c>
      <c r="GJ3" t="e">
        <f>AND(#REF!,"AAAAAH/Psb8=")</f>
        <v>#REF!</v>
      </c>
      <c r="GK3" t="e">
        <f>IF(#REF!,"AAAAAH/PscA=",0)</f>
        <v>#REF!</v>
      </c>
      <c r="GL3" t="e">
        <f>AND(#REF!,"AAAAAH/PscE=")</f>
        <v>#REF!</v>
      </c>
      <c r="GM3" t="e">
        <f>AND(#REF!,"AAAAAH/PscI=")</f>
        <v>#REF!</v>
      </c>
      <c r="GN3" t="e">
        <f>AND(#REF!,"AAAAAH/PscM=")</f>
        <v>#REF!</v>
      </c>
      <c r="GO3" t="e">
        <f>AND(#REF!,"AAAAAH/PscQ=")</f>
        <v>#REF!</v>
      </c>
      <c r="GP3" t="e">
        <f>AND(#REF!,"AAAAAH/PscU=")</f>
        <v>#REF!</v>
      </c>
      <c r="GQ3" t="e">
        <f>AND(#REF!,"AAAAAH/PscY=")</f>
        <v>#REF!</v>
      </c>
      <c r="GR3" t="e">
        <f>AND(#REF!,"AAAAAH/Pscc=")</f>
        <v>#REF!</v>
      </c>
      <c r="GS3" t="e">
        <f>IF(#REF!,"AAAAAH/Pscg=",0)</f>
        <v>#REF!</v>
      </c>
      <c r="GT3" t="e">
        <f>AND(#REF!,"AAAAAH/Psck=")</f>
        <v>#REF!</v>
      </c>
      <c r="GU3" t="e">
        <f>AND(#REF!,"AAAAAH/Psco=")</f>
        <v>#REF!</v>
      </c>
      <c r="GV3" t="e">
        <f>AND(#REF!,"AAAAAH/Pscs=")</f>
        <v>#REF!</v>
      </c>
      <c r="GW3" t="e">
        <f>AND(#REF!,"AAAAAH/Pscw=")</f>
        <v>#REF!</v>
      </c>
      <c r="GX3" t="e">
        <f>AND(#REF!,"AAAAAH/Psc0=")</f>
        <v>#REF!</v>
      </c>
      <c r="GY3" t="e">
        <f>AND(#REF!,"AAAAAH/Psc4=")</f>
        <v>#REF!</v>
      </c>
      <c r="GZ3" t="e">
        <f>AND(#REF!,"AAAAAH/Psc8=")</f>
        <v>#REF!</v>
      </c>
      <c r="HA3" t="e">
        <f>IF(#REF!,"AAAAAH/PsdA=",0)</f>
        <v>#REF!</v>
      </c>
      <c r="HB3" t="e">
        <f>AND(#REF!,"AAAAAH/PsdE=")</f>
        <v>#REF!</v>
      </c>
      <c r="HC3" t="e">
        <f>AND(#REF!,"AAAAAH/PsdI=")</f>
        <v>#REF!</v>
      </c>
      <c r="HD3" t="e">
        <f>AND(#REF!,"AAAAAH/PsdM=")</f>
        <v>#REF!</v>
      </c>
      <c r="HE3" t="e">
        <f>AND(#REF!,"AAAAAH/PsdQ=")</f>
        <v>#REF!</v>
      </c>
      <c r="HF3" t="e">
        <f>AND(#REF!,"AAAAAH/PsdU=")</f>
        <v>#REF!</v>
      </c>
      <c r="HG3" t="e">
        <f>AND(#REF!,"AAAAAH/PsdY=")</f>
        <v>#REF!</v>
      </c>
      <c r="HH3" t="e">
        <f>AND(#REF!,"AAAAAH/Psdc=")</f>
        <v>#REF!</v>
      </c>
      <c r="HI3" t="e">
        <f>IF(#REF!,"AAAAAH/Psdg=",0)</f>
        <v>#REF!</v>
      </c>
      <c r="HJ3" t="e">
        <f>AND(#REF!,"AAAAAH/Psdk=")</f>
        <v>#REF!</v>
      </c>
      <c r="HK3" t="e">
        <f>AND(#REF!,"AAAAAH/Psdo=")</f>
        <v>#REF!</v>
      </c>
      <c r="HL3" t="e">
        <f>AND(#REF!,"AAAAAH/Psds=")</f>
        <v>#REF!</v>
      </c>
      <c r="HM3" t="e">
        <f>AND(#REF!,"AAAAAH/Psdw=")</f>
        <v>#REF!</v>
      </c>
      <c r="HN3" t="e">
        <f>AND(#REF!,"AAAAAH/Psd0=")</f>
        <v>#REF!</v>
      </c>
      <c r="HO3" t="e">
        <f>AND(#REF!,"AAAAAH/Psd4=")</f>
        <v>#REF!</v>
      </c>
      <c r="HP3" t="e">
        <f>AND(#REF!,"AAAAAH/Psd8=")</f>
        <v>#REF!</v>
      </c>
      <c r="HQ3" t="e">
        <f>IF(#REF!,"AAAAAH/PseA=",0)</f>
        <v>#REF!</v>
      </c>
      <c r="HR3" t="e">
        <f>AND(#REF!,"AAAAAH/PseE=")</f>
        <v>#REF!</v>
      </c>
      <c r="HS3" t="e">
        <f>AND(#REF!,"AAAAAH/PseI=")</f>
        <v>#REF!</v>
      </c>
      <c r="HT3" t="e">
        <f>AND(#REF!,"AAAAAH/PseM=")</f>
        <v>#REF!</v>
      </c>
      <c r="HU3" t="e">
        <f>AND(#REF!,"AAAAAH/PseQ=")</f>
        <v>#REF!</v>
      </c>
      <c r="HV3" t="e">
        <f>AND(#REF!,"AAAAAH/PseU=")</f>
        <v>#REF!</v>
      </c>
      <c r="HW3" t="e">
        <f>AND(#REF!,"AAAAAH/PseY=")</f>
        <v>#REF!</v>
      </c>
      <c r="HX3" t="e">
        <f>AND(#REF!,"AAAAAH/Psec=")</f>
        <v>#REF!</v>
      </c>
      <c r="HY3" t="e">
        <f>IF(#REF!,"AAAAAH/Pseg=",0)</f>
        <v>#REF!</v>
      </c>
      <c r="HZ3" t="e">
        <f>AND(#REF!,"AAAAAH/Psek=")</f>
        <v>#REF!</v>
      </c>
      <c r="IA3" t="e">
        <f>AND(#REF!,"AAAAAH/Pseo=")</f>
        <v>#REF!</v>
      </c>
      <c r="IB3" t="e">
        <f>AND(#REF!,"AAAAAH/Pses=")</f>
        <v>#REF!</v>
      </c>
      <c r="IC3" t="e">
        <f>AND(#REF!,"AAAAAH/Psew=")</f>
        <v>#REF!</v>
      </c>
      <c r="ID3" t="e">
        <f>AND(#REF!,"AAAAAH/Pse0=")</f>
        <v>#REF!</v>
      </c>
      <c r="IE3" t="e">
        <f>AND(#REF!,"AAAAAH/Pse4=")</f>
        <v>#REF!</v>
      </c>
      <c r="IF3" t="e">
        <f>AND(#REF!,"AAAAAH/Pse8=")</f>
        <v>#REF!</v>
      </c>
      <c r="IG3" t="e">
        <f>IF(#REF!,"AAAAAH/PsfA=",0)</f>
        <v>#REF!</v>
      </c>
      <c r="IH3" t="e">
        <f>AND(#REF!,"AAAAAH/PsfE=")</f>
        <v>#REF!</v>
      </c>
      <c r="II3" t="e">
        <f>AND(#REF!,"AAAAAH/PsfI=")</f>
        <v>#REF!</v>
      </c>
      <c r="IJ3" t="e">
        <f>AND(#REF!,"AAAAAH/PsfM=")</f>
        <v>#REF!</v>
      </c>
      <c r="IK3" t="e">
        <f>AND(#REF!,"AAAAAH/PsfQ=")</f>
        <v>#REF!</v>
      </c>
      <c r="IL3" t="e">
        <f>AND(#REF!,"AAAAAH/PsfU=")</f>
        <v>#REF!</v>
      </c>
      <c r="IM3" t="e">
        <f>AND(#REF!,"AAAAAH/PsfY=")</f>
        <v>#REF!</v>
      </c>
      <c r="IN3" t="e">
        <f>AND(#REF!,"AAAAAH/Psfc=")</f>
        <v>#REF!</v>
      </c>
      <c r="IO3" t="e">
        <f>IF(#REF!,"AAAAAH/Psfg=",0)</f>
        <v>#REF!</v>
      </c>
      <c r="IP3" t="e">
        <f>AND(#REF!,"AAAAAH/Psfk=")</f>
        <v>#REF!</v>
      </c>
      <c r="IQ3" t="e">
        <f>AND(#REF!,"AAAAAH/Psfo=")</f>
        <v>#REF!</v>
      </c>
      <c r="IR3" t="e">
        <f>AND(#REF!,"AAAAAH/Psfs=")</f>
        <v>#REF!</v>
      </c>
      <c r="IS3" t="e">
        <f>AND(#REF!,"AAAAAH/Psfw=")</f>
        <v>#REF!</v>
      </c>
      <c r="IT3" t="e">
        <f>AND(#REF!,"AAAAAH/Psf0=")</f>
        <v>#REF!</v>
      </c>
      <c r="IU3" t="e">
        <f>AND(#REF!,"AAAAAH/Psf4=")</f>
        <v>#REF!</v>
      </c>
      <c r="IV3" t="e">
        <f>AND(#REF!,"AAAAAH/Psf8=")</f>
        <v>#REF!</v>
      </c>
    </row>
    <row r="4" spans="1:256">
      <c r="A4" t="e">
        <f>IF(#REF!,"AAAAAH8/5gA=",0)</f>
        <v>#REF!</v>
      </c>
      <c r="B4" t="e">
        <f>AND(#REF!,"AAAAAH8/5gE=")</f>
        <v>#REF!</v>
      </c>
      <c r="C4" t="e">
        <f>AND(#REF!,"AAAAAH8/5gI=")</f>
        <v>#REF!</v>
      </c>
      <c r="D4" t="e">
        <f>AND(#REF!,"AAAAAH8/5gM=")</f>
        <v>#REF!</v>
      </c>
      <c r="E4" t="e">
        <f>AND(#REF!,"AAAAAH8/5gQ=")</f>
        <v>#REF!</v>
      </c>
      <c r="F4" t="e">
        <f>AND(#REF!,"AAAAAH8/5gU=")</f>
        <v>#REF!</v>
      </c>
      <c r="G4" t="e">
        <f>AND(#REF!,"AAAAAH8/5gY=")</f>
        <v>#REF!</v>
      </c>
      <c r="H4" t="e">
        <f>AND(#REF!,"AAAAAH8/5gc=")</f>
        <v>#REF!</v>
      </c>
      <c r="I4" t="e">
        <f>IF(#REF!,"AAAAAH8/5gg=",0)</f>
        <v>#REF!</v>
      </c>
      <c r="J4" t="e">
        <f>AND(#REF!,"AAAAAH8/5gk=")</f>
        <v>#REF!</v>
      </c>
      <c r="K4" t="e">
        <f>AND(#REF!,"AAAAAH8/5go=")</f>
        <v>#REF!</v>
      </c>
      <c r="L4" t="e">
        <f>AND(#REF!,"AAAAAH8/5gs=")</f>
        <v>#REF!</v>
      </c>
      <c r="M4" t="e">
        <f>AND(#REF!,"AAAAAH8/5gw=")</f>
        <v>#REF!</v>
      </c>
      <c r="N4" t="e">
        <f>AND(#REF!,"AAAAAH8/5g0=")</f>
        <v>#REF!</v>
      </c>
      <c r="O4" t="e">
        <f>AND(#REF!,"AAAAAH8/5g4=")</f>
        <v>#REF!</v>
      </c>
      <c r="P4" t="e">
        <f>AND(#REF!,"AAAAAH8/5g8=")</f>
        <v>#REF!</v>
      </c>
      <c r="Q4" t="e">
        <f>IF(#REF!,"AAAAAH8/5hA=",0)</f>
        <v>#REF!</v>
      </c>
      <c r="R4" t="e">
        <f>AND(#REF!,"AAAAAH8/5hE=")</f>
        <v>#REF!</v>
      </c>
      <c r="S4" t="e">
        <f>AND(#REF!,"AAAAAH8/5hI=")</f>
        <v>#REF!</v>
      </c>
      <c r="T4" t="e">
        <f>AND(#REF!,"AAAAAH8/5hM=")</f>
        <v>#REF!</v>
      </c>
      <c r="U4" t="e">
        <f>AND(#REF!,"AAAAAH8/5hQ=")</f>
        <v>#REF!</v>
      </c>
      <c r="V4" t="e">
        <f>AND(#REF!,"AAAAAH8/5hU=")</f>
        <v>#REF!</v>
      </c>
      <c r="W4" t="e">
        <f>AND(#REF!,"AAAAAH8/5hY=")</f>
        <v>#REF!</v>
      </c>
      <c r="X4" t="e">
        <f>AND(#REF!,"AAAAAH8/5hc=")</f>
        <v>#REF!</v>
      </c>
      <c r="Y4" t="e">
        <f>IF(#REF!,"AAAAAH8/5hg=",0)</f>
        <v>#REF!</v>
      </c>
      <c r="Z4" t="e">
        <f>AND(#REF!,"AAAAAH8/5hk=")</f>
        <v>#REF!</v>
      </c>
      <c r="AA4" t="e">
        <f>AND(#REF!,"AAAAAH8/5ho=")</f>
        <v>#REF!</v>
      </c>
      <c r="AB4" t="e">
        <f>AND(#REF!,"AAAAAH8/5hs=")</f>
        <v>#REF!</v>
      </c>
      <c r="AC4" t="e">
        <f>AND(#REF!,"AAAAAH8/5hw=")</f>
        <v>#REF!</v>
      </c>
      <c r="AD4" t="e">
        <f>AND(#REF!,"AAAAAH8/5h0=")</f>
        <v>#REF!</v>
      </c>
      <c r="AE4" t="e">
        <f>AND(#REF!,"AAAAAH8/5h4=")</f>
        <v>#REF!</v>
      </c>
      <c r="AF4" t="e">
        <f>AND(#REF!,"AAAAAH8/5h8=")</f>
        <v>#REF!</v>
      </c>
      <c r="AG4" t="e">
        <f>IF(#REF!,"AAAAAH8/5iA=",0)</f>
        <v>#REF!</v>
      </c>
      <c r="AH4" t="e">
        <f>AND(#REF!,"AAAAAH8/5iE=")</f>
        <v>#REF!</v>
      </c>
      <c r="AI4" t="e">
        <f>AND(#REF!,"AAAAAH8/5iI=")</f>
        <v>#REF!</v>
      </c>
      <c r="AJ4" t="e">
        <f>AND(#REF!,"AAAAAH8/5iM=")</f>
        <v>#REF!</v>
      </c>
      <c r="AK4" t="e">
        <f>AND(#REF!,"AAAAAH8/5iQ=")</f>
        <v>#REF!</v>
      </c>
      <c r="AL4" t="e">
        <f>AND(#REF!,"AAAAAH8/5iU=")</f>
        <v>#REF!</v>
      </c>
      <c r="AM4" t="e">
        <f>AND(#REF!,"AAAAAH8/5iY=")</f>
        <v>#REF!</v>
      </c>
      <c r="AN4" t="e">
        <f>AND(#REF!,"AAAAAH8/5ic=")</f>
        <v>#REF!</v>
      </c>
      <c r="AO4" t="e">
        <f>IF(#REF!,"AAAAAH8/5ig=",0)</f>
        <v>#REF!</v>
      </c>
      <c r="AP4" t="e">
        <f>AND(#REF!,"AAAAAH8/5ik=")</f>
        <v>#REF!</v>
      </c>
      <c r="AQ4" t="e">
        <f>AND(#REF!,"AAAAAH8/5io=")</f>
        <v>#REF!</v>
      </c>
      <c r="AR4" t="e">
        <f>AND(#REF!,"AAAAAH8/5is=")</f>
        <v>#REF!</v>
      </c>
      <c r="AS4" t="e">
        <f>AND(#REF!,"AAAAAH8/5iw=")</f>
        <v>#REF!</v>
      </c>
      <c r="AT4" t="e">
        <f>AND(#REF!,"AAAAAH8/5i0=")</f>
        <v>#REF!</v>
      </c>
      <c r="AU4" t="e">
        <f>AND(#REF!,"AAAAAH8/5i4=")</f>
        <v>#REF!</v>
      </c>
      <c r="AV4" t="e">
        <f>AND(#REF!,"AAAAAH8/5i8=")</f>
        <v>#REF!</v>
      </c>
      <c r="AW4" t="e">
        <f>IF(#REF!,"AAAAAH8/5jA=",0)</f>
        <v>#REF!</v>
      </c>
      <c r="AX4" t="e">
        <f>AND(#REF!,"AAAAAH8/5jE=")</f>
        <v>#REF!</v>
      </c>
      <c r="AY4" t="e">
        <f>AND(#REF!,"AAAAAH8/5jI=")</f>
        <v>#REF!</v>
      </c>
      <c r="AZ4" t="e">
        <f>AND(#REF!,"AAAAAH8/5jM=")</f>
        <v>#REF!</v>
      </c>
      <c r="BA4" t="e">
        <f>AND(#REF!,"AAAAAH8/5jQ=")</f>
        <v>#REF!</v>
      </c>
      <c r="BB4" t="e">
        <f>AND(#REF!,"AAAAAH8/5jU=")</f>
        <v>#REF!</v>
      </c>
      <c r="BC4" t="e">
        <f>AND(#REF!,"AAAAAH8/5jY=")</f>
        <v>#REF!</v>
      </c>
      <c r="BD4" t="e">
        <f>AND(#REF!,"AAAAAH8/5jc=")</f>
        <v>#REF!</v>
      </c>
      <c r="BE4" t="e">
        <f>IF(#REF!,"AAAAAH8/5jg=",0)</f>
        <v>#REF!</v>
      </c>
      <c r="BF4" t="e">
        <f>AND(#REF!,"AAAAAH8/5jk=")</f>
        <v>#REF!</v>
      </c>
      <c r="BG4" t="e">
        <f>AND(#REF!,"AAAAAH8/5jo=")</f>
        <v>#REF!</v>
      </c>
      <c r="BH4" t="e">
        <f>AND(#REF!,"AAAAAH8/5js=")</f>
        <v>#REF!</v>
      </c>
      <c r="BI4" t="e">
        <f>AND(#REF!,"AAAAAH8/5jw=")</f>
        <v>#REF!</v>
      </c>
      <c r="BJ4" t="e">
        <f>AND(#REF!,"AAAAAH8/5j0=")</f>
        <v>#REF!</v>
      </c>
      <c r="BK4" t="e">
        <f>AND(#REF!,"AAAAAH8/5j4=")</f>
        <v>#REF!</v>
      </c>
      <c r="BL4" t="e">
        <f>AND(#REF!,"AAAAAH8/5j8=")</f>
        <v>#REF!</v>
      </c>
      <c r="BM4" t="e">
        <f>IF(#REF!,"AAAAAH8/5kA=",0)</f>
        <v>#REF!</v>
      </c>
      <c r="BN4" t="e">
        <f>AND(#REF!,"AAAAAH8/5kE=")</f>
        <v>#REF!</v>
      </c>
      <c r="BO4" t="e">
        <f>AND(#REF!,"AAAAAH8/5kI=")</f>
        <v>#REF!</v>
      </c>
      <c r="BP4" t="e">
        <f>AND(#REF!,"AAAAAH8/5kM=")</f>
        <v>#REF!</v>
      </c>
      <c r="BQ4" t="e">
        <f>AND(#REF!,"AAAAAH8/5kQ=")</f>
        <v>#REF!</v>
      </c>
      <c r="BR4" t="e">
        <f>AND(#REF!,"AAAAAH8/5kU=")</f>
        <v>#REF!</v>
      </c>
      <c r="BS4" t="e">
        <f>AND(#REF!,"AAAAAH8/5kY=")</f>
        <v>#REF!</v>
      </c>
      <c r="BT4" t="e">
        <f>AND(#REF!,"AAAAAH8/5kc=")</f>
        <v>#REF!</v>
      </c>
      <c r="BU4" t="e">
        <f>IF(#REF!,"AAAAAH8/5kg=",0)</f>
        <v>#REF!</v>
      </c>
      <c r="BV4" t="e">
        <f>AND(#REF!,"AAAAAH8/5kk=")</f>
        <v>#REF!</v>
      </c>
      <c r="BW4" t="e">
        <f>AND(#REF!,"AAAAAH8/5ko=")</f>
        <v>#REF!</v>
      </c>
      <c r="BX4" t="e">
        <f>AND(#REF!,"AAAAAH8/5ks=")</f>
        <v>#REF!</v>
      </c>
      <c r="BY4" t="e">
        <f>AND(#REF!,"AAAAAH8/5kw=")</f>
        <v>#REF!</v>
      </c>
      <c r="BZ4" t="e">
        <f>AND(#REF!,"AAAAAH8/5k0=")</f>
        <v>#REF!</v>
      </c>
      <c r="CA4" t="e">
        <f>AND(#REF!,"AAAAAH8/5k4=")</f>
        <v>#REF!</v>
      </c>
      <c r="CB4" t="e">
        <f>AND(#REF!,"AAAAAH8/5k8=")</f>
        <v>#REF!</v>
      </c>
      <c r="CC4" t="e">
        <f>IF(#REF!,"AAAAAH8/5lA=",0)</f>
        <v>#REF!</v>
      </c>
      <c r="CD4" t="e">
        <f>AND(#REF!,"AAAAAH8/5lE=")</f>
        <v>#REF!</v>
      </c>
      <c r="CE4" t="e">
        <f>AND(#REF!,"AAAAAH8/5lI=")</f>
        <v>#REF!</v>
      </c>
      <c r="CF4" t="e">
        <f>AND(#REF!,"AAAAAH8/5lM=")</f>
        <v>#REF!</v>
      </c>
      <c r="CG4" t="e">
        <f>AND(#REF!,"AAAAAH8/5lQ=")</f>
        <v>#REF!</v>
      </c>
      <c r="CH4" t="e">
        <f>AND(#REF!,"AAAAAH8/5lU=")</f>
        <v>#REF!</v>
      </c>
      <c r="CI4" t="e">
        <f>AND(#REF!,"AAAAAH8/5lY=")</f>
        <v>#REF!</v>
      </c>
      <c r="CJ4" t="e">
        <f>AND(#REF!,"AAAAAH8/5lc=")</f>
        <v>#REF!</v>
      </c>
      <c r="CK4" t="e">
        <f>IF(#REF!,"AAAAAH8/5lg=",0)</f>
        <v>#REF!</v>
      </c>
      <c r="CL4" t="e">
        <f>AND(#REF!,"AAAAAH8/5lk=")</f>
        <v>#REF!</v>
      </c>
      <c r="CM4" t="e">
        <f>AND(#REF!,"AAAAAH8/5lo=")</f>
        <v>#REF!</v>
      </c>
      <c r="CN4" t="e">
        <f>AND(#REF!,"AAAAAH8/5ls=")</f>
        <v>#REF!</v>
      </c>
      <c r="CO4" t="e">
        <f>AND(#REF!,"AAAAAH8/5lw=")</f>
        <v>#REF!</v>
      </c>
      <c r="CP4" t="e">
        <f>AND(#REF!,"AAAAAH8/5l0=")</f>
        <v>#REF!</v>
      </c>
      <c r="CQ4" t="e">
        <f>AND(#REF!,"AAAAAH8/5l4=")</f>
        <v>#REF!</v>
      </c>
      <c r="CR4" t="e">
        <f>AND(#REF!,"AAAAAH8/5l8=")</f>
        <v>#REF!</v>
      </c>
      <c r="CS4" t="e">
        <f>IF(#REF!,"AAAAAH8/5mA=",0)</f>
        <v>#REF!</v>
      </c>
      <c r="CT4" t="e">
        <f>AND(#REF!,"AAAAAH8/5mE=")</f>
        <v>#REF!</v>
      </c>
      <c r="CU4" t="e">
        <f>AND(#REF!,"AAAAAH8/5mI=")</f>
        <v>#REF!</v>
      </c>
      <c r="CV4" t="e">
        <f>AND(#REF!,"AAAAAH8/5mM=")</f>
        <v>#REF!</v>
      </c>
      <c r="CW4" t="e">
        <f>AND(#REF!,"AAAAAH8/5mQ=")</f>
        <v>#REF!</v>
      </c>
      <c r="CX4" t="e">
        <f>AND(#REF!,"AAAAAH8/5mU=")</f>
        <v>#REF!</v>
      </c>
      <c r="CY4" t="e">
        <f>AND(#REF!,"AAAAAH8/5mY=")</f>
        <v>#REF!</v>
      </c>
      <c r="CZ4" t="e">
        <f>AND(#REF!,"AAAAAH8/5mc=")</f>
        <v>#REF!</v>
      </c>
      <c r="DA4" t="e">
        <f>IF(#REF!,"AAAAAH8/5mg=",0)</f>
        <v>#REF!</v>
      </c>
      <c r="DB4" t="e">
        <f>AND(#REF!,"AAAAAH8/5mk=")</f>
        <v>#REF!</v>
      </c>
      <c r="DC4" t="e">
        <f>AND(#REF!,"AAAAAH8/5mo=")</f>
        <v>#REF!</v>
      </c>
      <c r="DD4" t="e">
        <f>AND(#REF!,"AAAAAH8/5ms=")</f>
        <v>#REF!</v>
      </c>
      <c r="DE4" t="e">
        <f>AND(#REF!,"AAAAAH8/5mw=")</f>
        <v>#REF!</v>
      </c>
      <c r="DF4" t="e">
        <f>AND(#REF!,"AAAAAH8/5m0=")</f>
        <v>#REF!</v>
      </c>
      <c r="DG4" t="e">
        <f>AND(#REF!,"AAAAAH8/5m4=")</f>
        <v>#REF!</v>
      </c>
      <c r="DH4" t="e">
        <f>AND(#REF!,"AAAAAH8/5m8=")</f>
        <v>#REF!</v>
      </c>
      <c r="DI4" t="e">
        <f>IF(#REF!,"AAAAAH8/5nA=",0)</f>
        <v>#REF!</v>
      </c>
      <c r="DJ4" t="e">
        <f>AND(#REF!,"AAAAAH8/5nE=")</f>
        <v>#REF!</v>
      </c>
      <c r="DK4" t="e">
        <f>AND(#REF!,"AAAAAH8/5nI=")</f>
        <v>#REF!</v>
      </c>
      <c r="DL4" t="e">
        <f>AND(#REF!,"AAAAAH8/5nM=")</f>
        <v>#REF!</v>
      </c>
      <c r="DM4" t="e">
        <f>AND(#REF!,"AAAAAH8/5nQ=")</f>
        <v>#REF!</v>
      </c>
      <c r="DN4" t="e">
        <f>AND(#REF!,"AAAAAH8/5nU=")</f>
        <v>#REF!</v>
      </c>
      <c r="DO4" t="e">
        <f>AND(#REF!,"AAAAAH8/5nY=")</f>
        <v>#REF!</v>
      </c>
      <c r="DP4" t="e">
        <f>AND(#REF!,"AAAAAH8/5nc=")</f>
        <v>#REF!</v>
      </c>
      <c r="DQ4" t="e">
        <f>IF(#REF!,"AAAAAH8/5ng=",0)</f>
        <v>#REF!</v>
      </c>
      <c r="DR4" t="e">
        <f>AND(#REF!,"AAAAAH8/5nk=")</f>
        <v>#REF!</v>
      </c>
      <c r="DS4" t="e">
        <f>AND(#REF!,"AAAAAH8/5no=")</f>
        <v>#REF!</v>
      </c>
      <c r="DT4" t="e">
        <f>AND(#REF!,"AAAAAH8/5ns=")</f>
        <v>#REF!</v>
      </c>
      <c r="DU4" t="e">
        <f>AND(#REF!,"AAAAAH8/5nw=")</f>
        <v>#REF!</v>
      </c>
      <c r="DV4" t="e">
        <f>AND(#REF!,"AAAAAH8/5n0=")</f>
        <v>#REF!</v>
      </c>
      <c r="DW4" t="e">
        <f>AND(#REF!,"AAAAAH8/5n4=")</f>
        <v>#REF!</v>
      </c>
      <c r="DX4" t="e">
        <f>AND(#REF!,"AAAAAH8/5n8=")</f>
        <v>#REF!</v>
      </c>
      <c r="DY4" t="e">
        <f>IF(#REF!,"AAAAAH8/5oA=",0)</f>
        <v>#REF!</v>
      </c>
      <c r="DZ4" t="e">
        <f>AND(#REF!,"AAAAAH8/5oE=")</f>
        <v>#REF!</v>
      </c>
      <c r="EA4" t="e">
        <f>AND(#REF!,"AAAAAH8/5oI=")</f>
        <v>#REF!</v>
      </c>
      <c r="EB4" t="e">
        <f>AND(#REF!,"AAAAAH8/5oM=")</f>
        <v>#REF!</v>
      </c>
      <c r="EC4" t="e">
        <f>AND(#REF!,"AAAAAH8/5oQ=")</f>
        <v>#REF!</v>
      </c>
      <c r="ED4" t="e">
        <f>AND(#REF!,"AAAAAH8/5oU=")</f>
        <v>#REF!</v>
      </c>
      <c r="EE4" t="e">
        <f>AND(#REF!,"AAAAAH8/5oY=")</f>
        <v>#REF!</v>
      </c>
      <c r="EF4" t="e">
        <f>AND(#REF!,"AAAAAH8/5oc=")</f>
        <v>#REF!</v>
      </c>
      <c r="EG4" t="e">
        <f>IF(#REF!,"AAAAAH8/5og=",0)</f>
        <v>#REF!</v>
      </c>
      <c r="EH4" t="e">
        <f>AND(#REF!,"AAAAAH8/5ok=")</f>
        <v>#REF!</v>
      </c>
      <c r="EI4" t="e">
        <f>AND(#REF!,"AAAAAH8/5oo=")</f>
        <v>#REF!</v>
      </c>
      <c r="EJ4" t="e">
        <f>AND(#REF!,"AAAAAH8/5os=")</f>
        <v>#REF!</v>
      </c>
      <c r="EK4" t="e">
        <f>AND(#REF!,"AAAAAH8/5ow=")</f>
        <v>#REF!</v>
      </c>
      <c r="EL4" t="e">
        <f>AND(#REF!,"AAAAAH8/5o0=")</f>
        <v>#REF!</v>
      </c>
      <c r="EM4" t="e">
        <f>AND(#REF!,"AAAAAH8/5o4=")</f>
        <v>#REF!</v>
      </c>
      <c r="EN4" t="e">
        <f>AND(#REF!,"AAAAAH8/5o8=")</f>
        <v>#REF!</v>
      </c>
      <c r="EO4" t="e">
        <f>IF(#REF!,"AAAAAH8/5pA=",0)</f>
        <v>#REF!</v>
      </c>
      <c r="EP4" t="e">
        <f>AND(#REF!,"AAAAAH8/5pE=")</f>
        <v>#REF!</v>
      </c>
      <c r="EQ4" t="e">
        <f>AND(#REF!,"AAAAAH8/5pI=")</f>
        <v>#REF!</v>
      </c>
      <c r="ER4" t="e">
        <f>AND(#REF!,"AAAAAH8/5pM=")</f>
        <v>#REF!</v>
      </c>
      <c r="ES4" t="e">
        <f>AND(#REF!,"AAAAAH8/5pQ=")</f>
        <v>#REF!</v>
      </c>
      <c r="ET4" t="e">
        <f>AND(#REF!,"AAAAAH8/5pU=")</f>
        <v>#REF!</v>
      </c>
      <c r="EU4" t="e">
        <f>AND(#REF!,"AAAAAH8/5pY=")</f>
        <v>#REF!</v>
      </c>
      <c r="EV4" t="e">
        <f>AND(#REF!,"AAAAAH8/5pc=")</f>
        <v>#REF!</v>
      </c>
      <c r="EW4" t="e">
        <f>IF(#REF!,"AAAAAH8/5pg=",0)</f>
        <v>#REF!</v>
      </c>
      <c r="EX4" t="e">
        <f>AND(#REF!,"AAAAAH8/5pk=")</f>
        <v>#REF!</v>
      </c>
      <c r="EY4" t="e">
        <f>AND(#REF!,"AAAAAH8/5po=")</f>
        <v>#REF!</v>
      </c>
      <c r="EZ4" t="e">
        <f>AND(#REF!,"AAAAAH8/5ps=")</f>
        <v>#REF!</v>
      </c>
      <c r="FA4" t="e">
        <f>AND(#REF!,"AAAAAH8/5pw=")</f>
        <v>#REF!</v>
      </c>
      <c r="FB4" t="e">
        <f>AND(#REF!,"AAAAAH8/5p0=")</f>
        <v>#REF!</v>
      </c>
      <c r="FC4" t="e">
        <f>AND(#REF!,"AAAAAH8/5p4=")</f>
        <v>#REF!</v>
      </c>
      <c r="FD4" t="e">
        <f>AND(#REF!,"AAAAAH8/5p8=")</f>
        <v>#REF!</v>
      </c>
      <c r="FE4" t="e">
        <f>IF(#REF!,"AAAAAH8/5qA=",0)</f>
        <v>#REF!</v>
      </c>
      <c r="FF4" t="e">
        <f>AND(#REF!,"AAAAAH8/5qE=")</f>
        <v>#REF!</v>
      </c>
      <c r="FG4" t="e">
        <f>AND(#REF!,"AAAAAH8/5qI=")</f>
        <v>#REF!</v>
      </c>
      <c r="FH4" t="e">
        <f>AND(#REF!,"AAAAAH8/5qM=")</f>
        <v>#REF!</v>
      </c>
      <c r="FI4" t="e">
        <f>AND(#REF!,"AAAAAH8/5qQ=")</f>
        <v>#REF!</v>
      </c>
      <c r="FJ4" t="e">
        <f>AND(#REF!,"AAAAAH8/5qU=")</f>
        <v>#REF!</v>
      </c>
      <c r="FK4" t="e">
        <f>AND(#REF!,"AAAAAH8/5qY=")</f>
        <v>#REF!</v>
      </c>
      <c r="FL4" t="e">
        <f>AND(#REF!,"AAAAAH8/5qc=")</f>
        <v>#REF!</v>
      </c>
      <c r="FM4" t="e">
        <f>IF(#REF!,"AAAAAH8/5qg=",0)</f>
        <v>#REF!</v>
      </c>
      <c r="FN4" t="e">
        <f>AND(#REF!,"AAAAAH8/5qk=")</f>
        <v>#REF!</v>
      </c>
      <c r="FO4" t="e">
        <f>AND(#REF!,"AAAAAH8/5qo=")</f>
        <v>#REF!</v>
      </c>
      <c r="FP4" t="e">
        <f>AND(#REF!,"AAAAAH8/5qs=")</f>
        <v>#REF!</v>
      </c>
      <c r="FQ4" t="e">
        <f>AND(#REF!,"AAAAAH8/5qw=")</f>
        <v>#REF!</v>
      </c>
      <c r="FR4" t="e">
        <f>AND(#REF!,"AAAAAH8/5q0=")</f>
        <v>#REF!</v>
      </c>
      <c r="FS4" t="e">
        <f>AND(#REF!,"AAAAAH8/5q4=")</f>
        <v>#REF!</v>
      </c>
      <c r="FT4" t="e">
        <f>AND(#REF!,"AAAAAH8/5q8=")</f>
        <v>#REF!</v>
      </c>
      <c r="FU4" t="e">
        <f>IF(#REF!,"AAAAAH8/5rA=",0)</f>
        <v>#REF!</v>
      </c>
      <c r="FV4" t="e">
        <f>AND(#REF!,"AAAAAH8/5rE=")</f>
        <v>#REF!</v>
      </c>
      <c r="FW4" t="e">
        <f>AND(#REF!,"AAAAAH8/5rI=")</f>
        <v>#REF!</v>
      </c>
      <c r="FX4" t="e">
        <f>AND(#REF!,"AAAAAH8/5rM=")</f>
        <v>#REF!</v>
      </c>
      <c r="FY4" t="e">
        <f>AND(#REF!,"AAAAAH8/5rQ=")</f>
        <v>#REF!</v>
      </c>
      <c r="FZ4" t="e">
        <f>AND(#REF!,"AAAAAH8/5rU=")</f>
        <v>#REF!</v>
      </c>
      <c r="GA4" t="e">
        <f>AND(#REF!,"AAAAAH8/5rY=")</f>
        <v>#REF!</v>
      </c>
      <c r="GB4" t="e">
        <f>AND(#REF!,"AAAAAH8/5rc=")</f>
        <v>#REF!</v>
      </c>
      <c r="GC4" t="e">
        <f>IF(#REF!,"AAAAAH8/5rg=",0)</f>
        <v>#REF!</v>
      </c>
      <c r="GD4" t="e">
        <f>AND(#REF!,"AAAAAH8/5rk=")</f>
        <v>#REF!</v>
      </c>
      <c r="GE4" t="e">
        <f>AND(#REF!,"AAAAAH8/5ro=")</f>
        <v>#REF!</v>
      </c>
      <c r="GF4" t="e">
        <f>AND(#REF!,"AAAAAH8/5rs=")</f>
        <v>#REF!</v>
      </c>
      <c r="GG4" t="e">
        <f>AND(#REF!,"AAAAAH8/5rw=")</f>
        <v>#REF!</v>
      </c>
      <c r="GH4" t="e">
        <f>AND(#REF!,"AAAAAH8/5r0=")</f>
        <v>#REF!</v>
      </c>
      <c r="GI4" t="e">
        <f>AND(#REF!,"AAAAAH8/5r4=")</f>
        <v>#REF!</v>
      </c>
      <c r="GJ4" t="e">
        <f>AND(#REF!,"AAAAAH8/5r8=")</f>
        <v>#REF!</v>
      </c>
      <c r="GK4" t="e">
        <f>IF(#REF!,"AAAAAH8/5sA=",0)</f>
        <v>#REF!</v>
      </c>
      <c r="GL4" t="e">
        <f>AND(#REF!,"AAAAAH8/5sE=")</f>
        <v>#REF!</v>
      </c>
      <c r="GM4" t="e">
        <f>AND(#REF!,"AAAAAH8/5sI=")</f>
        <v>#REF!</v>
      </c>
      <c r="GN4" t="e">
        <f>AND(#REF!,"AAAAAH8/5sM=")</f>
        <v>#REF!</v>
      </c>
      <c r="GO4" t="e">
        <f>AND(#REF!,"AAAAAH8/5sQ=")</f>
        <v>#REF!</v>
      </c>
      <c r="GP4" t="e">
        <f>AND(#REF!,"AAAAAH8/5sU=")</f>
        <v>#REF!</v>
      </c>
      <c r="GQ4" t="e">
        <f>AND(#REF!,"AAAAAH8/5sY=")</f>
        <v>#REF!</v>
      </c>
      <c r="GR4" t="e">
        <f>AND(#REF!,"AAAAAH8/5sc=")</f>
        <v>#REF!</v>
      </c>
      <c r="GS4" t="e">
        <f>IF(#REF!,"AAAAAH8/5sg=",0)</f>
        <v>#REF!</v>
      </c>
      <c r="GT4" t="e">
        <f>AND(#REF!,"AAAAAH8/5sk=")</f>
        <v>#REF!</v>
      </c>
      <c r="GU4" t="e">
        <f>AND(#REF!,"AAAAAH8/5so=")</f>
        <v>#REF!</v>
      </c>
      <c r="GV4" t="e">
        <f>AND(#REF!,"AAAAAH8/5ss=")</f>
        <v>#REF!</v>
      </c>
      <c r="GW4" t="e">
        <f>AND(#REF!,"AAAAAH8/5sw=")</f>
        <v>#REF!</v>
      </c>
      <c r="GX4" t="e">
        <f>AND(#REF!,"AAAAAH8/5s0=")</f>
        <v>#REF!</v>
      </c>
      <c r="GY4" t="e">
        <f>AND(#REF!,"AAAAAH8/5s4=")</f>
        <v>#REF!</v>
      </c>
      <c r="GZ4" t="e">
        <f>AND(#REF!,"AAAAAH8/5s8=")</f>
        <v>#REF!</v>
      </c>
      <c r="HA4" t="e">
        <f>IF(#REF!,"AAAAAH8/5tA=",0)</f>
        <v>#REF!</v>
      </c>
      <c r="HB4" t="e">
        <f>AND(#REF!,"AAAAAH8/5tE=")</f>
        <v>#REF!</v>
      </c>
      <c r="HC4" t="e">
        <f>AND(#REF!,"AAAAAH8/5tI=")</f>
        <v>#REF!</v>
      </c>
      <c r="HD4" t="e">
        <f>AND(#REF!,"AAAAAH8/5tM=")</f>
        <v>#REF!</v>
      </c>
      <c r="HE4" t="e">
        <f>AND(#REF!,"AAAAAH8/5tQ=")</f>
        <v>#REF!</v>
      </c>
      <c r="HF4" t="e">
        <f>AND(#REF!,"AAAAAH8/5tU=")</f>
        <v>#REF!</v>
      </c>
      <c r="HG4" t="e">
        <f>AND(#REF!,"AAAAAH8/5tY=")</f>
        <v>#REF!</v>
      </c>
      <c r="HH4" t="e">
        <f>AND(#REF!,"AAAAAH8/5tc=")</f>
        <v>#REF!</v>
      </c>
      <c r="HI4" t="e">
        <f>IF(#REF!,"AAAAAH8/5tg=",0)</f>
        <v>#REF!</v>
      </c>
      <c r="HJ4" t="e">
        <f>AND(#REF!,"AAAAAH8/5tk=")</f>
        <v>#REF!</v>
      </c>
      <c r="HK4" t="e">
        <f>AND(#REF!,"AAAAAH8/5to=")</f>
        <v>#REF!</v>
      </c>
      <c r="HL4" t="e">
        <f>AND(#REF!,"AAAAAH8/5ts=")</f>
        <v>#REF!</v>
      </c>
      <c r="HM4" t="e">
        <f>AND(#REF!,"AAAAAH8/5tw=")</f>
        <v>#REF!</v>
      </c>
      <c r="HN4" t="e">
        <f>AND(#REF!,"AAAAAH8/5t0=")</f>
        <v>#REF!</v>
      </c>
      <c r="HO4" t="e">
        <f>AND(#REF!,"AAAAAH8/5t4=")</f>
        <v>#REF!</v>
      </c>
      <c r="HP4" t="e">
        <f>AND(#REF!,"AAAAAH8/5t8=")</f>
        <v>#REF!</v>
      </c>
      <c r="HQ4" t="e">
        <f>IF(#REF!,"AAAAAH8/5uA=",0)</f>
        <v>#REF!</v>
      </c>
      <c r="HR4" t="e">
        <f>AND(#REF!,"AAAAAH8/5uE=")</f>
        <v>#REF!</v>
      </c>
      <c r="HS4" t="e">
        <f>AND(#REF!,"AAAAAH8/5uI=")</f>
        <v>#REF!</v>
      </c>
      <c r="HT4" t="e">
        <f>AND(#REF!,"AAAAAH8/5uM=")</f>
        <v>#REF!</v>
      </c>
      <c r="HU4" t="e">
        <f>AND(#REF!,"AAAAAH8/5uQ=")</f>
        <v>#REF!</v>
      </c>
      <c r="HV4" t="e">
        <f>AND(#REF!,"AAAAAH8/5uU=")</f>
        <v>#REF!</v>
      </c>
      <c r="HW4" t="e">
        <f>AND(#REF!,"AAAAAH8/5uY=")</f>
        <v>#REF!</v>
      </c>
      <c r="HX4" t="e">
        <f>AND(#REF!,"AAAAAH8/5uc=")</f>
        <v>#REF!</v>
      </c>
      <c r="HY4" t="e">
        <f>IF(#REF!,"AAAAAH8/5ug=",0)</f>
        <v>#REF!</v>
      </c>
      <c r="HZ4" t="e">
        <f>AND(#REF!,"AAAAAH8/5uk=")</f>
        <v>#REF!</v>
      </c>
      <c r="IA4" t="e">
        <f>AND(#REF!,"AAAAAH8/5uo=")</f>
        <v>#REF!</v>
      </c>
      <c r="IB4" t="e">
        <f>AND(#REF!,"AAAAAH8/5us=")</f>
        <v>#REF!</v>
      </c>
      <c r="IC4" t="e">
        <f>AND(#REF!,"AAAAAH8/5uw=")</f>
        <v>#REF!</v>
      </c>
      <c r="ID4" t="e">
        <f>AND(#REF!,"AAAAAH8/5u0=")</f>
        <v>#REF!</v>
      </c>
      <c r="IE4" t="e">
        <f>AND(#REF!,"AAAAAH8/5u4=")</f>
        <v>#REF!</v>
      </c>
      <c r="IF4" t="e">
        <f>AND(#REF!,"AAAAAH8/5u8=")</f>
        <v>#REF!</v>
      </c>
      <c r="IG4" t="e">
        <f>IF(#REF!,"AAAAAH8/5vA=",0)</f>
        <v>#REF!</v>
      </c>
      <c r="IH4" t="e">
        <f>AND(#REF!,"AAAAAH8/5vE=")</f>
        <v>#REF!</v>
      </c>
      <c r="II4" t="e">
        <f>AND(#REF!,"AAAAAH8/5vI=")</f>
        <v>#REF!</v>
      </c>
      <c r="IJ4" t="e">
        <f>AND(#REF!,"AAAAAH8/5vM=")</f>
        <v>#REF!</v>
      </c>
      <c r="IK4" t="e">
        <f>AND(#REF!,"AAAAAH8/5vQ=")</f>
        <v>#REF!</v>
      </c>
      <c r="IL4" t="e">
        <f>AND(#REF!,"AAAAAH8/5vU=")</f>
        <v>#REF!</v>
      </c>
      <c r="IM4" t="e">
        <f>AND(#REF!,"AAAAAH8/5vY=")</f>
        <v>#REF!</v>
      </c>
      <c r="IN4" t="e">
        <f>AND(#REF!,"AAAAAH8/5vc=")</f>
        <v>#REF!</v>
      </c>
      <c r="IO4" t="e">
        <f>IF(#REF!,"AAAAAH8/5vg=",0)</f>
        <v>#REF!</v>
      </c>
      <c r="IP4" t="e">
        <f>AND(#REF!,"AAAAAH8/5vk=")</f>
        <v>#REF!</v>
      </c>
      <c r="IQ4" t="e">
        <f>AND(#REF!,"AAAAAH8/5vo=")</f>
        <v>#REF!</v>
      </c>
      <c r="IR4" t="e">
        <f>AND(#REF!,"AAAAAH8/5vs=")</f>
        <v>#REF!</v>
      </c>
      <c r="IS4" t="e">
        <f>AND(#REF!,"AAAAAH8/5vw=")</f>
        <v>#REF!</v>
      </c>
      <c r="IT4" t="e">
        <f>AND(#REF!,"AAAAAH8/5v0=")</f>
        <v>#REF!</v>
      </c>
      <c r="IU4" t="e">
        <f>AND(#REF!,"AAAAAH8/5v4=")</f>
        <v>#REF!</v>
      </c>
      <c r="IV4" t="e">
        <f>AND(#REF!,"AAAAAH8/5v8=")</f>
        <v>#REF!</v>
      </c>
    </row>
    <row r="5" spans="1:256">
      <c r="A5" t="e">
        <f>IF(#REF!,"AAAAADP3XgA=",0)</f>
        <v>#REF!</v>
      </c>
      <c r="B5" t="e">
        <f>AND(#REF!,"AAAAADP3XgE=")</f>
        <v>#REF!</v>
      </c>
      <c r="C5" t="e">
        <f>AND(#REF!,"AAAAADP3XgI=")</f>
        <v>#REF!</v>
      </c>
      <c r="D5" t="e">
        <f>AND(#REF!,"AAAAADP3XgM=")</f>
        <v>#REF!</v>
      </c>
      <c r="E5" t="e">
        <f>AND(#REF!,"AAAAADP3XgQ=")</f>
        <v>#REF!</v>
      </c>
      <c r="F5" t="e">
        <f>AND(#REF!,"AAAAADP3XgU=")</f>
        <v>#REF!</v>
      </c>
      <c r="G5" t="e">
        <f>AND(#REF!,"AAAAADP3XgY=")</f>
        <v>#REF!</v>
      </c>
      <c r="H5" t="e">
        <f>AND(#REF!,"AAAAADP3Xgc=")</f>
        <v>#REF!</v>
      </c>
      <c r="I5" t="e">
        <f>IF(#REF!,"AAAAADP3Xgg=",0)</f>
        <v>#REF!</v>
      </c>
      <c r="J5" t="e">
        <f>AND(#REF!,"AAAAADP3Xgk=")</f>
        <v>#REF!</v>
      </c>
      <c r="K5" t="e">
        <f>AND(#REF!,"AAAAADP3Xgo=")</f>
        <v>#REF!</v>
      </c>
      <c r="L5" t="e">
        <f>AND(#REF!,"AAAAADP3Xgs=")</f>
        <v>#REF!</v>
      </c>
      <c r="M5" t="e">
        <f>AND(#REF!,"AAAAADP3Xgw=")</f>
        <v>#REF!</v>
      </c>
      <c r="N5" t="e">
        <f>AND(#REF!,"AAAAADP3Xg0=")</f>
        <v>#REF!</v>
      </c>
      <c r="O5" t="e">
        <f>AND(#REF!,"AAAAADP3Xg4=")</f>
        <v>#REF!</v>
      </c>
      <c r="P5" t="e">
        <f>AND(#REF!,"AAAAADP3Xg8=")</f>
        <v>#REF!</v>
      </c>
      <c r="Q5" t="e">
        <f>IF(#REF!,"AAAAADP3XhA=",0)</f>
        <v>#REF!</v>
      </c>
      <c r="R5" t="e">
        <f>AND(#REF!,"AAAAADP3XhE=")</f>
        <v>#REF!</v>
      </c>
      <c r="S5" t="e">
        <f>AND(#REF!,"AAAAADP3XhI=")</f>
        <v>#REF!</v>
      </c>
      <c r="T5" t="e">
        <f>AND(#REF!,"AAAAADP3XhM=")</f>
        <v>#REF!</v>
      </c>
      <c r="U5" t="e">
        <f>AND(#REF!,"AAAAADP3XhQ=")</f>
        <v>#REF!</v>
      </c>
      <c r="V5" t="e">
        <f>AND(#REF!,"AAAAADP3XhU=")</f>
        <v>#REF!</v>
      </c>
      <c r="W5" t="e">
        <f>AND(#REF!,"AAAAADP3XhY=")</f>
        <v>#REF!</v>
      </c>
      <c r="X5" t="e">
        <f>AND(#REF!,"AAAAADP3Xhc=")</f>
        <v>#REF!</v>
      </c>
      <c r="Y5" t="e">
        <f>IF(#REF!,"AAAAADP3Xhg=",0)</f>
        <v>#REF!</v>
      </c>
      <c r="Z5" t="e">
        <f>AND(#REF!,"AAAAADP3Xhk=")</f>
        <v>#REF!</v>
      </c>
      <c r="AA5" t="e">
        <f>AND(#REF!,"AAAAADP3Xho=")</f>
        <v>#REF!</v>
      </c>
      <c r="AB5" t="e">
        <f>AND(#REF!,"AAAAADP3Xhs=")</f>
        <v>#REF!</v>
      </c>
      <c r="AC5" t="e">
        <f>AND(#REF!,"AAAAADP3Xhw=")</f>
        <v>#REF!</v>
      </c>
      <c r="AD5" t="e">
        <f>AND(#REF!,"AAAAADP3Xh0=")</f>
        <v>#REF!</v>
      </c>
      <c r="AE5" t="e">
        <f>AND(#REF!,"AAAAADP3Xh4=")</f>
        <v>#REF!</v>
      </c>
      <c r="AF5" t="e">
        <f>AND(#REF!,"AAAAADP3Xh8=")</f>
        <v>#REF!</v>
      </c>
      <c r="AG5" t="e">
        <f>IF(#REF!,"AAAAADP3XiA=",0)</f>
        <v>#REF!</v>
      </c>
      <c r="AH5" t="e">
        <f>AND(#REF!,"AAAAADP3XiE=")</f>
        <v>#REF!</v>
      </c>
      <c r="AI5" t="e">
        <f>AND(#REF!,"AAAAADP3XiI=")</f>
        <v>#REF!</v>
      </c>
      <c r="AJ5" t="e">
        <f>AND(#REF!,"AAAAADP3XiM=")</f>
        <v>#REF!</v>
      </c>
      <c r="AK5" t="e">
        <f>AND(#REF!,"AAAAADP3XiQ=")</f>
        <v>#REF!</v>
      </c>
      <c r="AL5" t="e">
        <f>AND(#REF!,"AAAAADP3XiU=")</f>
        <v>#REF!</v>
      </c>
      <c r="AM5" t="e">
        <f>AND(#REF!,"AAAAADP3XiY=")</f>
        <v>#REF!</v>
      </c>
      <c r="AN5" t="e">
        <f>AND(#REF!,"AAAAADP3Xic=")</f>
        <v>#REF!</v>
      </c>
      <c r="AO5" t="e">
        <f>IF(#REF!,"AAAAADP3Xig=",0)</f>
        <v>#REF!</v>
      </c>
      <c r="AP5" t="e">
        <f>AND(#REF!,"AAAAADP3Xik=")</f>
        <v>#REF!</v>
      </c>
      <c r="AQ5" t="e">
        <f>AND(#REF!,"AAAAADP3Xio=")</f>
        <v>#REF!</v>
      </c>
      <c r="AR5" t="e">
        <f>AND(#REF!,"AAAAADP3Xis=")</f>
        <v>#REF!</v>
      </c>
      <c r="AS5" t="e">
        <f>AND(#REF!,"AAAAADP3Xiw=")</f>
        <v>#REF!</v>
      </c>
      <c r="AT5" t="e">
        <f>AND(#REF!,"AAAAADP3Xi0=")</f>
        <v>#REF!</v>
      </c>
      <c r="AU5" t="e">
        <f>AND(#REF!,"AAAAADP3Xi4=")</f>
        <v>#REF!</v>
      </c>
      <c r="AV5" t="e">
        <f>AND(#REF!,"AAAAADP3Xi8=")</f>
        <v>#REF!</v>
      </c>
      <c r="AW5" t="e">
        <f>IF(#REF!,"AAAAADP3XjA=",0)</f>
        <v>#REF!</v>
      </c>
      <c r="AX5" t="e">
        <f>AND(#REF!,"AAAAADP3XjE=")</f>
        <v>#REF!</v>
      </c>
      <c r="AY5" t="e">
        <f>AND(#REF!,"AAAAADP3XjI=")</f>
        <v>#REF!</v>
      </c>
      <c r="AZ5" t="e">
        <f>AND(#REF!,"AAAAADP3XjM=")</f>
        <v>#REF!</v>
      </c>
      <c r="BA5" t="e">
        <f>AND(#REF!,"AAAAADP3XjQ=")</f>
        <v>#REF!</v>
      </c>
      <c r="BB5" t="e">
        <f>AND(#REF!,"AAAAADP3XjU=")</f>
        <v>#REF!</v>
      </c>
      <c r="BC5" t="e">
        <f>AND(#REF!,"AAAAADP3XjY=")</f>
        <v>#REF!</v>
      </c>
      <c r="BD5" t="e">
        <f>AND(#REF!,"AAAAADP3Xjc=")</f>
        <v>#REF!</v>
      </c>
      <c r="BE5" t="e">
        <f>IF(#REF!,"AAAAADP3Xjg=",0)</f>
        <v>#REF!</v>
      </c>
      <c r="BF5" t="e">
        <f>AND(#REF!,"AAAAADP3Xjk=")</f>
        <v>#REF!</v>
      </c>
      <c r="BG5" t="e">
        <f>AND(#REF!,"AAAAADP3Xjo=")</f>
        <v>#REF!</v>
      </c>
      <c r="BH5" t="e">
        <f>AND(#REF!,"AAAAADP3Xjs=")</f>
        <v>#REF!</v>
      </c>
      <c r="BI5" t="e">
        <f>AND(#REF!,"AAAAADP3Xjw=")</f>
        <v>#REF!</v>
      </c>
      <c r="BJ5" t="e">
        <f>AND(#REF!,"AAAAADP3Xj0=")</f>
        <v>#REF!</v>
      </c>
      <c r="BK5" t="e">
        <f>AND(#REF!,"AAAAADP3Xj4=")</f>
        <v>#REF!</v>
      </c>
      <c r="BL5" t="e">
        <f>AND(#REF!,"AAAAADP3Xj8=")</f>
        <v>#REF!</v>
      </c>
      <c r="BM5" t="e">
        <f>IF(#REF!,"AAAAADP3XkA=",0)</f>
        <v>#REF!</v>
      </c>
      <c r="BN5" t="e">
        <f>AND(#REF!,"AAAAADP3XkE=")</f>
        <v>#REF!</v>
      </c>
      <c r="BO5" t="e">
        <f>AND(#REF!,"AAAAADP3XkI=")</f>
        <v>#REF!</v>
      </c>
      <c r="BP5" t="e">
        <f>AND(#REF!,"AAAAADP3XkM=")</f>
        <v>#REF!</v>
      </c>
      <c r="BQ5" t="e">
        <f>AND(#REF!,"AAAAADP3XkQ=")</f>
        <v>#REF!</v>
      </c>
      <c r="BR5" t="e">
        <f>AND(#REF!,"AAAAADP3XkU=")</f>
        <v>#REF!</v>
      </c>
      <c r="BS5" t="e">
        <f>AND(#REF!,"AAAAADP3XkY=")</f>
        <v>#REF!</v>
      </c>
      <c r="BT5" t="e">
        <f>AND(#REF!,"AAAAADP3Xkc=")</f>
        <v>#REF!</v>
      </c>
      <c r="BU5" t="e">
        <f>IF(#REF!,"AAAAADP3Xkg=",0)</f>
        <v>#REF!</v>
      </c>
      <c r="BV5" t="e">
        <f>IF(#REF!,"AAAAADP3Xkk=",0)</f>
        <v>#REF!</v>
      </c>
      <c r="BW5" t="e">
        <f>IF(#REF!,"AAAAADP3Xko=",0)</f>
        <v>#REF!</v>
      </c>
      <c r="BX5" t="e">
        <f>IF(#REF!,"AAAAADP3Xks=",0)</f>
        <v>#REF!</v>
      </c>
      <c r="BY5" t="e">
        <f>IF(#REF!,"AAAAADP3Xkw=",0)</f>
        <v>#REF!</v>
      </c>
      <c r="BZ5" t="e">
        <f>IF(#REF!,"AAAAADP3Xk0=",0)</f>
        <v>#REF!</v>
      </c>
      <c r="CA5" t="e">
        <f>IF(#REF!,"AAAAADP3Xk4=",0)</f>
        <v>#REF!</v>
      </c>
      <c r="CB5" t="e">
        <f>IF(#REF!,"AAAAADP3Xk8=",0)</f>
        <v>#REF!</v>
      </c>
      <c r="CC5" t="e">
        <f>IF(#REF!,"AAAAADP3XlA=",0)</f>
        <v>#REF!</v>
      </c>
      <c r="CD5" t="e">
        <f>IF(#REF!,"AAAAADP3XlE=",0)</f>
        <v>#REF!</v>
      </c>
      <c r="CE5" t="e">
        <f>IF(#REF!,"AAAAADP3XlI=",0)</f>
        <v>#REF!</v>
      </c>
      <c r="CF5" t="e">
        <f>IF(#REF!,"AAAAADP3XlM=",0)</f>
        <v>#REF!</v>
      </c>
      <c r="CG5" t="e">
        <f>IF(#REF!,"AAAAADP3XlQ=",0)</f>
        <v>#REF!</v>
      </c>
      <c r="CH5" t="e">
        <f>IF(#REF!,"AAAAADP3XlU=",0)</f>
        <v>#REF!</v>
      </c>
      <c r="CI5" t="e">
        <f>IF(#REF!,"AAAAADP3XlY=",0)</f>
        <v>#REF!</v>
      </c>
      <c r="CJ5" t="e">
        <f>IF(#REF!,"AAAAADP3Xlc=",0)</f>
        <v>#REF!</v>
      </c>
      <c r="CK5" t="e">
        <f>IF(#REF!,"AAAAADP3Xlg=",0)</f>
        <v>#REF!</v>
      </c>
      <c r="CL5" t="e">
        <f>IF(#REF!,"AAAAADP3Xlk=",0)</f>
        <v>#REF!</v>
      </c>
      <c r="CM5" t="e">
        <f>IF(#REF!,"AAAAADP3Xlo=",0)</f>
        <v>#REF!</v>
      </c>
      <c r="CN5" t="e">
        <f>IF(#REF!,"AAAAADP3Xls=",0)</f>
        <v>#REF!</v>
      </c>
      <c r="CO5" t="e">
        <f>IF(#REF!,"AAAAADP3Xlw=",0)</f>
        <v>#REF!</v>
      </c>
      <c r="CP5" t="e">
        <f>IF(#REF!,"AAAAADP3Xl0=",0)</f>
        <v>#REF!</v>
      </c>
      <c r="CQ5" t="e">
        <f>IF(#REF!,"AAAAADP3Xl4=",0)</f>
        <v>#REF!</v>
      </c>
      <c r="CR5" t="e">
        <f>IF(#REF!,"AAAAADP3Xl8=",0)</f>
        <v>#REF!</v>
      </c>
      <c r="CS5" t="e">
        <f>IF(#REF!,"AAAAADP3XmA=",0)</f>
        <v>#REF!</v>
      </c>
      <c r="CT5" t="e">
        <f>IF(#REF!,"AAAAADP3XmE=",0)</f>
        <v>#REF!</v>
      </c>
      <c r="CU5" t="e">
        <f>IF(#REF!,"AAAAADP3XmI=",0)</f>
        <v>#REF!</v>
      </c>
      <c r="CV5" t="e">
        <f>IF(#REF!,"AAAAADP3XmM=",0)</f>
        <v>#REF!</v>
      </c>
      <c r="CW5" t="e">
        <f>IF(#REF!,"AAAAADP3XmQ=",0)</f>
        <v>#REF!</v>
      </c>
      <c r="CX5" t="e">
        <f>IF(#REF!,"AAAAADP3XmU=",0)</f>
        <v>#REF!</v>
      </c>
      <c r="CY5" t="e">
        <f>IF(#REF!,"AAAAADP3XmY=",0)</f>
        <v>#REF!</v>
      </c>
      <c r="CZ5" t="e">
        <f>IF(#REF!,"AAAAADP3Xmc=",0)</f>
        <v>#REF!</v>
      </c>
      <c r="DA5" t="e">
        <f>IF(#REF!,"AAAAADP3Xmg=",0)</f>
        <v>#REF!</v>
      </c>
      <c r="DB5" t="e">
        <f>IF(#REF!,"AAAAADP3Xmk=",0)</f>
        <v>#REF!</v>
      </c>
      <c r="DC5" t="e">
        <f>IF(#REF!,"AAAAADP3Xmo=",0)</f>
        <v>#REF!</v>
      </c>
      <c r="DD5" t="e">
        <f>IF(#REF!,"AAAAADP3Xms=",0)</f>
        <v>#REF!</v>
      </c>
      <c r="DE5" t="e">
        <f>IF(#REF!,"AAAAADP3Xmw=",0)</f>
        <v>#REF!</v>
      </c>
      <c r="DF5" t="e">
        <f>IF(#REF!,"AAAAADP3Xm0=",0)</f>
        <v>#REF!</v>
      </c>
      <c r="DG5" t="e">
        <f>IF(#REF!,"AAAAADP3Xm4=",0)</f>
        <v>#REF!</v>
      </c>
      <c r="DH5" t="e">
        <f>IF(#REF!,"AAAAADP3Xm8=",0)</f>
        <v>#REF!</v>
      </c>
      <c r="DI5" t="e">
        <f>IF(#REF!,"AAAAADP3XnA=",0)</f>
        <v>#REF!</v>
      </c>
      <c r="DJ5" t="e">
        <f>IF(#REF!,"AAAAADP3XnE=",0)</f>
        <v>#REF!</v>
      </c>
      <c r="DK5" t="e">
        <f>IF(#REF!,"AAAAADP3XnI=",0)</f>
        <v>#REF!</v>
      </c>
      <c r="DL5" t="e">
        <f>IF(#REF!,"AAAAADP3XnM=",0)</f>
        <v>#REF!</v>
      </c>
      <c r="DM5" t="e">
        <f>IF(#REF!,"AAAAADP3XnQ=",0)</f>
        <v>#REF!</v>
      </c>
      <c r="DN5" t="e">
        <f>IF(#REF!,"AAAAADP3XnU=",0)</f>
        <v>#REF!</v>
      </c>
      <c r="DO5" t="e">
        <f>IF(#REF!,"AAAAADP3XnY=",0)</f>
        <v>#REF!</v>
      </c>
      <c r="DP5" t="e">
        <f>IF(#REF!,"AAAAADP3Xnc=",0)</f>
        <v>#REF!</v>
      </c>
      <c r="DQ5" t="e">
        <f>IF(#REF!,"AAAAADP3Xng=",0)</f>
        <v>#REF!</v>
      </c>
      <c r="DR5" t="e">
        <f>IF(#REF!,"AAAAADP3Xnk=",0)</f>
        <v>#REF!</v>
      </c>
      <c r="DS5" t="e">
        <f>IF(#REF!,"AAAAADP3Xno=",0)</f>
        <v>#REF!</v>
      </c>
      <c r="DT5" t="e">
        <f>IF(#REF!,"AAAAADP3Xns=",0)</f>
        <v>#REF!</v>
      </c>
      <c r="DU5" t="e">
        <f>IF(#REF!,"AAAAADP3Xnw=",0)</f>
        <v>#REF!</v>
      </c>
      <c r="DV5" t="e">
        <f>IF(#REF!,"AAAAADP3Xn0=",0)</f>
        <v>#REF!</v>
      </c>
      <c r="DW5" t="e">
        <f>IF(#REF!,"AAAAADP3Xn4=",0)</f>
        <v>#REF!</v>
      </c>
      <c r="DX5" t="e">
        <f>IF(#REF!,"AAAAADP3Xn8=",0)</f>
        <v>#REF!</v>
      </c>
      <c r="DY5" t="e">
        <f>IF(#REF!,"AAAAADP3XoA=",0)</f>
        <v>#REF!</v>
      </c>
      <c r="DZ5" t="e">
        <f>IF(#REF!,"AAAAADP3XoE=",0)</f>
        <v>#REF!</v>
      </c>
      <c r="EA5" t="e">
        <f>IF(#REF!,"AAAAADP3XoI=",0)</f>
        <v>#REF!</v>
      </c>
      <c r="EB5" t="e">
        <f>IF(#REF!,"AAAAADP3XoM=",0)</f>
        <v>#REF!</v>
      </c>
      <c r="EC5" t="e">
        <f>IF(#REF!,"AAAAADP3XoQ=",0)</f>
        <v>#REF!</v>
      </c>
      <c r="ED5" t="e">
        <f>IF(#REF!,"AAAAADP3XoU=",0)</f>
        <v>#REF!</v>
      </c>
      <c r="EE5" t="e">
        <f>IF(#REF!,"AAAAADP3XoY=",0)</f>
        <v>#REF!</v>
      </c>
      <c r="EF5" t="e">
        <f>IF(#REF!,"AAAAADP3Xoc=",0)</f>
        <v>#REF!</v>
      </c>
      <c r="EG5" t="e">
        <f>IF(#REF!,"AAAAADP3Xog=",0)</f>
        <v>#REF!</v>
      </c>
      <c r="EH5" t="e">
        <f>IF(#REF!,"AAAAADP3Xok=",0)</f>
        <v>#REF!</v>
      </c>
      <c r="EI5" t="e">
        <f>IF(#REF!,"AAAAADP3Xoo=",0)</f>
        <v>#REF!</v>
      </c>
      <c r="EJ5" t="e">
        <f>IF(#REF!,"AAAAADP3Xos=",0)</f>
        <v>#REF!</v>
      </c>
      <c r="EK5" t="e">
        <f>IF(#REF!,"AAAAADP3Xow=",0)</f>
        <v>#REF!</v>
      </c>
      <c r="EL5" t="e">
        <f>IF(#REF!,"AAAAADP3Xo0=",0)</f>
        <v>#REF!</v>
      </c>
      <c r="EM5" t="e">
        <f>IF(#REF!,"AAAAADP3Xo4=",0)</f>
        <v>#REF!</v>
      </c>
      <c r="EN5" t="e">
        <f>IF(#REF!,"AAAAADP3Xo8=",0)</f>
        <v>#REF!</v>
      </c>
      <c r="EO5" t="e">
        <f>IF(#REF!,"AAAAADP3XpA=",0)</f>
        <v>#REF!</v>
      </c>
      <c r="EP5" t="e">
        <f>IF(#REF!,"AAAAADP3XpE=",0)</f>
        <v>#REF!</v>
      </c>
      <c r="EQ5" t="e">
        <f>IF(#REF!,"AAAAADP3XpI=",0)</f>
        <v>#REF!</v>
      </c>
      <c r="ER5" t="e">
        <f>IF(#REF!,"AAAAADP3XpM=",0)</f>
        <v>#REF!</v>
      </c>
      <c r="ES5" t="e">
        <f>IF(#REF!,"AAAAADP3XpQ=",0)</f>
        <v>#REF!</v>
      </c>
      <c r="ET5" t="e">
        <f>IF(#REF!,"AAAAADP3XpU=",0)</f>
        <v>#REF!</v>
      </c>
      <c r="EU5" t="e">
        <f>IF(#REF!,"AAAAADP3XpY=",0)</f>
        <v>#REF!</v>
      </c>
      <c r="EV5" t="e">
        <f>IF(#REF!,"AAAAADP3Xpc=",0)</f>
        <v>#REF!</v>
      </c>
      <c r="EW5" t="e">
        <f>IF(#REF!,"AAAAADP3Xpg=",0)</f>
        <v>#REF!</v>
      </c>
      <c r="EX5" t="e">
        <f>IF(#REF!,"AAAAADP3Xpk=",0)</f>
        <v>#REF!</v>
      </c>
      <c r="EY5" t="e">
        <f>IF(#REF!,"AAAAADP3Xpo=",0)</f>
        <v>#REF!</v>
      </c>
      <c r="EZ5" t="e">
        <f>IF(#REF!,"AAAAADP3Xps=",0)</f>
        <v>#REF!</v>
      </c>
      <c r="FA5" t="e">
        <f>IF(#REF!,"AAAAADP3Xpw=",0)</f>
        <v>#REF!</v>
      </c>
      <c r="FB5" t="e">
        <f>IF(#REF!,"AAAAADP3Xp0=",0)</f>
        <v>#REF!</v>
      </c>
      <c r="FC5" t="e">
        <f>IF(#REF!,"AAAAADP3Xp4=",0)</f>
        <v>#REF!</v>
      </c>
      <c r="FD5" t="e">
        <f>IF(#REF!,"AAAAADP3Xp8=",0)</f>
        <v>#REF!</v>
      </c>
      <c r="FE5" t="e">
        <f>IF(#REF!,"AAAAADP3XqA=",0)</f>
        <v>#REF!</v>
      </c>
      <c r="FF5" t="e">
        <f>IF(#REF!,"AAAAADP3XqE=",0)</f>
        <v>#REF!</v>
      </c>
      <c r="FG5" t="e">
        <f>IF(#REF!,"AAAAADP3XqI=",0)</f>
        <v>#REF!</v>
      </c>
      <c r="FH5" t="e">
        <f>IF(#REF!,"AAAAADP3XqM=",0)</f>
        <v>#REF!</v>
      </c>
      <c r="FI5" t="e">
        <f>IF(#REF!,"AAAAADP3XqQ=",0)</f>
        <v>#REF!</v>
      </c>
      <c r="FJ5" t="e">
        <f>IF(#REF!,"AAAAADP3XqU=",0)</f>
        <v>#REF!</v>
      </c>
      <c r="FK5" t="e">
        <f>IF(#REF!,"AAAAADP3XqY=",0)</f>
        <v>#REF!</v>
      </c>
      <c r="FL5" t="e">
        <f>IF(#REF!,"AAAAADP3Xqc=",0)</f>
        <v>#REF!</v>
      </c>
      <c r="FM5" t="e">
        <f>IF(#REF!,"AAAAADP3Xqg=",0)</f>
        <v>#REF!</v>
      </c>
      <c r="FN5" t="e">
        <f>IF(#REF!,"AAAAADP3Xqk=",0)</f>
        <v>#REF!</v>
      </c>
      <c r="FO5" t="e">
        <f>IF(#REF!,"AAAAADP3Xqo=",0)</f>
        <v>#REF!</v>
      </c>
      <c r="FP5" t="e">
        <f>IF(#REF!,"AAAAADP3Xqs=",0)</f>
        <v>#REF!</v>
      </c>
      <c r="FQ5" t="e">
        <f>IF(#REF!,"AAAAADP3Xqw=",0)</f>
        <v>#REF!</v>
      </c>
      <c r="FR5" t="e">
        <f>IF(#REF!,"AAAAADP3Xq0=",0)</f>
        <v>#REF!</v>
      </c>
      <c r="FS5" t="e">
        <f>IF(#REF!,"AAAAADP3Xq4=",0)</f>
        <v>#REF!</v>
      </c>
      <c r="FT5" t="e">
        <f>IF(#REF!,"AAAAADP3Xq8=",0)</f>
        <v>#REF!</v>
      </c>
      <c r="FU5" t="e">
        <f>IF(#REF!,"AAAAADP3XrA=",0)</f>
        <v>#REF!</v>
      </c>
      <c r="FV5" t="e">
        <f>IF(#REF!,"AAAAADP3XrE=",0)</f>
        <v>#REF!</v>
      </c>
      <c r="FW5" t="e">
        <f>IF(#REF!,"AAAAADP3XrI=",0)</f>
        <v>#REF!</v>
      </c>
      <c r="FX5" t="e">
        <f>IF(#REF!,"AAAAADP3XrM=",0)</f>
        <v>#REF!</v>
      </c>
      <c r="FY5" t="e">
        <f>IF(#REF!,"AAAAADP3XrQ=",0)</f>
        <v>#REF!</v>
      </c>
      <c r="FZ5" t="e">
        <f>IF(#REF!,"AAAAADP3XrU=",0)</f>
        <v>#REF!</v>
      </c>
      <c r="GA5" t="e">
        <f>IF(#REF!,"AAAAADP3XrY=",0)</f>
        <v>#REF!</v>
      </c>
      <c r="GB5" t="e">
        <f>IF(#REF!,"AAAAADP3Xrc=",0)</f>
        <v>#REF!</v>
      </c>
      <c r="GC5" t="e">
        <f>IF(#REF!,"AAAAADP3Xrg=",0)</f>
        <v>#REF!</v>
      </c>
      <c r="GD5" t="e">
        <f>IF(#REF!,"AAAAADP3Xrk=",0)</f>
        <v>#REF!</v>
      </c>
      <c r="GE5" t="e">
        <f>IF(#REF!,"AAAAADP3Xro=",0)</f>
        <v>#REF!</v>
      </c>
      <c r="GF5" t="e">
        <f>IF(#REF!,"AAAAADP3Xrs=",0)</f>
        <v>#REF!</v>
      </c>
      <c r="GG5" t="e">
        <f>IF(#REF!,"AAAAADP3Xrw=",0)</f>
        <v>#REF!</v>
      </c>
      <c r="GH5" t="e">
        <f>IF(#REF!,"AAAAADP3Xr0=",0)</f>
        <v>#REF!</v>
      </c>
      <c r="GI5" t="e">
        <f>IF(#REF!,"AAAAADP3Xr4=",0)</f>
        <v>#REF!</v>
      </c>
      <c r="GJ5" t="e">
        <f>IF(#REF!,"AAAAADP3Xr8=",0)</f>
        <v>#REF!</v>
      </c>
      <c r="GK5" t="e">
        <f>IF(#REF!,"AAAAADP3XsA=",0)</f>
        <v>#REF!</v>
      </c>
      <c r="GL5" t="e">
        <f>IF(#REF!,"AAAAADP3XsE=",0)</f>
        <v>#REF!</v>
      </c>
      <c r="GM5" t="e">
        <f>IF(#REF!,"AAAAADP3XsI=",0)</f>
        <v>#REF!</v>
      </c>
      <c r="GN5" t="e">
        <f>IF(#REF!,"AAAAADP3XsM=",0)</f>
        <v>#REF!</v>
      </c>
      <c r="GO5" t="e">
        <f>IF(#REF!,"AAAAADP3XsQ=",0)</f>
        <v>#REF!</v>
      </c>
      <c r="GP5" t="e">
        <f>IF(#REF!,"AAAAADP3XsU=",0)</f>
        <v>#REF!</v>
      </c>
      <c r="GQ5" t="e">
        <f>IF(#REF!,"AAAAADP3XsY=",0)</f>
        <v>#REF!</v>
      </c>
      <c r="GR5">
        <f>IF('Plugs, Leads and Adaptors'!2:2,"AAAAADP3Xsc=",0)</f>
        <v>0</v>
      </c>
      <c r="GS5" t="e">
        <f>AND('Plugs, Leads and Adaptors'!A2,"AAAAADP3Xsg=")</f>
        <v>#VALUE!</v>
      </c>
      <c r="GT5" t="e">
        <f>AND('Plugs, Leads and Adaptors'!C2,"AAAAADP3Xsk=")</f>
        <v>#VALUE!</v>
      </c>
      <c r="GU5" t="e">
        <f>AND('Plugs, Leads and Adaptors'!D2,"AAAAADP3Xso=")</f>
        <v>#VALUE!</v>
      </c>
      <c r="GV5">
        <f>IF('Plugs, Leads and Adaptors'!5:5,"AAAAADP3Xss=",0)</f>
        <v>0</v>
      </c>
      <c r="GW5" t="e">
        <f>AND('Plugs, Leads and Adaptors'!A5,"AAAAADP3Xsw=")</f>
        <v>#VALUE!</v>
      </c>
      <c r="GX5" t="e">
        <f>AND('Plugs, Leads and Adaptors'!C5,"AAAAADP3Xs0=")</f>
        <v>#VALUE!</v>
      </c>
      <c r="GY5" t="e">
        <f>AND('Plugs, Leads and Adaptors'!D5,"AAAAADP3Xs4=")</f>
        <v>#VALUE!</v>
      </c>
      <c r="GZ5">
        <f>IF('Plugs, Leads and Adaptors'!6:6,"AAAAADP3Xs8=",0)</f>
        <v>0</v>
      </c>
      <c r="HA5" t="e">
        <f>AND('Plugs, Leads and Adaptors'!A6,"AAAAADP3XtA=")</f>
        <v>#VALUE!</v>
      </c>
      <c r="HB5" t="e">
        <f>AND('Plugs, Leads and Adaptors'!C6,"AAAAADP3XtE=")</f>
        <v>#VALUE!</v>
      </c>
      <c r="HC5" t="e">
        <f>AND('Plugs, Leads and Adaptors'!D6,"AAAAADP3XtI=")</f>
        <v>#VALUE!</v>
      </c>
      <c r="HD5">
        <f>IF('Plugs, Leads and Adaptors'!7:7,"AAAAADP3XtM=",0)</f>
        <v>0</v>
      </c>
      <c r="HE5" t="e">
        <f>AND('Plugs, Leads and Adaptors'!A7,"AAAAADP3XtQ=")</f>
        <v>#VALUE!</v>
      </c>
      <c r="HF5" t="e">
        <f>AND('Plugs, Leads and Adaptors'!C7,"AAAAADP3XtU=")</f>
        <v>#VALUE!</v>
      </c>
      <c r="HG5" t="e">
        <f>AND('Plugs, Leads and Adaptors'!D7,"AAAAADP3XtY=")</f>
        <v>#VALUE!</v>
      </c>
      <c r="HH5">
        <f>IF('Plugs, Leads and Adaptors'!8:8,"AAAAADP3Xtc=",0)</f>
        <v>0</v>
      </c>
      <c r="HI5" t="e">
        <f>AND('Plugs, Leads and Adaptors'!A8,"AAAAADP3Xtg=")</f>
        <v>#VALUE!</v>
      </c>
      <c r="HJ5" t="e">
        <f>AND('Plugs, Leads and Adaptors'!C8,"AAAAADP3Xtk=")</f>
        <v>#VALUE!</v>
      </c>
      <c r="HK5" t="e">
        <f>AND('Plugs, Leads and Adaptors'!D8,"AAAAADP3Xto=")</f>
        <v>#VALUE!</v>
      </c>
      <c r="HL5">
        <f>IF('Plugs, Leads and Adaptors'!9:9,"AAAAADP3Xts=",0)</f>
        <v>0</v>
      </c>
      <c r="HM5" t="e">
        <f>AND('Plugs, Leads and Adaptors'!A9,"AAAAADP3Xtw=")</f>
        <v>#VALUE!</v>
      </c>
      <c r="HN5" t="e">
        <f>AND('Plugs, Leads and Adaptors'!C9,"AAAAADP3Xt0=")</f>
        <v>#VALUE!</v>
      </c>
      <c r="HO5" t="e">
        <f>AND('Plugs, Leads and Adaptors'!D9,"AAAAADP3Xt4=")</f>
        <v>#VALUE!</v>
      </c>
      <c r="HP5">
        <f>IF('Plugs, Leads and Adaptors'!10:10,"AAAAADP3Xt8=",0)</f>
        <v>0</v>
      </c>
      <c r="HQ5" t="e">
        <f>AND('Plugs, Leads and Adaptors'!A10,"AAAAADP3XuA=")</f>
        <v>#VALUE!</v>
      </c>
      <c r="HR5" t="e">
        <f>AND('Plugs, Leads and Adaptors'!C10,"AAAAADP3XuE=")</f>
        <v>#VALUE!</v>
      </c>
      <c r="HS5" t="e">
        <f>AND('Plugs, Leads and Adaptors'!D10,"AAAAADP3XuI=")</f>
        <v>#VALUE!</v>
      </c>
      <c r="HT5">
        <f>IF('Plugs, Leads and Adaptors'!11:11,"AAAAADP3XuM=",0)</f>
        <v>0</v>
      </c>
      <c r="HU5" t="e">
        <f>AND('Plugs, Leads and Adaptors'!A11,"AAAAADP3XuQ=")</f>
        <v>#VALUE!</v>
      </c>
      <c r="HV5" t="e">
        <f>AND('Plugs, Leads and Adaptors'!C11,"AAAAADP3XuU=")</f>
        <v>#VALUE!</v>
      </c>
      <c r="HW5" t="e">
        <f>AND('Plugs, Leads and Adaptors'!D11,"AAAAADP3XuY=")</f>
        <v>#VALUE!</v>
      </c>
      <c r="HX5">
        <f>IF('Plugs, Leads and Adaptors'!12:12,"AAAAADP3Xuc=",0)</f>
        <v>0</v>
      </c>
      <c r="HY5" t="e">
        <f>AND('Plugs, Leads and Adaptors'!A12,"AAAAADP3Xug=")</f>
        <v>#VALUE!</v>
      </c>
      <c r="HZ5" t="e">
        <f>AND('Plugs, Leads and Adaptors'!C12,"AAAAADP3Xuk=")</f>
        <v>#VALUE!</v>
      </c>
      <c r="IA5" t="e">
        <f>AND('Plugs, Leads and Adaptors'!D12,"AAAAADP3Xuo=")</f>
        <v>#VALUE!</v>
      </c>
      <c r="IB5">
        <f>IF('Plugs, Leads and Adaptors'!13:13,"AAAAADP3Xus=",0)</f>
        <v>0</v>
      </c>
      <c r="IC5" t="e">
        <f>AND('Plugs, Leads and Adaptors'!A13,"AAAAADP3Xuw=")</f>
        <v>#VALUE!</v>
      </c>
      <c r="ID5" t="e">
        <f>AND('Plugs, Leads and Adaptors'!C13,"AAAAADP3Xu0=")</f>
        <v>#VALUE!</v>
      </c>
      <c r="IE5" t="e">
        <f>AND('Plugs, Leads and Adaptors'!D13,"AAAAADP3Xu4=")</f>
        <v>#VALUE!</v>
      </c>
      <c r="IF5">
        <f>IF('Plugs, Leads and Adaptors'!16:16,"AAAAADP3Xu8=",0)</f>
        <v>0</v>
      </c>
      <c r="IG5" t="e">
        <f>AND('Plugs, Leads and Adaptors'!A16,"AAAAADP3XvA=")</f>
        <v>#VALUE!</v>
      </c>
      <c r="IH5" t="e">
        <f>AND('Plugs, Leads and Adaptors'!C16,"AAAAADP3XvE=")</f>
        <v>#VALUE!</v>
      </c>
      <c r="II5" t="e">
        <f>AND('Plugs, Leads and Adaptors'!D16,"AAAAADP3XvI=")</f>
        <v>#VALUE!</v>
      </c>
      <c r="IJ5">
        <f>IF('Plugs, Leads and Adaptors'!17:17,"AAAAADP3XvM=",0)</f>
        <v>0</v>
      </c>
      <c r="IK5" t="e">
        <f>AND('Plugs, Leads and Adaptors'!A17,"AAAAADP3XvQ=")</f>
        <v>#VALUE!</v>
      </c>
      <c r="IL5" t="e">
        <f>AND('Plugs, Leads and Adaptors'!C17,"AAAAADP3XvU=")</f>
        <v>#VALUE!</v>
      </c>
      <c r="IM5" t="e">
        <f>AND('Plugs, Leads and Adaptors'!D17,"AAAAADP3XvY=")</f>
        <v>#VALUE!</v>
      </c>
      <c r="IN5">
        <f>IF('Plugs, Leads and Adaptors'!18:18,"AAAAADP3Xvc=",0)</f>
        <v>0</v>
      </c>
      <c r="IO5" t="e">
        <f>AND('Plugs, Leads and Adaptors'!A18,"AAAAADP3Xvg=")</f>
        <v>#VALUE!</v>
      </c>
      <c r="IP5" t="e">
        <f>AND('Plugs, Leads and Adaptors'!C18,"AAAAADP3Xvk=")</f>
        <v>#VALUE!</v>
      </c>
      <c r="IQ5" t="e">
        <f>AND('Plugs, Leads and Adaptors'!D18,"AAAAADP3Xvo=")</f>
        <v>#VALUE!</v>
      </c>
      <c r="IR5">
        <f>IF('Plugs, Leads and Adaptors'!21:21,"AAAAADP3Xvs=",0)</f>
        <v>0</v>
      </c>
      <c r="IS5" t="e">
        <f>AND('Plugs, Leads and Adaptors'!A21,"AAAAADP3Xvw=")</f>
        <v>#VALUE!</v>
      </c>
      <c r="IT5" t="e">
        <f>AND('Plugs, Leads and Adaptors'!C21,"AAAAADP3Xv0=")</f>
        <v>#VALUE!</v>
      </c>
      <c r="IU5" t="e">
        <f>AND('Plugs, Leads and Adaptors'!D21,"AAAAADP3Xv4=")</f>
        <v>#VALUE!</v>
      </c>
      <c r="IV5">
        <f>IF('Plugs, Leads and Adaptors'!22:22,"AAAAADP3Xv8=",0)</f>
        <v>0</v>
      </c>
    </row>
    <row r="6" spans="1:256">
      <c r="A6" t="e">
        <f>AND('Plugs, Leads and Adaptors'!A22,"AAAAAD8/rwA=")</f>
        <v>#VALUE!</v>
      </c>
      <c r="B6" t="e">
        <f>AND('Plugs, Leads and Adaptors'!C22,"AAAAAD8/rwE=")</f>
        <v>#VALUE!</v>
      </c>
      <c r="C6" t="e">
        <f>AND('Plugs, Leads and Adaptors'!D22,"AAAAAD8/rwI=")</f>
        <v>#VALUE!</v>
      </c>
      <c r="D6" t="str">
        <f>IF('Plugs, Leads and Adaptors'!23:23,"AAAAAD8/rwM=",0)</f>
        <v>AAAAAD8/rwM=</v>
      </c>
      <c r="E6" t="e">
        <f>AND('Plugs, Leads and Adaptors'!A23,"AAAAAD8/rwQ=")</f>
        <v>#VALUE!</v>
      </c>
      <c r="F6" t="e">
        <f>AND('Plugs, Leads and Adaptors'!C23,"AAAAAD8/rwU=")</f>
        <v>#VALUE!</v>
      </c>
      <c r="G6" t="e">
        <f>AND('Plugs, Leads and Adaptors'!D23,"AAAAAD8/rwY=")</f>
        <v>#VALUE!</v>
      </c>
      <c r="H6">
        <f>IF('Plugs, Leads and Adaptors'!24:24,"AAAAAD8/rwc=",0)</f>
        <v>0</v>
      </c>
      <c r="I6" t="e">
        <f>AND('Plugs, Leads and Adaptors'!A24,"AAAAAD8/rwg=")</f>
        <v>#VALUE!</v>
      </c>
      <c r="J6" t="e">
        <f>AND('Plugs, Leads and Adaptors'!C24,"AAAAAD8/rwk=")</f>
        <v>#VALUE!</v>
      </c>
      <c r="K6" t="e">
        <f>AND('Plugs, Leads and Adaptors'!D24,"AAAAAD8/rwo=")</f>
        <v>#VALUE!</v>
      </c>
      <c r="L6">
        <f>IF('Plugs, Leads and Adaptors'!25:25,"AAAAAD8/rws=",0)</f>
        <v>0</v>
      </c>
      <c r="M6" t="e">
        <f>AND('Plugs, Leads and Adaptors'!A25,"AAAAAD8/rww=")</f>
        <v>#VALUE!</v>
      </c>
      <c r="N6" t="e">
        <f>AND('Plugs, Leads and Adaptors'!C25,"AAAAAD8/rw0=")</f>
        <v>#VALUE!</v>
      </c>
      <c r="O6" t="e">
        <f>AND('Plugs, Leads and Adaptors'!D25,"AAAAAD8/rw4=")</f>
        <v>#VALUE!</v>
      </c>
      <c r="P6">
        <f>IF('Plugs, Leads and Adaptors'!27:27,"AAAAAD8/rw8=",0)</f>
        <v>0</v>
      </c>
      <c r="Q6" t="e">
        <f>AND('Plugs, Leads and Adaptors'!A27,"AAAAAD8/rxA=")</f>
        <v>#VALUE!</v>
      </c>
      <c r="R6" t="e">
        <f>AND('Plugs, Leads and Adaptors'!C27,"AAAAAD8/rxE=")</f>
        <v>#VALUE!</v>
      </c>
      <c r="S6" t="e">
        <f>AND('Plugs, Leads and Adaptors'!D27,"AAAAAD8/rxI=")</f>
        <v>#VALUE!</v>
      </c>
      <c r="T6">
        <f>IF('Plugs, Leads and Adaptors'!30:30,"AAAAAD8/rxM=",0)</f>
        <v>0</v>
      </c>
      <c r="U6" t="e">
        <f>AND('Plugs, Leads and Adaptors'!A30,"AAAAAD8/rxQ=")</f>
        <v>#VALUE!</v>
      </c>
      <c r="V6" t="e">
        <f>AND('Plugs, Leads and Adaptors'!C30,"AAAAAD8/rxU=")</f>
        <v>#VALUE!</v>
      </c>
      <c r="W6" t="e">
        <f>AND('Plugs, Leads and Adaptors'!D30,"AAAAAD8/rxY=")</f>
        <v>#VALUE!</v>
      </c>
      <c r="X6">
        <f>IF('Plugs, Leads and Adaptors'!31:31,"AAAAAD8/rxc=",0)</f>
        <v>0</v>
      </c>
      <c r="Y6" t="e">
        <f>AND('Plugs, Leads and Adaptors'!A31,"AAAAAD8/rxg=")</f>
        <v>#VALUE!</v>
      </c>
      <c r="Z6" t="e">
        <f>AND('Plugs, Leads and Adaptors'!C31,"AAAAAD8/rxk=")</f>
        <v>#VALUE!</v>
      </c>
      <c r="AA6" t="e">
        <f>AND('Plugs, Leads and Adaptors'!D31,"AAAAAD8/rxo=")</f>
        <v>#VALUE!</v>
      </c>
      <c r="AB6">
        <f>IF('Plugs, Leads and Adaptors'!32:32,"AAAAAD8/rxs=",0)</f>
        <v>0</v>
      </c>
      <c r="AC6" t="e">
        <f>AND('Plugs, Leads and Adaptors'!A32,"AAAAAD8/rxw=")</f>
        <v>#VALUE!</v>
      </c>
      <c r="AD6" t="e">
        <f>AND('Plugs, Leads and Adaptors'!C32,"AAAAAD8/rx0=")</f>
        <v>#VALUE!</v>
      </c>
      <c r="AE6" t="e">
        <f>AND('Plugs, Leads and Adaptors'!D32,"AAAAAD8/rx4=")</f>
        <v>#VALUE!</v>
      </c>
      <c r="AF6">
        <f>IF('Plugs, Leads and Adaptors'!33:33,"AAAAAD8/rx8=",0)</f>
        <v>0</v>
      </c>
      <c r="AG6" t="e">
        <f>AND('Plugs, Leads and Adaptors'!A33,"AAAAAD8/ryA=")</f>
        <v>#VALUE!</v>
      </c>
      <c r="AH6" t="e">
        <f>AND('Plugs, Leads and Adaptors'!C33,"AAAAAD8/ryE=")</f>
        <v>#VALUE!</v>
      </c>
      <c r="AI6" t="e">
        <f>AND('Plugs, Leads and Adaptors'!D33,"AAAAAD8/ryI=")</f>
        <v>#VALUE!</v>
      </c>
      <c r="AJ6">
        <f>IF('Plugs, Leads and Adaptors'!34:34,"AAAAAD8/ryM=",0)</f>
        <v>0</v>
      </c>
      <c r="AK6" t="e">
        <f>AND('Plugs, Leads and Adaptors'!A34,"AAAAAD8/ryQ=")</f>
        <v>#VALUE!</v>
      </c>
      <c r="AL6" t="e">
        <f>AND('Plugs, Leads and Adaptors'!C34,"AAAAAD8/ryU=")</f>
        <v>#VALUE!</v>
      </c>
      <c r="AM6" t="e">
        <f>AND('Plugs, Leads and Adaptors'!D34,"AAAAAD8/ryY=")</f>
        <v>#VALUE!</v>
      </c>
      <c r="AN6">
        <f>IF('Plugs, Leads and Adaptors'!35:35,"AAAAAD8/ryc=",0)</f>
        <v>0</v>
      </c>
      <c r="AO6" t="e">
        <f>AND('Plugs, Leads and Adaptors'!A35,"AAAAAD8/ryg=")</f>
        <v>#VALUE!</v>
      </c>
      <c r="AP6" t="e">
        <f>AND('Plugs, Leads and Adaptors'!C35,"AAAAAD8/ryk=")</f>
        <v>#VALUE!</v>
      </c>
      <c r="AQ6" t="e">
        <f>AND('Plugs, Leads and Adaptors'!D35,"AAAAAD8/ryo=")</f>
        <v>#VALUE!</v>
      </c>
      <c r="AR6">
        <f>IF('Plugs, Leads and Adaptors'!42:42,"AAAAAD8/rys=",0)</f>
        <v>0</v>
      </c>
      <c r="AS6" t="e">
        <f>AND('Plugs, Leads and Adaptors'!A42,"AAAAAD8/ryw=")</f>
        <v>#VALUE!</v>
      </c>
      <c r="AT6" t="e">
        <f>AND('Plugs, Leads and Adaptors'!C42,"AAAAAD8/ry0=")</f>
        <v>#VALUE!</v>
      </c>
      <c r="AU6" t="e">
        <f>AND('Plugs, Leads and Adaptors'!D42,"AAAAAD8/ry4=")</f>
        <v>#VALUE!</v>
      </c>
      <c r="AV6">
        <f>IF('Plugs, Leads and Adaptors'!45:45,"AAAAAD8/ry8=",0)</f>
        <v>0</v>
      </c>
      <c r="AW6" t="e">
        <f>AND('Plugs, Leads and Adaptors'!A45,"AAAAAD8/rzA=")</f>
        <v>#VALUE!</v>
      </c>
      <c r="AX6" t="e">
        <f>AND('Plugs, Leads and Adaptors'!C45,"AAAAAD8/rzE=")</f>
        <v>#VALUE!</v>
      </c>
      <c r="AY6" t="e">
        <f>AND('Plugs, Leads and Adaptors'!D45,"AAAAAD8/rzI=")</f>
        <v>#VALUE!</v>
      </c>
      <c r="AZ6">
        <f>IF('Plugs, Leads and Adaptors'!46:46,"AAAAAD8/rzM=",0)</f>
        <v>0</v>
      </c>
      <c r="BA6" t="e">
        <f>AND('Plugs, Leads and Adaptors'!A46,"AAAAAD8/rzQ=")</f>
        <v>#VALUE!</v>
      </c>
      <c r="BB6" t="e">
        <f>AND('Plugs, Leads and Adaptors'!C46,"AAAAAD8/rzU=")</f>
        <v>#VALUE!</v>
      </c>
      <c r="BC6" t="e">
        <f>AND('Plugs, Leads and Adaptors'!D46,"AAAAAD8/rzY=")</f>
        <v>#VALUE!</v>
      </c>
      <c r="BD6">
        <f>IF('Plugs, Leads and Adaptors'!47:47,"AAAAAD8/rzc=",0)</f>
        <v>0</v>
      </c>
      <c r="BE6" t="e">
        <f>AND('Plugs, Leads and Adaptors'!A47,"AAAAAD8/rzg=")</f>
        <v>#VALUE!</v>
      </c>
      <c r="BF6" t="e">
        <f>AND('Plugs, Leads and Adaptors'!C47,"AAAAAD8/rzk=")</f>
        <v>#VALUE!</v>
      </c>
      <c r="BG6" t="e">
        <f>AND('Plugs, Leads and Adaptors'!D47,"AAAAAD8/rzo=")</f>
        <v>#VALUE!</v>
      </c>
      <c r="BH6">
        <f>IF('Plugs, Leads and Adaptors'!48:48,"AAAAAD8/rzs=",0)</f>
        <v>0</v>
      </c>
      <c r="BI6" t="e">
        <f>AND('Plugs, Leads and Adaptors'!A48,"AAAAAD8/rzw=")</f>
        <v>#VALUE!</v>
      </c>
      <c r="BJ6" t="e">
        <f>AND('Plugs, Leads and Adaptors'!C48,"AAAAAD8/rz0=")</f>
        <v>#VALUE!</v>
      </c>
      <c r="BK6" t="e">
        <f>AND('Plugs, Leads and Adaptors'!D48,"AAAAAD8/rz4=")</f>
        <v>#VALUE!</v>
      </c>
      <c r="BL6">
        <f>IF('Plugs, Leads and Adaptors'!36:36,"AAAAAD8/rz8=",0)</f>
        <v>0</v>
      </c>
      <c r="BM6" t="e">
        <f>AND('Plugs, Leads and Adaptors'!A36,"AAAAAD8/r0A=")</f>
        <v>#VALUE!</v>
      </c>
      <c r="BN6" t="e">
        <f>AND('Plugs, Leads and Adaptors'!C36,"AAAAAD8/r0E=")</f>
        <v>#VALUE!</v>
      </c>
      <c r="BO6" t="e">
        <f>AND('Plugs, Leads and Adaptors'!D36,"AAAAAD8/r0I=")</f>
        <v>#VALUE!</v>
      </c>
      <c r="BP6">
        <f>IF('Plugs, Leads and Adaptors'!37:37,"AAAAAD8/r0M=",0)</f>
        <v>0</v>
      </c>
      <c r="BQ6" t="e">
        <f>AND('Plugs, Leads and Adaptors'!A37,"AAAAAD8/r0Q=")</f>
        <v>#VALUE!</v>
      </c>
      <c r="BR6" t="e">
        <f>AND('Plugs, Leads and Adaptors'!C37,"AAAAAD8/r0U=")</f>
        <v>#VALUE!</v>
      </c>
      <c r="BS6" t="e">
        <f>AND('Plugs, Leads and Adaptors'!D37,"AAAAAD8/r0Y=")</f>
        <v>#VALUE!</v>
      </c>
      <c r="BT6">
        <f>IF('Plugs, Leads and Adaptors'!38:38,"AAAAAD8/r0c=",0)</f>
        <v>0</v>
      </c>
      <c r="BU6" t="e">
        <f>AND('Plugs, Leads and Adaptors'!A38,"AAAAAD8/r0g=")</f>
        <v>#VALUE!</v>
      </c>
      <c r="BV6" t="e">
        <f>AND('Plugs, Leads and Adaptors'!C38,"AAAAAD8/r0k=")</f>
        <v>#VALUE!</v>
      </c>
      <c r="BW6" t="e">
        <f>AND('Plugs, Leads and Adaptors'!D38,"AAAAAD8/r0o=")</f>
        <v>#VALUE!</v>
      </c>
      <c r="BX6">
        <f>IF('Plugs, Leads and Adaptors'!39:39,"AAAAAD8/r0s=",0)</f>
        <v>0</v>
      </c>
      <c r="BY6" t="e">
        <f>AND('Plugs, Leads and Adaptors'!A39,"AAAAAD8/r0w=")</f>
        <v>#VALUE!</v>
      </c>
      <c r="BZ6" t="e">
        <f>AND('Plugs, Leads and Adaptors'!C39,"AAAAAD8/r00=")</f>
        <v>#VALUE!</v>
      </c>
      <c r="CA6" t="e">
        <f>AND('Plugs, Leads and Adaptors'!D39,"AAAAAD8/r04=")</f>
        <v>#VALUE!</v>
      </c>
      <c r="CB6">
        <f>IF('Plugs, Leads and Adaptors'!40:40,"AAAAAD8/r08=",0)</f>
        <v>0</v>
      </c>
      <c r="CC6" t="e">
        <f>AND('Plugs, Leads and Adaptors'!A40,"AAAAAD8/r1A=")</f>
        <v>#VALUE!</v>
      </c>
      <c r="CD6" t="e">
        <f>AND('Plugs, Leads and Adaptors'!C40,"AAAAAD8/r1E=")</f>
        <v>#VALUE!</v>
      </c>
      <c r="CE6" t="e">
        <f>AND('Plugs, Leads and Adaptors'!D40,"AAAAAD8/r1I=")</f>
        <v>#VALUE!</v>
      </c>
      <c r="CF6">
        <f>IF('Plugs, Leads and Adaptors'!41:41,"AAAAAD8/r1M=",0)</f>
        <v>0</v>
      </c>
      <c r="CG6" t="e">
        <f>AND('Plugs, Leads and Adaptors'!A41,"AAAAAD8/r1Q=")</f>
        <v>#VALUE!</v>
      </c>
      <c r="CH6" t="e">
        <f>AND('Plugs, Leads and Adaptors'!C41,"AAAAAD8/r1U=")</f>
        <v>#VALUE!</v>
      </c>
      <c r="CI6" t="e">
        <f>AND('Plugs, Leads and Adaptors'!D41,"AAAAAD8/r1Y=")</f>
        <v>#VALUE!</v>
      </c>
      <c r="CJ6">
        <f>IF('Plugs, Leads and Adaptors'!49:49,"AAAAAD8/r1c=",0)</f>
        <v>0</v>
      </c>
      <c r="CK6" t="e">
        <f>AND('Plugs, Leads and Adaptors'!A49,"AAAAAD8/r1g=")</f>
        <v>#VALUE!</v>
      </c>
      <c r="CL6" t="e">
        <f>AND('Plugs, Leads and Adaptors'!C49,"AAAAAD8/r1k=")</f>
        <v>#VALUE!</v>
      </c>
      <c r="CM6" t="e">
        <f>AND('Plugs, Leads and Adaptors'!D49,"AAAAAD8/r1o=")</f>
        <v>#VALUE!</v>
      </c>
      <c r="CN6">
        <f>IF('Plugs, Leads and Adaptors'!53:53,"AAAAAD8/r1s=",0)</f>
        <v>0</v>
      </c>
      <c r="CO6" t="e">
        <f>AND('Plugs, Leads and Adaptors'!A53,"AAAAAD8/r1w=")</f>
        <v>#VALUE!</v>
      </c>
      <c r="CP6" t="e">
        <f>AND('Plugs, Leads and Adaptors'!C53,"AAAAAD8/r10=")</f>
        <v>#VALUE!</v>
      </c>
      <c r="CQ6" t="e">
        <f>AND('Plugs, Leads and Adaptors'!D53,"AAAAAD8/r14=")</f>
        <v>#VALUE!</v>
      </c>
      <c r="CR6">
        <f>IF('Plugs, Leads and Adaptors'!54:54,"AAAAAD8/r18=",0)</f>
        <v>0</v>
      </c>
      <c r="CS6" t="e">
        <f>AND('Plugs, Leads and Adaptors'!A54,"AAAAAD8/r2A=")</f>
        <v>#VALUE!</v>
      </c>
      <c r="CT6" t="e">
        <f>AND('Plugs, Leads and Adaptors'!C54,"AAAAAD8/r2E=")</f>
        <v>#VALUE!</v>
      </c>
      <c r="CU6" t="e">
        <f>AND('Plugs, Leads and Adaptors'!D54,"AAAAAD8/r2I=")</f>
        <v>#VALUE!</v>
      </c>
      <c r="CV6">
        <f>IF('Plugs, Leads and Adaptors'!55:55,"AAAAAD8/r2M=",0)</f>
        <v>0</v>
      </c>
      <c r="CW6" t="e">
        <f>AND('Plugs, Leads and Adaptors'!A55,"AAAAAD8/r2Q=")</f>
        <v>#VALUE!</v>
      </c>
      <c r="CX6" t="e">
        <f>AND('Plugs, Leads and Adaptors'!C55,"AAAAAD8/r2U=")</f>
        <v>#VALUE!</v>
      </c>
      <c r="CY6" t="e">
        <f>AND('Plugs, Leads and Adaptors'!D55,"AAAAAD8/r2Y=")</f>
        <v>#VALUE!</v>
      </c>
      <c r="CZ6">
        <f>IF('Plugs, Leads and Adaptors'!56:56,"AAAAAD8/r2c=",0)</f>
        <v>0</v>
      </c>
      <c r="DA6" t="e">
        <f>AND('Plugs, Leads and Adaptors'!A56,"AAAAAD8/r2g=")</f>
        <v>#VALUE!</v>
      </c>
      <c r="DB6" t="e">
        <f>AND('Plugs, Leads and Adaptors'!C56,"AAAAAD8/r2k=")</f>
        <v>#VALUE!</v>
      </c>
      <c r="DC6" t="e">
        <f>AND('Plugs, Leads and Adaptors'!D56,"AAAAAD8/r2o=")</f>
        <v>#VALUE!</v>
      </c>
      <c r="DD6">
        <f>IF('Plugs, Leads and Adaptors'!57:57,"AAAAAD8/r2s=",0)</f>
        <v>0</v>
      </c>
      <c r="DE6" t="e">
        <f>AND('Plugs, Leads and Adaptors'!A57,"AAAAAD8/r2w=")</f>
        <v>#VALUE!</v>
      </c>
      <c r="DF6" t="e">
        <f>AND('Plugs, Leads and Adaptors'!C57,"AAAAAD8/r20=")</f>
        <v>#VALUE!</v>
      </c>
      <c r="DG6" t="e">
        <f>AND('Plugs, Leads and Adaptors'!D57,"AAAAAD8/r24=")</f>
        <v>#VALUE!</v>
      </c>
      <c r="DH6">
        <f>IF('Plugs, Leads and Adaptors'!58:58,"AAAAAD8/r28=",0)</f>
        <v>0</v>
      </c>
      <c r="DI6" t="e">
        <f>AND('Plugs, Leads and Adaptors'!A58,"AAAAAD8/r3A=")</f>
        <v>#VALUE!</v>
      </c>
      <c r="DJ6" t="e">
        <f>AND('Plugs, Leads and Adaptors'!C58,"AAAAAD8/r3E=")</f>
        <v>#VALUE!</v>
      </c>
      <c r="DK6" t="e">
        <f>AND('Plugs, Leads and Adaptors'!D58,"AAAAAD8/r3I=")</f>
        <v>#VALUE!</v>
      </c>
      <c r="DL6">
        <f>IF('Plugs, Leads and Adaptors'!26:26,"AAAAAD8/r3M=",0)</f>
        <v>0</v>
      </c>
      <c r="DM6" t="e">
        <f>AND('Plugs, Leads and Adaptors'!A26,"AAAAAD8/r3Q=")</f>
        <v>#VALUE!</v>
      </c>
      <c r="DN6" t="e">
        <f>AND('Plugs, Leads and Adaptors'!C26,"AAAAAD8/r3U=")</f>
        <v>#VALUE!</v>
      </c>
      <c r="DO6" t="e">
        <f>AND('Plugs, Leads and Adaptors'!D26,"AAAAAD8/r3Y=")</f>
        <v>#VALUE!</v>
      </c>
      <c r="DP6">
        <f>IF('Plugs, Leads and Adaptors'!59:59,"AAAAAD8/r3c=",0)</f>
        <v>0</v>
      </c>
      <c r="DQ6" t="e">
        <f>AND('Plugs, Leads and Adaptors'!A59,"AAAAAD8/r3g=")</f>
        <v>#VALUE!</v>
      </c>
      <c r="DR6" t="e">
        <f>AND('Plugs, Leads and Adaptors'!C59,"AAAAAD8/r3k=")</f>
        <v>#VALUE!</v>
      </c>
      <c r="DS6" t="e">
        <f>AND('Plugs, Leads and Adaptors'!D59,"AAAAAD8/r3o=")</f>
        <v>#VALUE!</v>
      </c>
      <c r="DT6">
        <f>IF('Plugs, Leads and Adaptors'!60:60,"AAAAAD8/r3s=",0)</f>
        <v>0</v>
      </c>
      <c r="DU6" t="e">
        <f>AND('Plugs, Leads and Adaptors'!A60,"AAAAAD8/r3w=")</f>
        <v>#VALUE!</v>
      </c>
      <c r="DV6" t="e">
        <f>AND('Plugs, Leads and Adaptors'!C60,"AAAAAD8/r30=")</f>
        <v>#VALUE!</v>
      </c>
      <c r="DW6" t="e">
        <f>AND('Plugs, Leads and Adaptors'!D60,"AAAAAD8/r34=")</f>
        <v>#VALUE!</v>
      </c>
      <c r="DX6">
        <f>IF('Plugs, Leads and Adaptors'!61:61,"AAAAAD8/r38=",0)</f>
        <v>0</v>
      </c>
      <c r="DY6" t="e">
        <f>AND('Plugs, Leads and Adaptors'!A61,"AAAAAD8/r4A=")</f>
        <v>#VALUE!</v>
      </c>
      <c r="DZ6" t="e">
        <f>AND('Plugs, Leads and Adaptors'!C61,"AAAAAD8/r4E=")</f>
        <v>#VALUE!</v>
      </c>
      <c r="EA6" t="e">
        <f>AND('Plugs, Leads and Adaptors'!D61,"AAAAAD8/r4I=")</f>
        <v>#VALUE!</v>
      </c>
      <c r="EB6">
        <f>IF('Plugs, Leads and Adaptors'!62:62,"AAAAAD8/r4M=",0)</f>
        <v>0</v>
      </c>
      <c r="EC6" t="e">
        <f>AND('Plugs, Leads and Adaptors'!A62,"AAAAAD8/r4Q=")</f>
        <v>#VALUE!</v>
      </c>
      <c r="ED6" t="e">
        <f>AND('Plugs, Leads and Adaptors'!C62,"AAAAAD8/r4U=")</f>
        <v>#VALUE!</v>
      </c>
      <c r="EE6" t="e">
        <f>AND('Plugs, Leads and Adaptors'!D62,"AAAAAD8/r4Y=")</f>
        <v>#VALUE!</v>
      </c>
      <c r="EF6">
        <f>IF('Plugs, Leads and Adaptors'!50:50,"AAAAAD8/r4c=",0)</f>
        <v>0</v>
      </c>
      <c r="EG6" t="e">
        <f>AND('Plugs, Leads and Adaptors'!A50,"AAAAAD8/r4g=")</f>
        <v>#VALUE!</v>
      </c>
      <c r="EH6" t="e">
        <f>AND('Plugs, Leads and Adaptors'!C50,"AAAAAD8/r4k=")</f>
        <v>#VALUE!</v>
      </c>
      <c r="EI6" t="e">
        <f>AND('Plugs, Leads and Adaptors'!D50,"AAAAAD8/r4o=")</f>
        <v>#VALUE!</v>
      </c>
      <c r="EJ6">
        <f>IF('Plugs, Leads and Adaptors'!65:65,"AAAAAD8/r4s=",0)</f>
        <v>0</v>
      </c>
      <c r="EK6" t="e">
        <f>AND('Plugs, Leads and Adaptors'!A65,"AAAAAD8/r4w=")</f>
        <v>#VALUE!</v>
      </c>
      <c r="EL6" t="e">
        <f>AND('Plugs, Leads and Adaptors'!C65,"AAAAAD8/r40=")</f>
        <v>#VALUE!</v>
      </c>
      <c r="EM6" t="e">
        <f>AND('Plugs, Leads and Adaptors'!D65,"AAAAAD8/r44=")</f>
        <v>#VALUE!</v>
      </c>
      <c r="EN6">
        <f>IF('Plugs, Leads and Adaptors'!66:66,"AAAAAD8/r48=",0)</f>
        <v>0</v>
      </c>
      <c r="EO6" t="e">
        <f>AND('Plugs, Leads and Adaptors'!A66,"AAAAAD8/r5A=")</f>
        <v>#VALUE!</v>
      </c>
      <c r="EP6" t="e">
        <f>AND('Plugs, Leads and Adaptors'!C66,"AAAAAD8/r5E=")</f>
        <v>#VALUE!</v>
      </c>
      <c r="EQ6" t="e">
        <f>AND('Plugs, Leads and Adaptors'!D66,"AAAAAD8/r5I=")</f>
        <v>#VALUE!</v>
      </c>
      <c r="ER6">
        <f>IF('Plugs, Leads and Adaptors'!67:67,"AAAAAD8/r5M=",0)</f>
        <v>0</v>
      </c>
      <c r="ES6" t="e">
        <f>AND('Plugs, Leads and Adaptors'!A67,"AAAAAD8/r5Q=")</f>
        <v>#VALUE!</v>
      </c>
      <c r="ET6" t="e">
        <f>AND('Plugs, Leads and Adaptors'!C67,"AAAAAD8/r5U=")</f>
        <v>#VALUE!</v>
      </c>
      <c r="EU6" t="e">
        <f>AND('Plugs, Leads and Adaptors'!D67,"AAAAAD8/r5Y=")</f>
        <v>#VALUE!</v>
      </c>
      <c r="EV6">
        <f>IF('Plugs, Leads and Adaptors'!68:68,"AAAAAD8/r5c=",0)</f>
        <v>0</v>
      </c>
      <c r="EW6" t="e">
        <f>AND('Plugs, Leads and Adaptors'!A68,"AAAAAD8/r5g=")</f>
        <v>#VALUE!</v>
      </c>
      <c r="EX6" t="e">
        <f>AND('Plugs, Leads and Adaptors'!C68,"AAAAAD8/r5k=")</f>
        <v>#VALUE!</v>
      </c>
      <c r="EY6" t="e">
        <f>AND('Plugs, Leads and Adaptors'!D68,"AAAAAD8/r5o=")</f>
        <v>#VALUE!</v>
      </c>
      <c r="EZ6">
        <f>IF('Computer Products'!133:133,"AAAAAD8/r5s=",0)</f>
        <v>0</v>
      </c>
      <c r="FA6" t="e">
        <f>AND('Computer Products'!A136,"AAAAAD8/r5w=")</f>
        <v>#VALUE!</v>
      </c>
      <c r="FB6" t="e">
        <f>AND('Computer Products'!C136,"AAAAAD8/r50=")</f>
        <v>#VALUE!</v>
      </c>
      <c r="FC6" t="e">
        <f>AND('Computer Products'!D136,"AAAAAD8/r54=")</f>
        <v>#VALUE!</v>
      </c>
      <c r="FD6">
        <f>IF('Computer Products'!134:134,"AAAAAD8/r58=",0)</f>
        <v>0</v>
      </c>
      <c r="FE6" t="e">
        <f>AND('Computer Products'!A137,"AAAAAD8/r6A=")</f>
        <v>#VALUE!</v>
      </c>
      <c r="FF6" t="e">
        <f>AND('Computer Products'!C137,"AAAAAD8/r6E=")</f>
        <v>#VALUE!</v>
      </c>
      <c r="FG6" t="e">
        <f>AND('Computer Products'!D137,"AAAAAD8/r6I=")</f>
        <v>#VALUE!</v>
      </c>
      <c r="FH6">
        <f>IF('Computer Products'!135:135,"AAAAAD8/r6M=",0)</f>
        <v>0</v>
      </c>
      <c r="FI6" t="e">
        <f>AND('Computer Products'!A138,"AAAAAD8/r6Q=")</f>
        <v>#VALUE!</v>
      </c>
      <c r="FJ6" t="e">
        <f>AND('Computer Products'!C138,"AAAAAD8/r6U=")</f>
        <v>#VALUE!</v>
      </c>
      <c r="FK6" t="e">
        <f>AND('Computer Products'!D138,"AAAAAD8/r6Y=")</f>
        <v>#VALUE!</v>
      </c>
      <c r="FL6">
        <f>IF('Computer Products'!136:136,"AAAAAD8/r6c=",0)</f>
        <v>0</v>
      </c>
      <c r="FM6" t="e">
        <f>AND('Computer Products'!A139,"AAAAAD8/r6g=")</f>
        <v>#VALUE!</v>
      </c>
      <c r="FN6" t="e">
        <f>AND('Computer Products'!C139,"AAAAAD8/r6k=")</f>
        <v>#VALUE!</v>
      </c>
      <c r="FO6" t="e">
        <f>AND('Computer Products'!D139,"AAAAAD8/r6o=")</f>
        <v>#VALUE!</v>
      </c>
      <c r="FP6">
        <f>IF('Computer Products'!83:83,"AAAAAD8/r6s=",0)</f>
        <v>0</v>
      </c>
      <c r="FQ6" t="e">
        <f>AND('Computer Products'!A86,"AAAAAD8/r6w=")</f>
        <v>#VALUE!</v>
      </c>
      <c r="FR6" t="e">
        <f>AND('Computer Products'!C86,"AAAAAD8/r60=")</f>
        <v>#VALUE!</v>
      </c>
      <c r="FS6" t="e">
        <f>AND('Computer Products'!D86,"AAAAAD8/r64=")</f>
        <v>#VALUE!</v>
      </c>
      <c r="FT6">
        <f>IF('Computer Products'!84:84,"AAAAAD8/r68=",0)</f>
        <v>0</v>
      </c>
      <c r="FU6" t="e">
        <f>AND('Computer Products'!A87,"AAAAAD8/r7A=")</f>
        <v>#VALUE!</v>
      </c>
      <c r="FV6" t="e">
        <f>AND('Computer Products'!C87,"AAAAAD8/r7E=")</f>
        <v>#VALUE!</v>
      </c>
      <c r="FW6" t="e">
        <f>AND('Computer Products'!D87,"AAAAAD8/r7I=")</f>
        <v>#VALUE!</v>
      </c>
      <c r="FX6">
        <f>IF('Computer Products'!85:85,"AAAAAD8/r7M=",0)</f>
        <v>0</v>
      </c>
      <c r="FY6" t="e">
        <f>AND('Computer Products'!A88,"AAAAAD8/r7Q=")</f>
        <v>#VALUE!</v>
      </c>
      <c r="FZ6" t="e">
        <f>AND('Computer Products'!C88,"AAAAAD8/r7U=")</f>
        <v>#VALUE!</v>
      </c>
      <c r="GA6" t="e">
        <f>AND('Computer Products'!D88,"AAAAAD8/r7Y=")</f>
        <v>#VALUE!</v>
      </c>
      <c r="GB6">
        <f>IF('Computer Products'!86:86,"AAAAAD8/r7c=",0)</f>
        <v>0</v>
      </c>
      <c r="GC6" t="e">
        <f>AND('Computer Products'!A89,"AAAAAD8/r7g=")</f>
        <v>#VALUE!</v>
      </c>
      <c r="GD6" t="e">
        <f>AND('Computer Products'!C89,"AAAAAD8/r7k=")</f>
        <v>#VALUE!</v>
      </c>
      <c r="GE6" t="e">
        <f>AND('Computer Products'!D89,"AAAAAD8/r7o=")</f>
        <v>#VALUE!</v>
      </c>
      <c r="GF6">
        <f>IF('Computer Products'!87:87,"AAAAAD8/r7s=",0)</f>
        <v>0</v>
      </c>
      <c r="GG6" t="e">
        <f>AND('Computer Products'!A90,"AAAAAD8/r7w=")</f>
        <v>#VALUE!</v>
      </c>
      <c r="GH6" t="e">
        <f>AND('Computer Products'!C90,"AAAAAD8/r70=")</f>
        <v>#VALUE!</v>
      </c>
      <c r="GI6" t="e">
        <f>AND('Computer Products'!D90,"AAAAAD8/r74=")</f>
        <v>#VALUE!</v>
      </c>
      <c r="GJ6">
        <f>IF('Computer Products'!88:88,"AAAAAD8/r78=",0)</f>
        <v>0</v>
      </c>
      <c r="GK6" t="e">
        <f>AND('Computer Products'!A91,"AAAAAD8/r8A=")</f>
        <v>#VALUE!</v>
      </c>
      <c r="GL6" t="e">
        <f>AND('Computer Products'!C91,"AAAAAD8/r8E=")</f>
        <v>#VALUE!</v>
      </c>
      <c r="GM6" t="e">
        <f>AND('Computer Products'!D91,"AAAAAD8/r8I=")</f>
        <v>#VALUE!</v>
      </c>
      <c r="GN6">
        <f>IF('Computer Products'!116:116,"AAAAAD8/r8M=",0)</f>
        <v>0</v>
      </c>
      <c r="GO6" t="e">
        <f>AND('Computer Products'!A119,"AAAAAD8/r8Q=")</f>
        <v>#VALUE!</v>
      </c>
      <c r="GP6" t="e">
        <f>AND('Computer Products'!C119,"AAAAAD8/r8U=")</f>
        <v>#VALUE!</v>
      </c>
      <c r="GQ6" t="e">
        <f>AND('Computer Products'!D119,"AAAAAD8/r8Y=")</f>
        <v>#VALUE!</v>
      </c>
      <c r="GR6">
        <f>IF('Computer Products'!102:102,"AAAAAD8/r8c=",0)</f>
        <v>0</v>
      </c>
      <c r="GS6" t="e">
        <f>AND('Computer Products'!A105,"AAAAAD8/r8g=")</f>
        <v>#VALUE!</v>
      </c>
      <c r="GT6" t="e">
        <f>AND('Computer Products'!C105,"AAAAAD8/r8k=")</f>
        <v>#VALUE!</v>
      </c>
      <c r="GU6" t="e">
        <f>AND('Computer Products'!D105,"AAAAAD8/r8o=")</f>
        <v>#VALUE!</v>
      </c>
      <c r="GV6">
        <f>IF('Computer Products'!125:125,"AAAAAD8/r8s=",0)</f>
        <v>0</v>
      </c>
      <c r="GW6" t="e">
        <f>AND('Computer Products'!A128,"AAAAAD8/r8w=")</f>
        <v>#VALUE!</v>
      </c>
      <c r="GX6" t="e">
        <f>AND('Computer Products'!C128,"AAAAAD8/r80=")</f>
        <v>#VALUE!</v>
      </c>
      <c r="GY6" t="e">
        <f>AND('Computer Products'!D128,"AAAAAD8/r84=")</f>
        <v>#VALUE!</v>
      </c>
      <c r="GZ6">
        <f>IF('Computer Products'!126:126,"AAAAAD8/r88=",0)</f>
        <v>0</v>
      </c>
      <c r="HA6" t="e">
        <f>AND('Computer Products'!A129,"AAAAAD8/r9A=")</f>
        <v>#VALUE!</v>
      </c>
      <c r="HB6" t="e">
        <f>AND('Computer Products'!C129,"AAAAAD8/r9E=")</f>
        <v>#VALUE!</v>
      </c>
      <c r="HC6" t="e">
        <f>AND('Computer Products'!D129,"AAAAAD8/r9I=")</f>
        <v>#VALUE!</v>
      </c>
      <c r="HD6">
        <f>IF('Plugs, Leads and Adaptors'!84:84,"AAAAAD8/r9M=",0)</f>
        <v>0</v>
      </c>
      <c r="HE6">
        <f>IF('Plugs, Leads and Adaptors'!85:85,"AAAAAD8/r9Q=",0)</f>
        <v>0</v>
      </c>
      <c r="HF6">
        <f>IF('Plugs, Leads and Adaptors'!86:86,"AAAAAD8/r9U=",0)</f>
        <v>0</v>
      </c>
      <c r="HG6">
        <f>IF('Plugs, Leads and Adaptors'!87:87,"AAAAAD8/r9Y=",0)</f>
        <v>0</v>
      </c>
      <c r="HH6" t="e">
        <f>IF('Plugs, Leads and Adaptors'!A:A,"AAAAAD8/r9c=",0)</f>
        <v>#VALUE!</v>
      </c>
      <c r="HI6" t="e">
        <f>IF('Plugs, Leads and Adaptors'!C:C,"AAAAAD8/r9g=",0)</f>
        <v>#VALUE!</v>
      </c>
      <c r="HJ6" t="str">
        <f>IF('Plugs, Leads and Adaptors'!D:D,"AAAAAD8/r9k=",0)</f>
        <v>AAAAAD8/r9k=</v>
      </c>
      <c r="HK6" t="e">
        <f>IF(#REF!,"AAAAAD8/r9o=",0)</f>
        <v>#REF!</v>
      </c>
      <c r="HL6" t="e">
        <f>AND(#REF!,"AAAAAD8/r9s=")</f>
        <v>#REF!</v>
      </c>
      <c r="HM6" t="e">
        <f>AND(#REF!,"AAAAAD8/r9w=")</f>
        <v>#REF!</v>
      </c>
      <c r="HN6" t="e">
        <f>AND(#REF!,"AAAAAD8/r90=")</f>
        <v>#REF!</v>
      </c>
      <c r="HO6" t="e">
        <f>AND(#REF!,"AAAAAD8/r94=")</f>
        <v>#REF!</v>
      </c>
      <c r="HP6" t="e">
        <f>AND(#REF!,"AAAAAD8/r98=")</f>
        <v>#REF!</v>
      </c>
      <c r="HQ6" t="e">
        <f>AND(#REF!,"AAAAAD8/r+A=")</f>
        <v>#REF!</v>
      </c>
      <c r="HR6" t="e">
        <f>IF(#REF!,"AAAAAD8/r+E=",0)</f>
        <v>#REF!</v>
      </c>
      <c r="HS6" t="e">
        <f>AND(#REF!,"AAAAAD8/r+I=")</f>
        <v>#REF!</v>
      </c>
      <c r="HT6" t="e">
        <f>AND(#REF!,"AAAAAD8/r+M=")</f>
        <v>#REF!</v>
      </c>
      <c r="HU6" t="e">
        <f>AND(#REF!,"AAAAAD8/r+Q=")</f>
        <v>#REF!</v>
      </c>
      <c r="HV6" t="e">
        <f>AND(#REF!,"AAAAAD8/r+U=")</f>
        <v>#REF!</v>
      </c>
      <c r="HW6" t="e">
        <f>AND(#REF!,"AAAAAD8/r+Y=")</f>
        <v>#REF!</v>
      </c>
      <c r="HX6" t="e">
        <f>AND(#REF!,"AAAAAD8/r+c=")</f>
        <v>#REF!</v>
      </c>
      <c r="HY6" t="e">
        <f>IF(#REF!,"AAAAAD8/r+g=",0)</f>
        <v>#REF!</v>
      </c>
      <c r="HZ6" t="e">
        <f>AND(#REF!,"AAAAAD8/r+k=")</f>
        <v>#REF!</v>
      </c>
      <c r="IA6" t="e">
        <f>AND(#REF!,"AAAAAD8/r+o=")</f>
        <v>#REF!</v>
      </c>
      <c r="IB6" t="e">
        <f>AND(#REF!,"AAAAAD8/r+s=")</f>
        <v>#REF!</v>
      </c>
      <c r="IC6" t="e">
        <f>AND(#REF!,"AAAAAD8/r+w=")</f>
        <v>#REF!</v>
      </c>
      <c r="ID6" t="e">
        <f>AND(#REF!,"AAAAAD8/r+0=")</f>
        <v>#REF!</v>
      </c>
      <c r="IE6" t="e">
        <f>AND(#REF!,"AAAAAD8/r+4=")</f>
        <v>#REF!</v>
      </c>
      <c r="IF6" t="e">
        <f>IF(#REF!,"AAAAAD8/r+8=",0)</f>
        <v>#REF!</v>
      </c>
      <c r="IG6" t="e">
        <f>AND(#REF!,"AAAAAD8/r/A=")</f>
        <v>#REF!</v>
      </c>
      <c r="IH6" t="e">
        <f>AND(#REF!,"AAAAAD8/r/E=")</f>
        <v>#REF!</v>
      </c>
      <c r="II6" t="e">
        <f>AND(#REF!,"AAAAAD8/r/I=")</f>
        <v>#REF!</v>
      </c>
      <c r="IJ6" t="e">
        <f>AND(#REF!,"AAAAAD8/r/M=")</f>
        <v>#REF!</v>
      </c>
      <c r="IK6" t="e">
        <f>AND(#REF!,"AAAAAD8/r/Q=")</f>
        <v>#REF!</v>
      </c>
      <c r="IL6" t="e">
        <f>AND(#REF!,"AAAAAD8/r/U=")</f>
        <v>#REF!</v>
      </c>
      <c r="IM6" t="e">
        <f>IF(#REF!,"AAAAAD8/r/Y=",0)</f>
        <v>#REF!</v>
      </c>
      <c r="IN6" t="e">
        <f>AND(#REF!,"AAAAAD8/r/c=")</f>
        <v>#REF!</v>
      </c>
      <c r="IO6" t="e">
        <f>AND(#REF!,"AAAAAD8/r/g=")</f>
        <v>#REF!</v>
      </c>
      <c r="IP6" t="e">
        <f>AND(#REF!,"AAAAAD8/r/k=")</f>
        <v>#REF!</v>
      </c>
      <c r="IQ6" t="e">
        <f>AND(#REF!,"AAAAAD8/r/o=")</f>
        <v>#REF!</v>
      </c>
      <c r="IR6" t="e">
        <f>AND(#REF!,"AAAAAD8/r/s=")</f>
        <v>#REF!</v>
      </c>
      <c r="IS6" t="e">
        <f>AND(#REF!,"AAAAAD8/r/w=")</f>
        <v>#REF!</v>
      </c>
      <c r="IT6" t="e">
        <f>IF(#REF!,"AAAAAD8/r/0=",0)</f>
        <v>#REF!</v>
      </c>
      <c r="IU6" t="e">
        <f>AND(#REF!,"AAAAAD8/r/4=")</f>
        <v>#REF!</v>
      </c>
      <c r="IV6" t="e">
        <f>AND(#REF!,"AAAAAD8/r/8=")</f>
        <v>#REF!</v>
      </c>
    </row>
    <row r="7" spans="1:256" ht="16.5">
      <c r="A7" t="e">
        <f>AND(#REF!,"AAAAAF9vzQA=")</f>
        <v>#REF!</v>
      </c>
      <c r="B7" t="e">
        <f>AND(#REF!,"AAAAAF9vzQE=")</f>
        <v>#REF!</v>
      </c>
      <c r="C7" t="e">
        <f>AND(#REF!,"AAAAAF9vzQI=")</f>
        <v>#REF!</v>
      </c>
      <c r="D7" t="e">
        <f>AND(#REF!,"AAAAAF9vzQM=")</f>
        <v>#REF!</v>
      </c>
      <c r="E7" t="e">
        <f>IF(#REF!,"AAAAAF9vzQQ=",0)</f>
        <v>#REF!</v>
      </c>
      <c r="F7" t="e">
        <f>AND(#REF!,"AAAAAF9vzQU=")</f>
        <v>#REF!</v>
      </c>
      <c r="G7" t="e">
        <f>AND(#REF!,"AAAAAF9vzQY=")</f>
        <v>#REF!</v>
      </c>
      <c r="H7" t="e">
        <f>AND(#REF!,"AAAAAF9vzQc=")</f>
        <v>#REF!</v>
      </c>
      <c r="I7" t="e">
        <f>AND(#REF!,"AAAAAF9vzQg=")</f>
        <v>#REF!</v>
      </c>
      <c r="J7" t="e">
        <f>AND(#REF!,"AAAAAF9vzQk=")</f>
        <v>#REF!</v>
      </c>
      <c r="K7" t="e">
        <f>AND(#REF!,"AAAAAF9vzQo=")</f>
        <v>#REF!</v>
      </c>
      <c r="L7" t="e">
        <f>IF(#REF!,"AAAAAF9vzQs=",0)</f>
        <v>#REF!</v>
      </c>
      <c r="M7" t="e">
        <f>AND(#REF!,"AAAAAF9vzQw=")</f>
        <v>#REF!</v>
      </c>
      <c r="N7" t="e">
        <f>AND(#REF!,"AAAAAF9vzQ0=")</f>
        <v>#REF!</v>
      </c>
      <c r="O7" t="e">
        <f>AND(#REF!,"AAAAAF9vzQ4=")</f>
        <v>#REF!</v>
      </c>
      <c r="P7" t="e">
        <f>AND(#REF!,"AAAAAF9vzQ8=")</f>
        <v>#REF!</v>
      </c>
      <c r="Q7" t="e">
        <f>AND(#REF!,"AAAAAF9vzRA=")</f>
        <v>#REF!</v>
      </c>
      <c r="R7" t="e">
        <f>AND(#REF!,"AAAAAF9vzRE=")</f>
        <v>#REF!</v>
      </c>
      <c r="S7" t="e">
        <f>IF(#REF!,"AAAAAF9vzRI=",0)</f>
        <v>#REF!</v>
      </c>
      <c r="T7" t="e">
        <f>AND(#REF!,"AAAAAF9vzRM=")</f>
        <v>#REF!</v>
      </c>
      <c r="U7" t="e">
        <f>AND(#REF!,"AAAAAF9vzRQ=")</f>
        <v>#REF!</v>
      </c>
      <c r="V7" t="e">
        <f>AND(#REF!,"AAAAAF9vzRU=")</f>
        <v>#REF!</v>
      </c>
      <c r="W7" t="e">
        <f>AND(#REF!,"AAAAAF9vzRY=")</f>
        <v>#REF!</v>
      </c>
      <c r="X7" t="e">
        <f>AND(#REF!,"AAAAAF9vzRc=")</f>
        <v>#REF!</v>
      </c>
      <c r="Y7" t="e">
        <f>AND(#REF!,"AAAAAF9vzRg=")</f>
        <v>#REF!</v>
      </c>
      <c r="Z7" t="e">
        <f>IF(#REF!,"AAAAAF9vzRk=",0)</f>
        <v>#REF!</v>
      </c>
      <c r="AA7" t="e">
        <f>AND(#REF!,"AAAAAF9vzRo=")</f>
        <v>#REF!</v>
      </c>
      <c r="AB7" t="e">
        <f>AND(#REF!,"AAAAAF9vzRs=")</f>
        <v>#REF!</v>
      </c>
      <c r="AC7" t="e">
        <f>AND(#REF!,"AAAAAF9vzRw=")</f>
        <v>#REF!</v>
      </c>
      <c r="AD7" t="e">
        <f>AND(#REF!,"AAAAAF9vzR0=")</f>
        <v>#REF!</v>
      </c>
      <c r="AE7" t="e">
        <f>AND(#REF!,"AAAAAF9vzR4=")</f>
        <v>#REF!</v>
      </c>
      <c r="AF7" t="e">
        <f>AND(#REF!,"AAAAAF9vzR8=")</f>
        <v>#REF!</v>
      </c>
      <c r="AG7" t="e">
        <f>IF(#REF!,"AAAAAF9vzSA=",0)</f>
        <v>#REF!</v>
      </c>
      <c r="AH7" t="e">
        <f>AND(#REF!,"AAAAAF9vzSE=")</f>
        <v>#REF!</v>
      </c>
      <c r="AI7" t="e">
        <f>AND(#REF!,"AAAAAF9vzSI=")</f>
        <v>#REF!</v>
      </c>
      <c r="AJ7" t="e">
        <f>AND(#REF!,"AAAAAF9vzSM=")</f>
        <v>#REF!</v>
      </c>
      <c r="AK7" t="e">
        <f>AND(#REF!,"AAAAAF9vzSQ=")</f>
        <v>#REF!</v>
      </c>
      <c r="AL7" t="e">
        <f>AND(#REF!,"AAAAAF9vzSU=")</f>
        <v>#REF!</v>
      </c>
      <c r="AM7" t="e">
        <f>AND(#REF!,"AAAAAF9vzSY=")</f>
        <v>#REF!</v>
      </c>
      <c r="AN7" t="e">
        <f>IF(#REF!,"AAAAAF9vzSc=",0)</f>
        <v>#REF!</v>
      </c>
      <c r="AO7" t="e">
        <f>AND(#REF!,"AAAAAF9vzSg=")</f>
        <v>#REF!</v>
      </c>
      <c r="AP7" t="e">
        <f>AND(#REF!,"AAAAAF9vzSk=")</f>
        <v>#REF!</v>
      </c>
      <c r="AQ7" t="e">
        <f>AND(#REF!,"AAAAAF9vzSo=")</f>
        <v>#REF!</v>
      </c>
      <c r="AR7" t="e">
        <f>AND(#REF!,"AAAAAF9vzSs=")</f>
        <v>#REF!</v>
      </c>
      <c r="AS7" t="e">
        <f>AND(#REF!,"AAAAAF9vzSw=")</f>
        <v>#REF!</v>
      </c>
      <c r="AT7" t="e">
        <f>AND(#REF!,"AAAAAF9vzS0=")</f>
        <v>#REF!</v>
      </c>
      <c r="AU7" t="e">
        <f>IF(#REF!,"AAAAAF9vzS4=",0)</f>
        <v>#REF!</v>
      </c>
      <c r="AV7" t="e">
        <f>AND(#REF!,"AAAAAF9vzS8=")</f>
        <v>#REF!</v>
      </c>
      <c r="AW7" t="e">
        <f>AND(#REF!,"AAAAAF9vzTA=")</f>
        <v>#REF!</v>
      </c>
      <c r="AX7" t="e">
        <f>AND(#REF!,"AAAAAF9vzTE=")</f>
        <v>#REF!</v>
      </c>
      <c r="AY7" t="e">
        <f>AND(#REF!,"AAAAAF9vzTI=")</f>
        <v>#REF!</v>
      </c>
      <c r="AZ7" t="e">
        <f>AND(#REF!,"AAAAAF9vzTM=")</f>
        <v>#REF!</v>
      </c>
      <c r="BA7" t="e">
        <f>AND(#REF!,"AAAAAF9vzTQ=")</f>
        <v>#REF!</v>
      </c>
      <c r="BB7" t="e">
        <f>IF(#REF!,"AAAAAF9vzTU=",0)</f>
        <v>#REF!</v>
      </c>
      <c r="BC7" t="e">
        <f>AND(#REF!,"AAAAAF9vzTY=")</f>
        <v>#REF!</v>
      </c>
      <c r="BD7" t="e">
        <f>AND(#REF!,"AAAAAF9vzTc=")</f>
        <v>#REF!</v>
      </c>
      <c r="BE7" t="e">
        <f>AND(#REF!,"AAAAAF9vzTg=")</f>
        <v>#REF!</v>
      </c>
      <c r="BF7" t="e">
        <f>AND(#REF!,"AAAAAF9vzTk=")</f>
        <v>#REF!</v>
      </c>
      <c r="BG7" t="e">
        <f>AND(#REF!,"AAAAAF9vzTo=")</f>
        <v>#REF!</v>
      </c>
      <c r="BH7" t="e">
        <f>AND(#REF!,"AAAAAF9vzTs=")</f>
        <v>#REF!</v>
      </c>
      <c r="BI7" t="e">
        <f>IF(#REF!,"AAAAAF9vzTw=",0)</f>
        <v>#REF!</v>
      </c>
      <c r="BJ7" t="e">
        <f>AND(#REF!,"AAAAAF9vzT0=")</f>
        <v>#REF!</v>
      </c>
      <c r="BK7" t="e">
        <f>AND(#REF!,"AAAAAF9vzT4=")</f>
        <v>#REF!</v>
      </c>
      <c r="BL7" t="e">
        <f>AND(#REF!,"AAAAAF9vzT8=")</f>
        <v>#REF!</v>
      </c>
      <c r="BM7" t="e">
        <f>AND(#REF!,"AAAAAF9vzUA=")</f>
        <v>#REF!</v>
      </c>
      <c r="BN7" t="e">
        <f>AND(#REF!,"AAAAAF9vzUE=")</f>
        <v>#REF!</v>
      </c>
      <c r="BO7" t="e">
        <f>AND(#REF!,"AAAAAF9vzUI=")</f>
        <v>#REF!</v>
      </c>
      <c r="BP7" t="e">
        <f>IF(#REF!,"AAAAAF9vzUM=",0)</f>
        <v>#REF!</v>
      </c>
      <c r="BQ7" t="e">
        <f>AND(#REF!,"AAAAAF9vzUQ=")</f>
        <v>#REF!</v>
      </c>
      <c r="BR7" t="e">
        <f>AND(#REF!,"AAAAAF9vzUU=")</f>
        <v>#REF!</v>
      </c>
      <c r="BS7" t="e">
        <f>AND(#REF!,"AAAAAF9vzUY=")</f>
        <v>#REF!</v>
      </c>
      <c r="BT7" t="e">
        <f>AND(#REF!,"AAAAAF9vzUc=")</f>
        <v>#REF!</v>
      </c>
      <c r="BU7" t="e">
        <f>AND(#REF!,"AAAAAF9vzUg=")</f>
        <v>#REF!</v>
      </c>
      <c r="BV7" t="e">
        <f>AND(#REF!,"AAAAAF9vzUk=")</f>
        <v>#REF!</v>
      </c>
      <c r="BW7" t="e">
        <f>IF(#REF!,"AAAAAF9vzUo=",0)</f>
        <v>#REF!</v>
      </c>
      <c r="BX7" t="e">
        <f>AND(#REF!,"AAAAAF9vzUs=")</f>
        <v>#REF!</v>
      </c>
      <c r="BY7" t="e">
        <f>AND(#REF!,"AAAAAF9vzUw=")</f>
        <v>#REF!</v>
      </c>
      <c r="BZ7" t="e">
        <f>AND(#REF!,"AAAAAF9vzU0=")</f>
        <v>#REF!</v>
      </c>
      <c r="CA7" t="e">
        <f>AND(#REF!,"AAAAAF9vzU4=")</f>
        <v>#REF!</v>
      </c>
      <c r="CB7" t="e">
        <f>AND(#REF!,"AAAAAF9vzU8=")</f>
        <v>#REF!</v>
      </c>
      <c r="CC7" t="e">
        <f>AND(#REF!,"AAAAAF9vzVA=")</f>
        <v>#REF!</v>
      </c>
      <c r="CD7" t="e">
        <f>IF(#REF!,"AAAAAF9vzVE=",0)</f>
        <v>#REF!</v>
      </c>
      <c r="CE7" t="e">
        <f>AND(#REF!,"AAAAAF9vzVI=")</f>
        <v>#REF!</v>
      </c>
      <c r="CF7" t="e">
        <f>AND(#REF!,"AAAAAF9vzVM=")</f>
        <v>#REF!</v>
      </c>
      <c r="CG7" t="e">
        <f>AND(#REF!,"AAAAAF9vzVQ=")</f>
        <v>#REF!</v>
      </c>
      <c r="CH7" t="e">
        <f>AND(#REF!,"AAAAAF9vzVU=")</f>
        <v>#REF!</v>
      </c>
      <c r="CI7" t="e">
        <f>AND(#REF!,"AAAAAF9vzVY=")</f>
        <v>#REF!</v>
      </c>
      <c r="CJ7" t="e">
        <f>AND(#REF!,"AAAAAF9vzVc=")</f>
        <v>#REF!</v>
      </c>
      <c r="CK7" t="e">
        <f>IF(#REF!,"AAAAAF9vzVg=",0)</f>
        <v>#REF!</v>
      </c>
      <c r="CL7" t="e">
        <f>AND(#REF!,"AAAAAF9vzVk=")</f>
        <v>#REF!</v>
      </c>
      <c r="CM7" t="e">
        <f>AND(#REF!,"AAAAAF9vzVo=")</f>
        <v>#REF!</v>
      </c>
      <c r="CN7" t="e">
        <f>AND(#REF!,"AAAAAF9vzVs=")</f>
        <v>#REF!</v>
      </c>
      <c r="CO7" t="e">
        <f>AND(#REF!,"AAAAAF9vzVw=")</f>
        <v>#REF!</v>
      </c>
      <c r="CP7" t="e">
        <f>AND(#REF!,"AAAAAF9vzV0=")</f>
        <v>#REF!</v>
      </c>
      <c r="CQ7" t="e">
        <f>AND(#REF!,"AAAAAF9vzV4=")</f>
        <v>#REF!</v>
      </c>
      <c r="CR7" t="e">
        <f>IF(#REF!,"AAAAAF9vzV8=",0)</f>
        <v>#REF!</v>
      </c>
      <c r="CS7" t="e">
        <f>AND(#REF!,"AAAAAF9vzWA=")</f>
        <v>#REF!</v>
      </c>
      <c r="CT7" t="e">
        <f>AND(#REF!,"AAAAAF9vzWE=")</f>
        <v>#REF!</v>
      </c>
      <c r="CU7" t="e">
        <f>AND(#REF!,"AAAAAF9vzWI=")</f>
        <v>#REF!</v>
      </c>
      <c r="CV7" t="e">
        <f>AND(#REF!,"AAAAAF9vzWM=")</f>
        <v>#REF!</v>
      </c>
      <c r="CW7" t="e">
        <f>AND(#REF!,"AAAAAF9vzWQ=")</f>
        <v>#REF!</v>
      </c>
      <c r="CX7" t="e">
        <f>AND(#REF!,"AAAAAF9vzWU=")</f>
        <v>#REF!</v>
      </c>
      <c r="CY7" t="e">
        <f>IF(#REF!,"AAAAAF9vzWY=",0)</f>
        <v>#REF!</v>
      </c>
      <c r="CZ7" t="e">
        <f>AND(#REF!,"AAAAAF9vzWc=")</f>
        <v>#REF!</v>
      </c>
      <c r="DA7" t="e">
        <f>AND(#REF!,"AAAAAF9vzWg=")</f>
        <v>#REF!</v>
      </c>
      <c r="DB7" t="e">
        <f>AND(#REF!,"AAAAAF9vzWk=")</f>
        <v>#REF!</v>
      </c>
      <c r="DC7" t="e">
        <f>AND(#REF!,"AAAAAF9vzWo=")</f>
        <v>#REF!</v>
      </c>
      <c r="DD7" t="e">
        <f>AND(#REF!,"AAAAAF9vzWs=")</f>
        <v>#REF!</v>
      </c>
      <c r="DE7" t="e">
        <f>AND(#REF!,"AAAAAF9vzWw=")</f>
        <v>#REF!</v>
      </c>
      <c r="DF7" t="e">
        <f>IF(#REF!,"AAAAAF9vzW0=",0)</f>
        <v>#REF!</v>
      </c>
      <c r="DG7" t="e">
        <f>AND(#REF!,"AAAAAF9vzW4=")</f>
        <v>#REF!</v>
      </c>
      <c r="DH7" t="e">
        <f>AND(#REF!,"AAAAAF9vzW8=")</f>
        <v>#REF!</v>
      </c>
      <c r="DI7" t="e">
        <f>AND(#REF!,"AAAAAF9vzXA=")</f>
        <v>#REF!</v>
      </c>
      <c r="DJ7" t="e">
        <f>AND(#REF!,"AAAAAF9vzXE=")</f>
        <v>#REF!</v>
      </c>
      <c r="DK7" t="e">
        <f>AND(#REF!,"AAAAAF9vzXI=")</f>
        <v>#REF!</v>
      </c>
      <c r="DL7" t="e">
        <f>AND(#REF!,"AAAAAF9vzXM=")</f>
        <v>#REF!</v>
      </c>
      <c r="DM7" t="e">
        <f>IF(#REF!,"AAAAAF9vzXQ=",0)</f>
        <v>#REF!</v>
      </c>
      <c r="DN7" t="e">
        <f>AND(#REF!,"AAAAAF9vzXU=")</f>
        <v>#REF!</v>
      </c>
      <c r="DO7" t="e">
        <f>AND(#REF!,"AAAAAF9vzXY=")</f>
        <v>#REF!</v>
      </c>
      <c r="DP7" t="e">
        <f>AND(#REF!,"AAAAAF9vzXc=")</f>
        <v>#REF!</v>
      </c>
      <c r="DQ7" t="e">
        <f>AND(#REF!,"AAAAAF9vzXg=")</f>
        <v>#REF!</v>
      </c>
      <c r="DR7" t="e">
        <f>AND(#REF!,"AAAAAF9vzXk=")</f>
        <v>#REF!</v>
      </c>
      <c r="DS7" t="e">
        <f>AND(#REF!,"AAAAAF9vzXo=")</f>
        <v>#REF!</v>
      </c>
      <c r="DT7" t="e">
        <f>IF(#REF!,"AAAAAF9vzXs=",0)</f>
        <v>#REF!</v>
      </c>
      <c r="DU7" t="e">
        <f>AND(#REF!,"AAAAAF9vzXw=")</f>
        <v>#REF!</v>
      </c>
      <c r="DV7" t="e">
        <f>AND(#REF!,"AAAAAF9vzX0=")</f>
        <v>#REF!</v>
      </c>
      <c r="DW7" t="e">
        <f>AND(#REF!,"AAAAAF9vzX4=")</f>
        <v>#REF!</v>
      </c>
      <c r="DX7" t="e">
        <f>AND(#REF!,"AAAAAF9vzX8=")</f>
        <v>#REF!</v>
      </c>
      <c r="DY7" t="e">
        <f>AND(#REF!,"AAAAAF9vzYA=")</f>
        <v>#REF!</v>
      </c>
      <c r="DZ7" t="e">
        <f>AND(#REF!,"AAAAAF9vzYE=")</f>
        <v>#REF!</v>
      </c>
      <c r="EA7" t="e">
        <f>IF(#REF!,"AAAAAF9vzYI=",0)</f>
        <v>#REF!</v>
      </c>
      <c r="EB7" t="e">
        <f>AND(#REF!,"AAAAAF9vzYM=")</f>
        <v>#REF!</v>
      </c>
      <c r="EC7" t="e">
        <f>AND(#REF!,"AAAAAF9vzYQ=")</f>
        <v>#REF!</v>
      </c>
      <c r="ED7" t="e">
        <f>AND(#REF!,"AAAAAF9vzYU=")</f>
        <v>#REF!</v>
      </c>
      <c r="EE7" t="e">
        <f>AND(#REF!,"AAAAAF9vzYY=")</f>
        <v>#REF!</v>
      </c>
      <c r="EF7" t="e">
        <f>AND(#REF!,"AAAAAF9vzYc=")</f>
        <v>#REF!</v>
      </c>
      <c r="EG7" t="e">
        <f>AND(#REF!,"AAAAAF9vzYg=")</f>
        <v>#REF!</v>
      </c>
      <c r="EH7" t="e">
        <f>IF(#REF!,"AAAAAF9vzYk=",0)</f>
        <v>#REF!</v>
      </c>
      <c r="EI7" t="e">
        <f>AND(#REF!,"AAAAAF9vzYo=")</f>
        <v>#REF!</v>
      </c>
      <c r="EJ7" t="e">
        <f>AND(#REF!,"AAAAAF9vzYs=")</f>
        <v>#REF!</v>
      </c>
      <c r="EK7" t="e">
        <f>AND(#REF!,"AAAAAF9vzYw=")</f>
        <v>#REF!</v>
      </c>
      <c r="EL7" t="e">
        <f>AND(#REF!,"AAAAAF9vzY0=")</f>
        <v>#REF!</v>
      </c>
      <c r="EM7" t="e">
        <f>AND(#REF!,"AAAAAF9vzY4=")</f>
        <v>#REF!</v>
      </c>
      <c r="EN7" t="e">
        <f>AND(#REF!,"AAAAAF9vzY8=")</f>
        <v>#REF!</v>
      </c>
      <c r="EO7" t="e">
        <f>IF(#REF!,"AAAAAF9vzZA=",0)</f>
        <v>#REF!</v>
      </c>
      <c r="EP7" t="e">
        <f>AND(#REF!,"AAAAAF9vzZE=")</f>
        <v>#REF!</v>
      </c>
      <c r="EQ7" t="e">
        <f>AND(#REF!,"AAAAAF9vzZI=")</f>
        <v>#REF!</v>
      </c>
      <c r="ER7" t="e">
        <f>AND(#REF!,"AAAAAF9vzZM=")</f>
        <v>#REF!</v>
      </c>
      <c r="ES7" t="e">
        <f>AND(#REF!,"AAAAAF9vzZQ=")</f>
        <v>#REF!</v>
      </c>
      <c r="ET7" t="e">
        <f>AND(#REF!,"AAAAAF9vzZU=")</f>
        <v>#REF!</v>
      </c>
      <c r="EU7" t="e">
        <f>AND(#REF!,"AAAAAF9vzZY=")</f>
        <v>#REF!</v>
      </c>
      <c r="EV7" t="e">
        <f>IF(#REF!,"AAAAAF9vzZc=",0)</f>
        <v>#REF!</v>
      </c>
      <c r="EW7" t="e">
        <f>AND(#REF!,"AAAAAF9vzZg=")</f>
        <v>#REF!</v>
      </c>
      <c r="EX7" t="e">
        <f>AND(#REF!,"AAAAAF9vzZk=")</f>
        <v>#REF!</v>
      </c>
      <c r="EY7" t="e">
        <f>AND(#REF!,"AAAAAF9vzZo=")</f>
        <v>#REF!</v>
      </c>
      <c r="EZ7" t="e">
        <f>AND(#REF!,"AAAAAF9vzZs=")</f>
        <v>#REF!</v>
      </c>
      <c r="FA7" t="e">
        <f>AND(#REF!,"AAAAAF9vzZw=")</f>
        <v>#REF!</v>
      </c>
      <c r="FB7" t="e">
        <f>AND(#REF!,"AAAAAF9vzZ0=")</f>
        <v>#REF!</v>
      </c>
      <c r="FC7" t="e">
        <f>IF(#REF!,"AAAAAF9vzZ4=",0)</f>
        <v>#REF!</v>
      </c>
      <c r="FD7" t="e">
        <f>AND(#REF!,"AAAAAF9vzZ8=")</f>
        <v>#REF!</v>
      </c>
      <c r="FE7" t="e">
        <f>AND(#REF!,"AAAAAF9vzaA=")</f>
        <v>#REF!</v>
      </c>
      <c r="FF7" t="e">
        <f>AND(#REF!,"AAAAAF9vzaE=")</f>
        <v>#REF!</v>
      </c>
      <c r="FG7" t="e">
        <f>AND(#REF!,"AAAAAF9vzaI=")</f>
        <v>#REF!</v>
      </c>
      <c r="FH7" t="e">
        <f>AND(#REF!,"AAAAAF9vzaM=")</f>
        <v>#REF!</v>
      </c>
      <c r="FI7" t="e">
        <f>AND(#REF!,"AAAAAF9vzaQ=")</f>
        <v>#REF!</v>
      </c>
      <c r="FJ7" t="e">
        <f>IF(#REF!,"AAAAAF9vzaU=",0)</f>
        <v>#REF!</v>
      </c>
      <c r="FK7" t="e">
        <f>AND(#REF!,"AAAAAF9vzaY=")</f>
        <v>#REF!</v>
      </c>
      <c r="FL7" t="e">
        <f>AND(#REF!,"AAAAAF9vzac=")</f>
        <v>#REF!</v>
      </c>
      <c r="FM7" t="e">
        <f>AND(#REF!,"AAAAAF9vzag=")</f>
        <v>#REF!</v>
      </c>
      <c r="FN7" t="e">
        <f>AND(#REF!,"AAAAAF9vzak=")</f>
        <v>#REF!</v>
      </c>
      <c r="FO7" t="e">
        <f>AND(#REF!,"AAAAAF9vzao=")</f>
        <v>#REF!</v>
      </c>
      <c r="FP7" t="e">
        <f>AND(#REF!,"AAAAAF9vzas=")</f>
        <v>#REF!</v>
      </c>
      <c r="FQ7" t="e">
        <f>IF(#REF!,"AAAAAF9vzaw=",0)</f>
        <v>#REF!</v>
      </c>
      <c r="FR7" t="e">
        <f>AND(#REF!,"AAAAAF9vza0=")</f>
        <v>#REF!</v>
      </c>
      <c r="FS7" t="e">
        <f>AND(#REF!,"AAAAAF9vza4=")</f>
        <v>#REF!</v>
      </c>
      <c r="FT7" t="e">
        <f>AND(#REF!,"AAAAAF9vza8=")</f>
        <v>#REF!</v>
      </c>
      <c r="FU7" t="e">
        <f>AND(#REF!,"AAAAAF9vzbA=")</f>
        <v>#REF!</v>
      </c>
      <c r="FV7" t="e">
        <f>AND(#REF!,"AAAAAF9vzbE=")</f>
        <v>#REF!</v>
      </c>
      <c r="FW7" t="e">
        <f>AND(#REF!,"AAAAAF9vzbI=")</f>
        <v>#REF!</v>
      </c>
      <c r="FX7" t="e">
        <f>IF(#REF!,"AAAAAF9vzbM=",0)</f>
        <v>#REF!</v>
      </c>
      <c r="FY7" t="e">
        <f>AND(#REF!,"AAAAAF9vzbQ=")</f>
        <v>#REF!</v>
      </c>
      <c r="FZ7" t="e">
        <f>AND(#REF!,"AAAAAF9vzbU=")</f>
        <v>#REF!</v>
      </c>
      <c r="GA7" t="e">
        <f>AND(#REF!,"AAAAAF9vzbY=")</f>
        <v>#REF!</v>
      </c>
      <c r="GB7" t="e">
        <f>AND(#REF!,"AAAAAF9vzbc=")</f>
        <v>#REF!</v>
      </c>
      <c r="GC7" t="e">
        <f>AND(#REF!,"AAAAAF9vzbg=")</f>
        <v>#REF!</v>
      </c>
      <c r="GD7" t="e">
        <f>AND(#REF!,"AAAAAF9vzbk=")</f>
        <v>#REF!</v>
      </c>
      <c r="GE7" t="e">
        <f>IF(#REF!,"AAAAAF9vzbo=",0)</f>
        <v>#REF!</v>
      </c>
      <c r="GF7" t="e">
        <f>AND(#REF!,"AAAAAF9vzbs=")</f>
        <v>#REF!</v>
      </c>
      <c r="GG7" t="e">
        <f>AND(#REF!,"AAAAAF9vzbw=")</f>
        <v>#REF!</v>
      </c>
      <c r="GH7" t="e">
        <f>AND(#REF!,"AAAAAF9vzb0=")</f>
        <v>#REF!</v>
      </c>
      <c r="GI7" t="e">
        <f>AND(#REF!,"AAAAAF9vzb4=")</f>
        <v>#REF!</v>
      </c>
      <c r="GJ7" t="e">
        <f>AND(#REF!,"AAAAAF9vzb8=")</f>
        <v>#REF!</v>
      </c>
      <c r="GK7" t="e">
        <f>AND(#REF!,"AAAAAF9vzcA=")</f>
        <v>#REF!</v>
      </c>
      <c r="GL7" t="e">
        <f>IF(#REF!,"AAAAAF9vzcE=",0)</f>
        <v>#REF!</v>
      </c>
      <c r="GM7" t="e">
        <f>AND(#REF!,"AAAAAF9vzcI=")</f>
        <v>#REF!</v>
      </c>
      <c r="GN7" t="e">
        <f>AND(#REF!,"AAAAAF9vzcM=")</f>
        <v>#REF!</v>
      </c>
      <c r="GO7" t="e">
        <f>AND(#REF!,"AAAAAF9vzcQ=")</f>
        <v>#REF!</v>
      </c>
      <c r="GP7" t="e">
        <f>AND(#REF!,"AAAAAF9vzcU=")</f>
        <v>#REF!</v>
      </c>
      <c r="GQ7" t="e">
        <f>AND(#REF!,"AAAAAF9vzcY=")</f>
        <v>#REF!</v>
      </c>
      <c r="GR7" t="e">
        <f>AND(#REF!,"AAAAAF9vzcc=")</f>
        <v>#REF!</v>
      </c>
      <c r="GS7" t="e">
        <f>IF(#REF!,"AAAAAF9vzcg=",0)</f>
        <v>#REF!</v>
      </c>
      <c r="GT7" t="e">
        <f>IF(#REF!,"AAAAAF9vzck=",0)</f>
        <v>#REF!</v>
      </c>
      <c r="GU7" t="e">
        <f>IF(#REF!,"AAAAAF9vzco=",0)</f>
        <v>#REF!</v>
      </c>
      <c r="GV7" t="e">
        <f>IF(#REF!,"AAAAAF9vzcs=",0)</f>
        <v>#REF!</v>
      </c>
      <c r="GW7" t="e">
        <f>IF(#REF!,"AAAAAF9vzcw=",0)</f>
        <v>#REF!</v>
      </c>
      <c r="GX7" t="e">
        <f>IF(#REF!,"AAAAAF9vzc0=",0)</f>
        <v>#REF!</v>
      </c>
      <c r="GY7" t="e">
        <f>IF(#REF!,"AAAAAF9vzc4=",0)</f>
        <v>#REF!</v>
      </c>
      <c r="GZ7" t="e">
        <f>IF(#REF!,"AAAAAF9vzc8=",0)</f>
        <v>#REF!</v>
      </c>
      <c r="HA7" t="e">
        <f>IF(#REF!,"AAAAAF9vzdA=",0)</f>
        <v>#REF!</v>
      </c>
      <c r="HB7" t="e">
        <f>IF(#REF!,"AAAAAF9vzdE=",0)</f>
        <v>#REF!</v>
      </c>
      <c r="HC7" t="e">
        <f>IF(#REF!,"AAAAAF9vzdI=",0)</f>
        <v>#REF!</v>
      </c>
      <c r="HD7" t="e">
        <f>IF(#REF!,"AAAAAF9vzdM=",0)</f>
        <v>#REF!</v>
      </c>
      <c r="HE7" t="e">
        <f>IF(#REF!,"AAAAAF9vzdQ=",0)</f>
        <v>#REF!</v>
      </c>
      <c r="HF7" t="e">
        <f>IF(#REF!,"AAAAAF9vzdU=",0)</f>
        <v>#REF!</v>
      </c>
      <c r="HG7" t="e">
        <f>IF(#REF!,"AAAAAF9vzdY=",0)</f>
        <v>#REF!</v>
      </c>
      <c r="HH7" t="e">
        <f>IF(#REF!,"AAAAAF9vzdc=",0)</f>
        <v>#REF!</v>
      </c>
      <c r="HI7" t="e">
        <f>IF(#REF!,"AAAAAF9vzdg=",0)</f>
        <v>#REF!</v>
      </c>
      <c r="HJ7" t="e">
        <f>AND(#REF!,"AAAAAF9vzdk=")</f>
        <v>#REF!</v>
      </c>
      <c r="HK7" t="e">
        <f>IF(#REF!,"AAAAAF9vzdo=",0)</f>
        <v>#REF!</v>
      </c>
      <c r="HL7" s="2" t="s">
        <v>335</v>
      </c>
      <c r="HM7" s="3" t="s">
        <v>336</v>
      </c>
      <c r="HN7" s="4" t="s">
        <v>337</v>
      </c>
      <c r="HO7" s="5" t="s">
        <v>338</v>
      </c>
      <c r="HP7" t="s">
        <v>339</v>
      </c>
      <c r="HQ7" s="6" t="s">
        <v>340</v>
      </c>
      <c r="HR7" s="7" t="s">
        <v>341</v>
      </c>
      <c r="HS7" s="8" t="s">
        <v>342</v>
      </c>
      <c r="HT7" s="9" t="s">
        <v>343</v>
      </c>
      <c r="HU7" s="10" t="s">
        <v>344</v>
      </c>
      <c r="HV7" s="11" t="s">
        <v>345</v>
      </c>
      <c r="HW7" s="12" t="s">
        <v>346</v>
      </c>
      <c r="HX7" s="13" t="s">
        <v>347</v>
      </c>
      <c r="HY7" s="14" t="s">
        <v>348</v>
      </c>
      <c r="HZ7" s="15" t="s">
        <v>349</v>
      </c>
      <c r="IA7" s="16" t="s">
        <v>350</v>
      </c>
      <c r="IB7" s="17" t="s">
        <v>351</v>
      </c>
      <c r="IC7" s="18" t="s">
        <v>352</v>
      </c>
      <c r="ID7" s="19" t="s">
        <v>353</v>
      </c>
      <c r="IE7" s="20" t="s">
        <v>354</v>
      </c>
      <c r="IF7" s="21" t="s">
        <v>355</v>
      </c>
      <c r="IG7" s="22" t="s">
        <v>356</v>
      </c>
    </row>
    <row r="8" spans="1:256">
      <c r="A8" t="e">
        <f>AND(#REF!,"AAAAAB9d2wA=")</f>
        <v>#REF!</v>
      </c>
      <c r="B8" t="e">
        <f>AND(#REF!,"AAAAAB9d2wE=")</f>
        <v>#REF!</v>
      </c>
      <c r="C8" t="e">
        <f>AND(#REF!,"AAAAAB9d2wI=")</f>
        <v>#REF!</v>
      </c>
      <c r="D8" t="e">
        <f>AND(#REF!,"AAAAAB9d2wM=")</f>
        <v>#REF!</v>
      </c>
      <c r="E8" t="e">
        <f>AND(#REF!,"AAAAAB9d2wQ=")</f>
        <v>#REF!</v>
      </c>
      <c r="F8" t="e">
        <f>AND(#REF!,"AAAAAB9d2wU=")</f>
        <v>#REF!</v>
      </c>
      <c r="G8" t="e">
        <f>AND(#REF!,"AAAAAB9d2wY=")</f>
        <v>#REF!</v>
      </c>
      <c r="H8" t="e">
        <f>AND(#REF!,"AAAAAB9d2wc=")</f>
        <v>#REF!</v>
      </c>
      <c r="I8" t="e">
        <f>AND(#REF!,"AAAAAB9d2wg=")</f>
        <v>#REF!</v>
      </c>
      <c r="J8" t="e">
        <f>AND(#REF!,"AAAAAB9d2wk=")</f>
        <v>#REF!</v>
      </c>
      <c r="K8" t="e">
        <f>AND(#REF!,"AAAAAB9d2wo=")</f>
        <v>#REF!</v>
      </c>
      <c r="L8" t="e">
        <f>AND(#REF!,"AAAAAB9d2ws=")</f>
        <v>#REF!</v>
      </c>
      <c r="M8" t="e">
        <f>AND(#REF!,"AAAAAB9d2ww=")</f>
        <v>#REF!</v>
      </c>
      <c r="N8" t="e">
        <f>AND(#REF!,"AAAAAB9d2w0=")</f>
        <v>#REF!</v>
      </c>
      <c r="O8" t="e">
        <f>AND(#REF!,"AAAAAB9d2w4=")</f>
        <v>#REF!</v>
      </c>
      <c r="P8" t="e">
        <f>AND(#REF!,"AAAAAB9d2w8=")</f>
        <v>#REF!</v>
      </c>
      <c r="Q8" t="e">
        <f>AND(#REF!,"AAAAAB9d2xA=")</f>
        <v>#REF!</v>
      </c>
      <c r="R8" t="e">
        <f>AND(#REF!,"AAAAAB9d2xE=")</f>
        <v>#REF!</v>
      </c>
      <c r="S8" t="e">
        <f>AND(#REF!,"AAAAAB9d2xI=")</f>
        <v>#REF!</v>
      </c>
      <c r="T8" t="e">
        <f>AND(#REF!,"AAAAAB9d2xM=")</f>
        <v>#REF!</v>
      </c>
      <c r="U8" t="e">
        <f>AND(#REF!,"AAAAAB9d2xQ=")</f>
        <v>#REF!</v>
      </c>
      <c r="V8" t="e">
        <f>AND(#REF!,"AAAAAB9d2xU=")</f>
        <v>#REF!</v>
      </c>
      <c r="W8" t="e">
        <f>AND(#REF!,"AAAAAB9d2xY=")</f>
        <v>#REF!</v>
      </c>
      <c r="X8" t="e">
        <f>AND(#REF!,"AAAAAB9d2xc=")</f>
        <v>#REF!</v>
      </c>
      <c r="Y8" t="e">
        <f>AND(#REF!,"AAAAAB9d2xg=")</f>
        <v>#REF!</v>
      </c>
      <c r="Z8" t="e">
        <f>AND(#REF!,"AAAAAB9d2xk=")</f>
        <v>#REF!</v>
      </c>
      <c r="AA8" t="e">
        <f>AND(#REF!,"AAAAAB9d2xo=")</f>
        <v>#REF!</v>
      </c>
      <c r="AB8" t="e">
        <f>AND(#REF!,"AAAAAB9d2xs=")</f>
        <v>#REF!</v>
      </c>
      <c r="AC8" t="e">
        <f>AND(#REF!,"AAAAAB9d2xw=")</f>
        <v>#REF!</v>
      </c>
      <c r="AD8" t="e">
        <f>AND(#REF!,"AAAAAB9d2x0=")</f>
        <v>#REF!</v>
      </c>
      <c r="AE8" t="e">
        <f>AND(#REF!,"AAAAAB9d2x4=")</f>
        <v>#REF!</v>
      </c>
      <c r="AF8" t="e">
        <f>AND(#REF!,"AAAAAB9d2x8=")</f>
        <v>#REF!</v>
      </c>
      <c r="AG8" t="e">
        <f>AND(#REF!,"AAAAAB9d2yA=")</f>
        <v>#REF!</v>
      </c>
      <c r="AH8" t="e">
        <f>AND(#REF!,"AAAAAB9d2yE=")</f>
        <v>#REF!</v>
      </c>
      <c r="AI8" t="e">
        <f>AND(#REF!,"AAAAAB9d2yI=")</f>
        <v>#REF!</v>
      </c>
      <c r="AJ8" t="e">
        <f>AND(#REF!,"AAAAAB9d2yM=")</f>
        <v>#REF!</v>
      </c>
      <c r="AK8" t="e">
        <f>AND(#REF!,"AAAAAB9d2yQ=")</f>
        <v>#REF!</v>
      </c>
      <c r="AL8" t="e">
        <f>AND(#REF!,"AAAAAB9d2yU=")</f>
        <v>#REF!</v>
      </c>
      <c r="AM8" t="e">
        <f>AND(#REF!,"AAAAAB9d2yY=")</f>
        <v>#REF!</v>
      </c>
      <c r="AN8" t="e">
        <f>AND(#REF!,"AAAAAB9d2yc=")</f>
        <v>#REF!</v>
      </c>
      <c r="AO8" t="e">
        <f>AND(#REF!,"AAAAAB9d2yg=")</f>
        <v>#REF!</v>
      </c>
      <c r="AP8" t="e">
        <f>AND(#REF!,"AAAAAB9d2yk=")</f>
        <v>#REF!</v>
      </c>
      <c r="AQ8" t="e">
        <f>AND(#REF!,"AAAAAB9d2yo=")</f>
        <v>#REF!</v>
      </c>
      <c r="AR8" t="e">
        <f>AND(#REF!,"AAAAAB9d2ys=")</f>
        <v>#REF!</v>
      </c>
      <c r="AS8" t="e">
        <f>AND(#REF!,"AAAAAB9d2yw=")</f>
        <v>#REF!</v>
      </c>
      <c r="AT8" t="e">
        <f>AND(#REF!,"AAAAAB9d2y0=")</f>
        <v>#REF!</v>
      </c>
      <c r="AU8" t="e">
        <f>AND(#REF!,"AAAAAB9d2y4=")</f>
        <v>#REF!</v>
      </c>
      <c r="AV8" t="e">
        <f>AND(#REF!,"AAAAAB9d2y8=")</f>
        <v>#REF!</v>
      </c>
      <c r="AW8" t="e">
        <f>AND(#REF!,"AAAAAB9d2zA=")</f>
        <v>#REF!</v>
      </c>
      <c r="AX8" t="e">
        <f>AND(#REF!,"AAAAAB9d2zE=")</f>
        <v>#REF!</v>
      </c>
      <c r="AY8" t="e">
        <f>AND(#REF!,"AAAAAB9d2zI=")</f>
        <v>#REF!</v>
      </c>
      <c r="AZ8" t="e">
        <f>AND(#REF!,"AAAAAB9d2zM=")</f>
        <v>#REF!</v>
      </c>
      <c r="BA8" t="e">
        <f>AND(#REF!,"AAAAAB9d2zQ=")</f>
        <v>#REF!</v>
      </c>
      <c r="BB8" t="e">
        <f>AND(#REF!,"AAAAAB9d2zU=")</f>
        <v>#REF!</v>
      </c>
      <c r="BC8" t="e">
        <f>AND(#REF!,"AAAAAB9d2zY=")</f>
        <v>#REF!</v>
      </c>
      <c r="BD8" t="e">
        <f>AND(#REF!,"AAAAAB9d2zc=")</f>
        <v>#REF!</v>
      </c>
      <c r="BE8" t="e">
        <f>AND(#REF!,"AAAAAB9d2zg=")</f>
        <v>#REF!</v>
      </c>
      <c r="BF8" t="e">
        <f>AND(#REF!,"AAAAAB9d2zk=")</f>
        <v>#REF!</v>
      </c>
      <c r="BG8" t="e">
        <f>AND(#REF!,"AAAAAB9d2zo=")</f>
        <v>#REF!</v>
      </c>
      <c r="BH8" t="e">
        <f>AND(#REF!,"AAAAAB9d2zs=")</f>
        <v>#REF!</v>
      </c>
      <c r="BI8" t="e">
        <f>AND(#REF!,"AAAAAB9d2zw=")</f>
        <v>#REF!</v>
      </c>
      <c r="BJ8" t="e">
        <f>AND(#REF!,"AAAAAB9d2z0=")</f>
        <v>#REF!</v>
      </c>
      <c r="BK8" t="e">
        <f>AND(#REF!,"AAAAAB9d2z4=")</f>
        <v>#REF!</v>
      </c>
      <c r="BL8" t="e">
        <f>AND(#REF!,"AAAAAB9d2z8=")</f>
        <v>#REF!</v>
      </c>
      <c r="BM8" t="e">
        <f>AND(#REF!,"AAAAAB9d20A=")</f>
        <v>#REF!</v>
      </c>
      <c r="BN8" t="e">
        <f>AND(#REF!,"AAAAAB9d20E=")</f>
        <v>#REF!</v>
      </c>
      <c r="BO8" t="e">
        <f>AND(#REF!,"AAAAAB9d20I=")</f>
        <v>#REF!</v>
      </c>
      <c r="BP8" t="e">
        <f>AND(#REF!,"AAAAAB9d20M=")</f>
        <v>#REF!</v>
      </c>
      <c r="BQ8" t="e">
        <f>AND(#REF!,"AAAAAB9d20Q=")</f>
        <v>#REF!</v>
      </c>
      <c r="BR8" t="e">
        <f>AND(#REF!,"AAAAAB9d20U=")</f>
        <v>#REF!</v>
      </c>
      <c r="BS8" t="e">
        <f>AND(#REF!,"AAAAAB9d20Y=")</f>
        <v>#REF!</v>
      </c>
      <c r="BT8" t="e">
        <f>AND(#REF!,"AAAAAB9d20c=")</f>
        <v>#REF!</v>
      </c>
      <c r="BU8" t="e">
        <f>AND(#REF!,"AAAAAB9d20g=")</f>
        <v>#REF!</v>
      </c>
      <c r="BV8" t="e">
        <f>AND(#REF!,"AAAAAB9d20k=")</f>
        <v>#REF!</v>
      </c>
      <c r="BW8" t="e">
        <f>AND(#REF!,"AAAAAB9d20o=")</f>
        <v>#REF!</v>
      </c>
      <c r="BX8" t="e">
        <f>AND(#REF!,"AAAAAB9d20s=")</f>
        <v>#REF!</v>
      </c>
      <c r="BY8" t="e">
        <f>AND(#REF!,"AAAAAB9d20w=")</f>
        <v>#REF!</v>
      </c>
      <c r="BZ8" t="e">
        <f>AND(#REF!,"AAAAAB9d200=")</f>
        <v>#REF!</v>
      </c>
      <c r="CA8" t="e">
        <f>AND(#REF!,"AAAAAB9d204=")</f>
        <v>#REF!</v>
      </c>
      <c r="CB8" t="e">
        <f>AND(#REF!,"AAAAAB9d208=")</f>
        <v>#REF!</v>
      </c>
      <c r="CC8" t="e">
        <f>AND(#REF!,"AAAAAB9d21A=")</f>
        <v>#REF!</v>
      </c>
      <c r="CD8" t="e">
        <f>AND(#REF!,"AAAAAB9d21E=")</f>
        <v>#REF!</v>
      </c>
      <c r="CE8" t="e">
        <f>AND(#REF!,"AAAAAB9d21I=")</f>
        <v>#REF!</v>
      </c>
      <c r="CF8" t="e">
        <f>AND(#REF!,"AAAAAB9d21M=")</f>
        <v>#REF!</v>
      </c>
      <c r="CG8" t="e">
        <f>AND(#REF!,"AAAAAB9d21Q=")</f>
        <v>#REF!</v>
      </c>
      <c r="CH8" t="e">
        <f>AND(#REF!,"AAAAAB9d21U=")</f>
        <v>#REF!</v>
      </c>
      <c r="CI8" t="e">
        <f>AND(#REF!,"AAAAAB9d21Y=")</f>
        <v>#REF!</v>
      </c>
      <c r="CJ8" t="e">
        <f>AND(#REF!,"AAAAAB9d21c=")</f>
        <v>#REF!</v>
      </c>
      <c r="CK8" t="e">
        <f>AND(#REF!,"AAAAAB9d21g=")</f>
        <v>#REF!</v>
      </c>
      <c r="CL8" t="e">
        <f>AND(#REF!,"AAAAAB9d21k=")</f>
        <v>#REF!</v>
      </c>
      <c r="CM8" t="e">
        <f>AND(#REF!,"AAAAAB9d21o=")</f>
        <v>#REF!</v>
      </c>
      <c r="CN8" t="e">
        <f>AND(#REF!,"AAAAAB9d21s=")</f>
        <v>#REF!</v>
      </c>
      <c r="CO8" t="e">
        <f>AND(#REF!,"AAAAAB9d21w=")</f>
        <v>#REF!</v>
      </c>
      <c r="CP8" t="e">
        <f>AND(#REF!,"AAAAAB9d210=")</f>
        <v>#REF!</v>
      </c>
      <c r="CQ8" t="e">
        <f>AND(#REF!,"AAAAAB9d214=")</f>
        <v>#REF!</v>
      </c>
      <c r="CR8" t="e">
        <f>AND(#REF!,"AAAAAB9d218=")</f>
        <v>#REF!</v>
      </c>
      <c r="CS8" t="e">
        <f>AND(#REF!,"AAAAAB9d22A=")</f>
        <v>#REF!</v>
      </c>
      <c r="CT8" t="e">
        <f>AND(#REF!,"AAAAAB9d22E=")</f>
        <v>#REF!</v>
      </c>
      <c r="CU8" t="e">
        <f>AND(#REF!,"AAAAAB9d22I=")</f>
        <v>#REF!</v>
      </c>
      <c r="CV8" t="e">
        <f>AND(#REF!,"AAAAAB9d22M=")</f>
        <v>#REF!</v>
      </c>
      <c r="CW8" t="e">
        <f>AND(#REF!,"AAAAAB9d22Q=")</f>
        <v>#REF!</v>
      </c>
      <c r="CX8" t="e">
        <f>AND(#REF!,"AAAAAB9d22U=")</f>
        <v>#REF!</v>
      </c>
      <c r="CY8" t="e">
        <f>AND(#REF!,"AAAAAB9d22Y=")</f>
        <v>#REF!</v>
      </c>
      <c r="CZ8" t="e">
        <f>AND(#REF!,"AAAAAB9d22c=")</f>
        <v>#REF!</v>
      </c>
      <c r="DA8" t="e">
        <f>AND(#REF!,"AAAAAB9d22g=")</f>
        <v>#REF!</v>
      </c>
      <c r="DB8" t="e">
        <f>AND(#REF!,"AAAAAB9d22k=")</f>
        <v>#REF!</v>
      </c>
      <c r="DC8" t="e">
        <f>AND(#REF!,"AAAAAB9d22o=")</f>
        <v>#REF!</v>
      </c>
      <c r="DD8" t="e">
        <f>AND(#REF!,"AAAAAB9d22s=")</f>
        <v>#REF!</v>
      </c>
      <c r="DE8" t="e">
        <f>AND(#REF!,"AAAAAB9d22w=")</f>
        <v>#REF!</v>
      </c>
      <c r="DF8" t="e">
        <f>AND(#REF!,"AAAAAB9d220=")</f>
        <v>#REF!</v>
      </c>
      <c r="DG8" t="e">
        <f>AND(#REF!,"AAAAAB9d224=")</f>
        <v>#REF!</v>
      </c>
      <c r="DH8" t="e">
        <f>AND(#REF!,"AAAAAB9d228=")</f>
        <v>#REF!</v>
      </c>
      <c r="DI8" t="e">
        <f>AND(#REF!,"AAAAAB9d23A=")</f>
        <v>#REF!</v>
      </c>
      <c r="DJ8" t="e">
        <f>AND(#REF!,"AAAAAB9d23E=")</f>
        <v>#REF!</v>
      </c>
      <c r="DK8" t="e">
        <f>AND(#REF!,"AAAAAB9d23I=")</f>
        <v>#REF!</v>
      </c>
      <c r="DL8" t="e">
        <f>AND(#REF!,"AAAAAB9d23M=")</f>
        <v>#REF!</v>
      </c>
      <c r="DM8" t="e">
        <f>AND(#REF!,"AAAAAB9d23Q=")</f>
        <v>#REF!</v>
      </c>
      <c r="DN8" t="e">
        <f>AND(#REF!,"AAAAAB9d23U=")</f>
        <v>#REF!</v>
      </c>
      <c r="DO8" t="e">
        <f>AND(#REF!,"AAAAAB9d23Y=")</f>
        <v>#REF!</v>
      </c>
      <c r="DP8" t="e">
        <f>AND(#REF!,"AAAAAB9d23c=")</f>
        <v>#REF!</v>
      </c>
      <c r="DQ8" t="e">
        <f>AND(#REF!,"AAAAAB9d23g=")</f>
        <v>#REF!</v>
      </c>
      <c r="DR8" t="e">
        <f>AND(#REF!,"AAAAAB9d23k=")</f>
        <v>#REF!</v>
      </c>
      <c r="DS8" t="e">
        <f>AND(#REF!,"AAAAAB9d23o=")</f>
        <v>#REF!</v>
      </c>
      <c r="DT8" t="e">
        <f>AND(#REF!,"AAAAAB9d23s=")</f>
        <v>#REF!</v>
      </c>
      <c r="DU8" t="e">
        <f>AND(#REF!,"AAAAAB9d23w=")</f>
        <v>#REF!</v>
      </c>
      <c r="DV8" t="e">
        <f>AND(#REF!,"AAAAAB9d230=")</f>
        <v>#REF!</v>
      </c>
      <c r="DW8" t="e">
        <f>AND(#REF!,"AAAAAB9d234=")</f>
        <v>#REF!</v>
      </c>
      <c r="DX8" t="e">
        <f>AND(#REF!,"AAAAAB9d238=")</f>
        <v>#REF!</v>
      </c>
      <c r="DY8" t="e">
        <f>AND(#REF!,"AAAAAB9d24A=")</f>
        <v>#REF!</v>
      </c>
      <c r="DZ8" t="e">
        <f>AND(#REF!,"AAAAAB9d24E=")</f>
        <v>#REF!</v>
      </c>
      <c r="EA8" t="e">
        <f>AND(#REF!,"AAAAAB9d24I=")</f>
        <v>#REF!</v>
      </c>
      <c r="EB8" t="e">
        <f>AND(#REF!,"AAAAAB9d24M=")</f>
        <v>#REF!</v>
      </c>
      <c r="EC8" t="e">
        <f>AND(#REF!,"AAAAAB9d24Q=")</f>
        <v>#REF!</v>
      </c>
      <c r="ED8" t="e">
        <f>AND(#REF!,"AAAAAB9d24U=")</f>
        <v>#REF!</v>
      </c>
      <c r="EE8" t="e">
        <f>AND(#REF!,"AAAAAB9d24Y=")</f>
        <v>#REF!</v>
      </c>
      <c r="EF8" t="e">
        <f>AND(#REF!,"AAAAAB9d24c=")</f>
        <v>#REF!</v>
      </c>
      <c r="EG8" t="e">
        <f>AND(#REF!,"AAAAAB9d24g=")</f>
        <v>#REF!</v>
      </c>
      <c r="EH8" t="e">
        <f>AND(#REF!,"AAAAAB9d24k=")</f>
        <v>#REF!</v>
      </c>
      <c r="EI8" t="e">
        <f>AND(#REF!,"AAAAAB9d24o=")</f>
        <v>#REF!</v>
      </c>
      <c r="EJ8" t="e">
        <f>AND(#REF!,"AAAAAB9d24s=")</f>
        <v>#REF!</v>
      </c>
      <c r="EK8" t="e">
        <f>AND(#REF!,"AAAAAB9d24w=")</f>
        <v>#REF!</v>
      </c>
      <c r="EL8" t="e">
        <f>AND(#REF!,"AAAAAB9d240=")</f>
        <v>#REF!</v>
      </c>
      <c r="EM8" t="e">
        <f>AND(#REF!,"AAAAAB9d244=")</f>
        <v>#REF!</v>
      </c>
      <c r="EN8" t="e">
        <f>AND(#REF!,"AAAAAB9d248=")</f>
        <v>#REF!</v>
      </c>
      <c r="EO8" t="e">
        <f>AND(#REF!,"AAAAAB9d25A=")</f>
        <v>#REF!</v>
      </c>
      <c r="EP8" t="e">
        <f>AND(#REF!,"AAAAAB9d25E=")</f>
        <v>#REF!</v>
      </c>
      <c r="EQ8" t="e">
        <f>AND(#REF!,"AAAAAB9d25I=")</f>
        <v>#REF!</v>
      </c>
      <c r="ER8" t="e">
        <f>AND(#REF!,"AAAAAB9d25M=")</f>
        <v>#REF!</v>
      </c>
      <c r="ES8" t="e">
        <f>AND(#REF!,"AAAAAB9d25Q=")</f>
        <v>#REF!</v>
      </c>
      <c r="ET8" t="e">
        <f>AND(#REF!,"AAAAAB9d25U=")</f>
        <v>#REF!</v>
      </c>
      <c r="EU8" t="e">
        <f>AND(#REF!,"AAAAAB9d25Y=")</f>
        <v>#REF!</v>
      </c>
      <c r="EV8" t="e">
        <f>AND(#REF!,"AAAAAB9d25c=")</f>
        <v>#REF!</v>
      </c>
      <c r="EW8" t="e">
        <f>AND(#REF!,"AAAAAB9d25g=")</f>
        <v>#REF!</v>
      </c>
      <c r="EX8" t="e">
        <f>AND(#REF!,"AAAAAB9d25k=")</f>
        <v>#REF!</v>
      </c>
      <c r="EY8" t="e">
        <f>AND(#REF!,"AAAAAB9d25o=")</f>
        <v>#REF!</v>
      </c>
      <c r="EZ8" t="e">
        <f>AND(#REF!,"AAAAAB9d25s=")</f>
        <v>#REF!</v>
      </c>
      <c r="FA8" t="e">
        <f>AND(#REF!,"AAAAAB9d25w=")</f>
        <v>#REF!</v>
      </c>
      <c r="FB8" t="e">
        <f>AND(#REF!,"AAAAAB9d250=")</f>
        <v>#REF!</v>
      </c>
      <c r="FC8" t="e">
        <f>AND(#REF!,"AAAAAB9d254=")</f>
        <v>#REF!</v>
      </c>
      <c r="FD8" t="e">
        <f>AND(#REF!,"AAAAAB9d258=")</f>
        <v>#REF!</v>
      </c>
      <c r="FE8" t="e">
        <f>AND(#REF!,"AAAAAB9d26A=")</f>
        <v>#REF!</v>
      </c>
      <c r="FF8" t="e">
        <f>AND(#REF!,"AAAAAB9d26E=")</f>
        <v>#REF!</v>
      </c>
      <c r="FG8" t="e">
        <f>AND(#REF!,"AAAAAB9d26I=")</f>
        <v>#REF!</v>
      </c>
      <c r="FH8" t="e">
        <f>AND(#REF!,"AAAAAB9d26M=")</f>
        <v>#REF!</v>
      </c>
      <c r="FI8" t="e">
        <f>AND(#REF!,"AAAAAB9d26Q=")</f>
        <v>#REF!</v>
      </c>
      <c r="FJ8" t="e">
        <f>AND(#REF!,"AAAAAB9d26U=")</f>
        <v>#REF!</v>
      </c>
      <c r="FK8" t="e">
        <f>AND(#REF!,"AAAAAB9d26Y=")</f>
        <v>#REF!</v>
      </c>
      <c r="FL8" t="e">
        <f>AND(#REF!,"AAAAAB9d26c=")</f>
        <v>#REF!</v>
      </c>
      <c r="FM8" t="e">
        <f>AND(#REF!,"AAAAAB9d26g=")</f>
        <v>#REF!</v>
      </c>
      <c r="FN8" t="e">
        <f>AND(#REF!,"AAAAAB9d26k=")</f>
        <v>#REF!</v>
      </c>
      <c r="FO8" t="e">
        <f>AND(#REF!,"AAAAAB9d26o=")</f>
        <v>#REF!</v>
      </c>
      <c r="FP8" t="e">
        <f>AND(#REF!,"AAAAAB9d26s=")</f>
        <v>#REF!</v>
      </c>
      <c r="FQ8" t="e">
        <f>AND(#REF!,"AAAAAB9d26w=")</f>
        <v>#REF!</v>
      </c>
      <c r="FR8" t="e">
        <f>AND(#REF!,"AAAAAB9d260=")</f>
        <v>#REF!</v>
      </c>
      <c r="FS8" t="e">
        <f>AND(#REF!,"AAAAAB9d264=")</f>
        <v>#REF!</v>
      </c>
      <c r="FT8" t="e">
        <f>AND(#REF!,"AAAAAB9d268=")</f>
        <v>#REF!</v>
      </c>
      <c r="FU8" t="e">
        <f>AND(#REF!,"AAAAAB9d27A=")</f>
        <v>#REF!</v>
      </c>
      <c r="FV8" t="e">
        <f>AND(#REF!,"AAAAAB9d27E=")</f>
        <v>#REF!</v>
      </c>
      <c r="FW8" t="e">
        <f>AND(#REF!,"AAAAAB9d27I=")</f>
        <v>#REF!</v>
      </c>
      <c r="FX8" t="e">
        <f>AND(#REF!,"AAAAAB9d27M=")</f>
        <v>#REF!</v>
      </c>
      <c r="FY8" t="e">
        <f>AND(#REF!,"AAAAAB9d27Q=")</f>
        <v>#REF!</v>
      </c>
      <c r="FZ8" t="e">
        <f>AND(#REF!,"AAAAAB9d27U=")</f>
        <v>#REF!</v>
      </c>
      <c r="GA8" t="e">
        <f>AND(#REF!,"AAAAAB9d27Y=")</f>
        <v>#REF!</v>
      </c>
      <c r="GB8" t="e">
        <f>AND(#REF!,"AAAAAB9d27c=")</f>
        <v>#REF!</v>
      </c>
      <c r="GC8" t="e">
        <f>AND(#REF!,"AAAAAB9d27g=")</f>
        <v>#REF!</v>
      </c>
      <c r="GD8" t="e">
        <f>AND(#REF!,"AAAAAB9d27k=")</f>
        <v>#REF!</v>
      </c>
      <c r="GE8" t="e">
        <f>AND(#REF!,"AAAAAB9d27o=")</f>
        <v>#REF!</v>
      </c>
      <c r="GF8" t="e">
        <f>AND(#REF!,"AAAAAB9d27s=")</f>
        <v>#REF!</v>
      </c>
      <c r="GG8" t="e">
        <f>AND(#REF!,"AAAAAB9d27w=")</f>
        <v>#REF!</v>
      </c>
      <c r="GH8" t="e">
        <f>AND(#REF!,"AAAAAB9d270=")</f>
        <v>#REF!</v>
      </c>
      <c r="GI8" t="e">
        <f>AND(#REF!,"AAAAAB9d274=")</f>
        <v>#REF!</v>
      </c>
      <c r="GJ8" t="e">
        <f>AND(#REF!,"AAAAAB9d278=")</f>
        <v>#REF!</v>
      </c>
      <c r="GK8" t="e">
        <f>AND(#REF!,"AAAAAB9d28A=")</f>
        <v>#REF!</v>
      </c>
      <c r="GL8" t="e">
        <f>AND(#REF!,"AAAAAB9d28E=")</f>
        <v>#REF!</v>
      </c>
      <c r="GM8" t="e">
        <f>AND(#REF!,"AAAAAB9d28I=")</f>
        <v>#REF!</v>
      </c>
      <c r="GN8" t="e">
        <f>AND(#REF!,"AAAAAB9d28M=")</f>
        <v>#REF!</v>
      </c>
      <c r="GO8" t="e">
        <f>AND(#REF!,"AAAAAB9d28Q=")</f>
        <v>#REF!</v>
      </c>
      <c r="GP8" t="e">
        <f>AND(#REF!,"AAAAAB9d28U=")</f>
        <v>#REF!</v>
      </c>
      <c r="GQ8" t="e">
        <f>AND(#REF!,"AAAAAB9d28Y=")</f>
        <v>#REF!</v>
      </c>
      <c r="GR8" t="e">
        <f>AND(#REF!,"AAAAAB9d28c=")</f>
        <v>#REF!</v>
      </c>
      <c r="GS8" t="e">
        <f>AND(#REF!,"AAAAAB9d28g=")</f>
        <v>#REF!</v>
      </c>
      <c r="GT8" t="e">
        <f>AND(#REF!,"AAAAAB9d28k=")</f>
        <v>#REF!</v>
      </c>
      <c r="GU8" t="e">
        <f>AND(#REF!,"AAAAAB9d28o=")</f>
        <v>#REF!</v>
      </c>
      <c r="GV8" t="e">
        <f>AND(#REF!,"AAAAAB9d28s=")</f>
        <v>#REF!</v>
      </c>
      <c r="GW8" t="e">
        <f>AND(#REF!,"AAAAAB9d28w=")</f>
        <v>#REF!</v>
      </c>
      <c r="GX8" t="e">
        <f>AND(#REF!,"AAAAAB9d280=")</f>
        <v>#REF!</v>
      </c>
      <c r="GY8" t="e">
        <f>AND(#REF!,"AAAAAB9d284=")</f>
        <v>#REF!</v>
      </c>
      <c r="GZ8" t="e">
        <f>AND(#REF!,"AAAAAB9d288=")</f>
        <v>#REF!</v>
      </c>
      <c r="HA8" t="e">
        <f>AND(#REF!,"AAAAAB9d29A=")</f>
        <v>#REF!</v>
      </c>
      <c r="HB8" t="e">
        <f>AND(#REF!,"AAAAAB9d29E=")</f>
        <v>#REF!</v>
      </c>
      <c r="HC8" t="e">
        <f>AND(#REF!,"AAAAAB9d29I=")</f>
        <v>#REF!</v>
      </c>
      <c r="HD8" t="e">
        <f>AND(#REF!,"AAAAAB9d29M=")</f>
        <v>#REF!</v>
      </c>
      <c r="HE8" t="e">
        <f>AND(#REF!,"AAAAAB9d29Q=")</f>
        <v>#REF!</v>
      </c>
      <c r="HF8" t="e">
        <f>AND(#REF!,"AAAAAB9d29U=")</f>
        <v>#REF!</v>
      </c>
      <c r="HG8" t="e">
        <f>AND(#REF!,"AAAAAB9d29Y=")</f>
        <v>#REF!</v>
      </c>
      <c r="HH8" t="e">
        <f>AND(#REF!,"AAAAAB9d29c=")</f>
        <v>#REF!</v>
      </c>
      <c r="HI8" t="e">
        <f>AND(#REF!,"AAAAAB9d29g=")</f>
        <v>#REF!</v>
      </c>
      <c r="HJ8" t="e">
        <f>AND(#REF!,"AAAAAB9d29k=")</f>
        <v>#REF!</v>
      </c>
      <c r="HK8" t="e">
        <f>AND(#REF!,"AAAAAB9d29o=")</f>
        <v>#REF!</v>
      </c>
      <c r="HL8" t="e">
        <f>AND(#REF!,"AAAAAB9d29s=")</f>
        <v>#REF!</v>
      </c>
      <c r="HM8" t="e">
        <f>AND(#REF!,"AAAAAB9d29w=")</f>
        <v>#REF!</v>
      </c>
      <c r="HN8" t="e">
        <f>AND(#REF!,"AAAAAB9d290=")</f>
        <v>#REF!</v>
      </c>
      <c r="HO8" t="e">
        <f>AND(#REF!,"AAAAAB9d294=")</f>
        <v>#REF!</v>
      </c>
      <c r="HP8" t="e">
        <f>AND(#REF!,"AAAAAB9d298=")</f>
        <v>#REF!</v>
      </c>
      <c r="HQ8" t="e">
        <f>AND(#REF!,"AAAAAB9d2+A=")</f>
        <v>#REF!</v>
      </c>
      <c r="HR8" t="e">
        <f>AND(#REF!,"AAAAAB9d2+E=")</f>
        <v>#REF!</v>
      </c>
      <c r="HS8" t="e">
        <f>AND(#REF!,"AAAAAB9d2+I=")</f>
        <v>#REF!</v>
      </c>
      <c r="HT8" t="e">
        <f>AND(#REF!,"AAAAAB9d2+M=")</f>
        <v>#REF!</v>
      </c>
      <c r="HU8" t="e">
        <f>AND(#REF!,"AAAAAB9d2+Q=")</f>
        <v>#REF!</v>
      </c>
      <c r="HV8" t="e">
        <f>AND(#REF!,"AAAAAB9d2+U=")</f>
        <v>#REF!</v>
      </c>
      <c r="HW8" t="e">
        <f>AND(#REF!,"AAAAAB9d2+Y=")</f>
        <v>#REF!</v>
      </c>
      <c r="HX8" t="e">
        <f>AND(#REF!,"AAAAAB9d2+c=")</f>
        <v>#REF!</v>
      </c>
      <c r="HY8" t="e">
        <f>AND(#REF!,"AAAAAB9d2+g=")</f>
        <v>#REF!</v>
      </c>
      <c r="HZ8" t="e">
        <f>AND(#REF!,"AAAAAB9d2+k=")</f>
        <v>#REF!</v>
      </c>
      <c r="IA8" t="e">
        <f>AND(#REF!,"AAAAAB9d2+o=")</f>
        <v>#REF!</v>
      </c>
      <c r="IB8" t="e">
        <f>AND(#REF!,"AAAAAB9d2+s=")</f>
        <v>#REF!</v>
      </c>
      <c r="IC8" t="e">
        <f>AND(#REF!,"AAAAAB9d2+w=")</f>
        <v>#REF!</v>
      </c>
      <c r="ID8" t="e">
        <f>AND(#REF!,"AAAAAB9d2+0=")</f>
        <v>#REF!</v>
      </c>
      <c r="IE8" t="e">
        <f>AND(#REF!,"AAAAAB9d2+4=")</f>
        <v>#REF!</v>
      </c>
      <c r="IF8" t="e">
        <f>AND(#REF!,"AAAAAB9d2+8=")</f>
        <v>#REF!</v>
      </c>
      <c r="IG8" t="e">
        <f>AND(#REF!,"AAAAAB9d2/A=")</f>
        <v>#REF!</v>
      </c>
      <c r="IH8" t="e">
        <f>AND(#REF!,"AAAAAB9d2/E=")</f>
        <v>#REF!</v>
      </c>
      <c r="II8" t="e">
        <f>AND(#REF!,"AAAAAB9d2/I=")</f>
        <v>#REF!</v>
      </c>
      <c r="IJ8" t="e">
        <f>AND(#REF!,"AAAAAB9d2/M=")</f>
        <v>#REF!</v>
      </c>
      <c r="IK8" t="e">
        <f>AND(#REF!,"AAAAAB9d2/Q=")</f>
        <v>#REF!</v>
      </c>
      <c r="IL8" t="e">
        <f>AND(#REF!,"AAAAAB9d2/U=")</f>
        <v>#REF!</v>
      </c>
      <c r="IM8" t="e">
        <f>AND(#REF!,"AAAAAB9d2/Y=")</f>
        <v>#REF!</v>
      </c>
      <c r="IN8" t="e">
        <f>AND(#REF!,"AAAAAB9d2/c=")</f>
        <v>#REF!</v>
      </c>
      <c r="IO8" t="e">
        <f>AND(#REF!,"AAAAAB9d2/g=")</f>
        <v>#REF!</v>
      </c>
      <c r="IP8" t="e">
        <f>AND(#REF!,"AAAAAB9d2/k=")</f>
        <v>#REF!</v>
      </c>
      <c r="IQ8" t="e">
        <f>AND(#REF!,"AAAAAB9d2/o=")</f>
        <v>#REF!</v>
      </c>
      <c r="IR8" t="e">
        <f>AND(#REF!,"AAAAAB9d2/s=")</f>
        <v>#REF!</v>
      </c>
      <c r="IS8" t="e">
        <f>AND(#REF!,"AAAAAB9d2/w=")</f>
        <v>#REF!</v>
      </c>
      <c r="IT8" t="e">
        <f>AND(#REF!,"AAAAAB9d2/0=")</f>
        <v>#REF!</v>
      </c>
      <c r="IU8" t="e">
        <f>AND(#REF!,"AAAAAB9d2/4=")</f>
        <v>#REF!</v>
      </c>
      <c r="IV8" t="e">
        <f>AND(#REF!,"AAAAAB9d2/8=")</f>
        <v>#REF!</v>
      </c>
    </row>
    <row r="9" spans="1:256">
      <c r="A9" t="e">
        <f>AND(#REF!,"AAAAAH38tgA=")</f>
        <v>#REF!</v>
      </c>
      <c r="B9" t="e">
        <f>AND(#REF!,"AAAAAH38tgE=")</f>
        <v>#REF!</v>
      </c>
      <c r="C9" t="e">
        <f>AND(#REF!,"AAAAAH38tgI=")</f>
        <v>#REF!</v>
      </c>
      <c r="D9" t="e">
        <f>AND(#REF!,"AAAAAH38tgM=")</f>
        <v>#REF!</v>
      </c>
      <c r="E9" t="e">
        <f>AND(#REF!,"AAAAAH38tgQ=")</f>
        <v>#REF!</v>
      </c>
      <c r="F9" t="e">
        <f>AND(#REF!,"AAAAAH38tgU=")</f>
        <v>#REF!</v>
      </c>
      <c r="G9" t="e">
        <f>AND(#REF!,"AAAAAH38tgY=")</f>
        <v>#REF!</v>
      </c>
      <c r="H9" t="e">
        <f>AND(#REF!,"AAAAAH38tgc=")</f>
        <v>#REF!</v>
      </c>
      <c r="I9" t="e">
        <f>AND(#REF!,"AAAAAH38tgg=")</f>
        <v>#REF!</v>
      </c>
      <c r="J9" t="e">
        <f>AND(#REF!,"AAAAAH38tgk=")</f>
        <v>#REF!</v>
      </c>
      <c r="K9" t="e">
        <f>AND(#REF!,"AAAAAH38tgo=")</f>
        <v>#REF!</v>
      </c>
      <c r="L9" t="e">
        <f>AND(#REF!,"AAAAAH38tgs=")</f>
        <v>#REF!</v>
      </c>
      <c r="M9" t="e">
        <f>AND(#REF!,"AAAAAH38tgw=")</f>
        <v>#REF!</v>
      </c>
      <c r="N9" t="e">
        <f>AND(#REF!,"AAAAAH38tg0=")</f>
        <v>#REF!</v>
      </c>
      <c r="O9" t="e">
        <f>AND(#REF!,"AAAAAH38tg4=")</f>
        <v>#REF!</v>
      </c>
      <c r="P9" t="e">
        <f>AND(#REF!,"AAAAAH38tg8=")</f>
        <v>#REF!</v>
      </c>
      <c r="Q9" t="e">
        <f>AND(#REF!,"AAAAAH38thA=")</f>
        <v>#REF!</v>
      </c>
      <c r="R9" t="e">
        <f>AND(#REF!,"AAAAAH38thE=")</f>
        <v>#REF!</v>
      </c>
      <c r="S9" t="e">
        <f>AND(#REF!,"AAAAAH38thI=")</f>
        <v>#REF!</v>
      </c>
      <c r="T9" t="e">
        <f>AND(#REF!,"AAAAAH38thM=")</f>
        <v>#REF!</v>
      </c>
      <c r="U9" t="e">
        <f>AND(#REF!,"AAAAAH38thQ=")</f>
        <v>#REF!</v>
      </c>
      <c r="V9" t="e">
        <f>AND(#REF!,"AAAAAH38thU=")</f>
        <v>#REF!</v>
      </c>
      <c r="W9" t="e">
        <f>AND(#REF!,"AAAAAH38thY=")</f>
        <v>#REF!</v>
      </c>
      <c r="X9" t="e">
        <f>AND(#REF!,"AAAAAH38thc=")</f>
        <v>#REF!</v>
      </c>
      <c r="Y9" t="e">
        <f>AND(#REF!,"AAAAAH38thg=")</f>
        <v>#REF!</v>
      </c>
      <c r="Z9" t="e">
        <f>AND(#REF!,"AAAAAH38thk=")</f>
        <v>#REF!</v>
      </c>
      <c r="AA9" t="e">
        <f>AND(#REF!,"AAAAAH38tho=")</f>
        <v>#REF!</v>
      </c>
      <c r="AB9" t="e">
        <f>AND(#REF!,"AAAAAH38ths=")</f>
        <v>#REF!</v>
      </c>
      <c r="AC9" t="e">
        <f>AND(#REF!,"AAAAAH38thw=")</f>
        <v>#REF!</v>
      </c>
      <c r="AD9" t="e">
        <f>AND(#REF!,"AAAAAH38th0=")</f>
        <v>#REF!</v>
      </c>
      <c r="AE9" t="e">
        <f>AND(#REF!,"AAAAAH38th4=")</f>
        <v>#REF!</v>
      </c>
      <c r="AF9" t="e">
        <f>AND(#REF!,"AAAAAH38th8=")</f>
        <v>#REF!</v>
      </c>
      <c r="AG9" t="e">
        <f>AND(#REF!,"AAAAAH38tiA=")</f>
        <v>#REF!</v>
      </c>
      <c r="AH9" t="e">
        <f>AND(#REF!,"AAAAAH38tiE=")</f>
        <v>#REF!</v>
      </c>
      <c r="AI9" t="e">
        <f>AND(#REF!,"AAAAAH38tiI=")</f>
        <v>#REF!</v>
      </c>
      <c r="AJ9" t="e">
        <f>AND(#REF!,"AAAAAH38tiM=")</f>
        <v>#REF!</v>
      </c>
      <c r="AK9" t="e">
        <f>AND(#REF!,"AAAAAH38tiQ=")</f>
        <v>#REF!</v>
      </c>
      <c r="AL9" t="e">
        <f>AND(#REF!,"AAAAAH38tiU=")</f>
        <v>#REF!</v>
      </c>
      <c r="AM9" t="e">
        <f>AND(#REF!,"AAAAAH38tiY=")</f>
        <v>#REF!</v>
      </c>
      <c r="AN9" t="e">
        <f>AND(#REF!,"AAAAAH38tic=")</f>
        <v>#REF!</v>
      </c>
      <c r="AO9" t="e">
        <f>AND(#REF!,"AAAAAH38tig=")</f>
        <v>#REF!</v>
      </c>
      <c r="AP9" t="e">
        <f>AND(#REF!,"AAAAAH38tik=")</f>
        <v>#REF!</v>
      </c>
      <c r="AQ9" t="e">
        <f>AND(#REF!,"AAAAAH38tio=")</f>
        <v>#REF!</v>
      </c>
      <c r="AR9" t="e">
        <f>AND(#REF!,"AAAAAH38tis=")</f>
        <v>#REF!</v>
      </c>
      <c r="AS9" t="e">
        <f>AND(#REF!,"AAAAAH38tiw=")</f>
        <v>#REF!</v>
      </c>
      <c r="AT9" t="e">
        <f>AND(#REF!,"AAAAAH38ti0=")</f>
        <v>#REF!</v>
      </c>
      <c r="AU9" t="e">
        <f>AND(#REF!,"AAAAAH38ti4=")</f>
        <v>#REF!</v>
      </c>
      <c r="AV9" t="e">
        <f>AND(#REF!,"AAAAAH38ti8=")</f>
        <v>#REF!</v>
      </c>
      <c r="AW9" t="e">
        <f>AND(#REF!,"AAAAAH38tjA=")</f>
        <v>#REF!</v>
      </c>
      <c r="AX9" t="e">
        <f>AND(#REF!,"AAAAAH38tjE=")</f>
        <v>#REF!</v>
      </c>
      <c r="AY9" t="e">
        <f>AND(#REF!,"AAAAAH38tjI=")</f>
        <v>#REF!</v>
      </c>
      <c r="AZ9" t="e">
        <f>AND(#REF!,"AAAAAH38tjM=")</f>
        <v>#REF!</v>
      </c>
      <c r="BA9" t="e">
        <f>AND(#REF!,"AAAAAH38tjQ=")</f>
        <v>#REF!</v>
      </c>
      <c r="BB9" t="e">
        <f>AND(#REF!,"AAAAAH38tjU=")</f>
        <v>#REF!</v>
      </c>
      <c r="BC9" t="e">
        <f>AND(#REF!,"AAAAAH38tjY=")</f>
        <v>#REF!</v>
      </c>
      <c r="BD9" t="e">
        <f>AND(#REF!,"AAAAAH38tjc=")</f>
        <v>#REF!</v>
      </c>
      <c r="BE9" t="e">
        <f>AND(#REF!,"AAAAAH38tjg=")</f>
        <v>#REF!</v>
      </c>
      <c r="BF9" t="e">
        <f>AND(#REF!,"AAAAAH38tjk=")</f>
        <v>#REF!</v>
      </c>
      <c r="BG9" t="e">
        <f>AND(#REF!,"AAAAAH38tjo=")</f>
        <v>#REF!</v>
      </c>
      <c r="BH9" t="e">
        <f>AND(#REF!,"AAAAAH38tjs=")</f>
        <v>#REF!</v>
      </c>
      <c r="BI9" t="e">
        <f>AND(#REF!,"AAAAAH38tjw=")</f>
        <v>#REF!</v>
      </c>
      <c r="BJ9" t="e">
        <f>AND(#REF!,"AAAAAH38tj0=")</f>
        <v>#REF!</v>
      </c>
      <c r="BK9" t="e">
        <f>AND(#REF!,"AAAAAH38tj4=")</f>
        <v>#REF!</v>
      </c>
      <c r="BL9" t="e">
        <f>AND(#REF!,"AAAAAH38tj8=")</f>
        <v>#REF!</v>
      </c>
      <c r="BM9" t="e">
        <f>AND(#REF!,"AAAAAH38tkA=")</f>
        <v>#REF!</v>
      </c>
      <c r="BN9" t="e">
        <f>AND(#REF!,"AAAAAH38tkE=")</f>
        <v>#REF!</v>
      </c>
      <c r="BO9" t="e">
        <f>AND(#REF!,"AAAAAH38tkI=")</f>
        <v>#REF!</v>
      </c>
      <c r="BP9" t="e">
        <f>AND(#REF!,"AAAAAH38tkM=")</f>
        <v>#REF!</v>
      </c>
      <c r="BQ9" t="e">
        <f>AND(#REF!,"AAAAAH38tkQ=")</f>
        <v>#REF!</v>
      </c>
      <c r="BR9" t="e">
        <f>AND(#REF!,"AAAAAH38tkU=")</f>
        <v>#REF!</v>
      </c>
      <c r="BS9" t="e">
        <f>AND(#REF!,"AAAAAH38tkY=")</f>
        <v>#REF!</v>
      </c>
      <c r="BT9" t="e">
        <f>AND(#REF!,"AAAAAH38tkc=")</f>
        <v>#REF!</v>
      </c>
      <c r="BU9" t="e">
        <f>AND(#REF!,"AAAAAH38tkg=")</f>
        <v>#REF!</v>
      </c>
      <c r="BV9" t="e">
        <f>AND(#REF!,"AAAAAH38tkk=")</f>
        <v>#REF!</v>
      </c>
      <c r="BW9" t="e">
        <f>AND(#REF!,"AAAAAH38tko=")</f>
        <v>#REF!</v>
      </c>
      <c r="BX9" t="e">
        <f>AND(#REF!,"AAAAAH38tks=")</f>
        <v>#REF!</v>
      </c>
      <c r="BY9" t="e">
        <f>AND(#REF!,"AAAAAH38tkw=")</f>
        <v>#REF!</v>
      </c>
      <c r="BZ9" t="e">
        <f>AND(#REF!,"AAAAAH38tk0=")</f>
        <v>#REF!</v>
      </c>
      <c r="CA9" t="e">
        <f>AND(#REF!,"AAAAAH38tk4=")</f>
        <v>#REF!</v>
      </c>
      <c r="CB9" t="e">
        <f>AND(#REF!,"AAAAAH38tk8=")</f>
        <v>#REF!</v>
      </c>
      <c r="CC9" t="e">
        <f>AND(#REF!,"AAAAAH38tlA=")</f>
        <v>#REF!</v>
      </c>
      <c r="CD9" t="e">
        <f>AND(#REF!,"AAAAAH38tlE=")</f>
        <v>#REF!</v>
      </c>
      <c r="CE9" t="e">
        <f>AND(#REF!,"AAAAAH38tlI=")</f>
        <v>#REF!</v>
      </c>
      <c r="CF9" t="e">
        <f>AND(#REF!,"AAAAAH38tlM=")</f>
        <v>#REF!</v>
      </c>
      <c r="CG9" t="e">
        <f>AND(#REF!,"AAAAAH38tlQ=")</f>
        <v>#REF!</v>
      </c>
      <c r="CH9" t="e">
        <f>AND(#REF!,"AAAAAH38tlU=")</f>
        <v>#REF!</v>
      </c>
      <c r="CI9" t="e">
        <f>AND(#REF!,"AAAAAH38tlY=")</f>
        <v>#REF!</v>
      </c>
      <c r="CJ9" t="e">
        <f>AND(#REF!,"AAAAAH38tlc=")</f>
        <v>#REF!</v>
      </c>
      <c r="CK9" t="e">
        <f>AND(#REF!,"AAAAAH38tlg=")</f>
        <v>#REF!</v>
      </c>
      <c r="CL9" t="e">
        <f>AND(#REF!,"AAAAAH38tlk=")</f>
        <v>#REF!</v>
      </c>
      <c r="CM9" t="e">
        <f>AND(#REF!,"AAAAAH38tlo=")</f>
        <v>#REF!</v>
      </c>
      <c r="CN9" t="e">
        <f>AND(#REF!,"AAAAAH38tls=")</f>
        <v>#REF!</v>
      </c>
      <c r="CO9" t="e">
        <f>AND(#REF!,"AAAAAH38tlw=")</f>
        <v>#REF!</v>
      </c>
      <c r="CP9" t="e">
        <f>AND(#REF!,"AAAAAH38tl0=")</f>
        <v>#REF!</v>
      </c>
      <c r="CQ9" t="e">
        <f>AND(#REF!,"AAAAAH38tl4=")</f>
        <v>#REF!</v>
      </c>
      <c r="CR9" t="e">
        <f>AND(#REF!,"AAAAAH38tl8=")</f>
        <v>#REF!</v>
      </c>
      <c r="CS9" t="e">
        <f>AND(#REF!,"AAAAAH38tmA=")</f>
        <v>#REF!</v>
      </c>
      <c r="CT9" t="e">
        <f>AND(#REF!,"AAAAAH38tmE=")</f>
        <v>#REF!</v>
      </c>
      <c r="CU9" t="e">
        <f>AND(#REF!,"AAAAAH38tmI=")</f>
        <v>#REF!</v>
      </c>
      <c r="CV9" t="e">
        <f>AND(#REF!,"AAAAAH38tmM=")</f>
        <v>#REF!</v>
      </c>
      <c r="CW9" t="e">
        <f>AND(#REF!,"AAAAAH38tmQ=")</f>
        <v>#REF!</v>
      </c>
      <c r="CX9" t="e">
        <f>AND(#REF!,"AAAAAH38tmU=")</f>
        <v>#REF!</v>
      </c>
      <c r="CY9" t="e">
        <f>AND(#REF!,"AAAAAH38tmY=")</f>
        <v>#REF!</v>
      </c>
      <c r="CZ9" t="e">
        <f>AND(#REF!,"AAAAAH38tmc=")</f>
        <v>#REF!</v>
      </c>
      <c r="DA9" t="e">
        <f>AND(#REF!,"AAAAAH38tmg=")</f>
        <v>#REF!</v>
      </c>
      <c r="DB9" t="e">
        <f>AND(#REF!,"AAAAAH38tmk=")</f>
        <v>#REF!</v>
      </c>
      <c r="DC9" t="e">
        <f>AND(#REF!,"AAAAAH38tmo=")</f>
        <v>#REF!</v>
      </c>
      <c r="DD9" t="e">
        <f>AND(#REF!,"AAAAAH38tms=")</f>
        <v>#REF!</v>
      </c>
      <c r="DE9" t="e">
        <f>AND(#REF!,"AAAAAH38tmw=")</f>
        <v>#REF!</v>
      </c>
      <c r="DF9" t="e">
        <f>AND(#REF!,"AAAAAH38tm0=")</f>
        <v>#REF!</v>
      </c>
      <c r="DG9" t="e">
        <f>AND(#REF!,"AAAAAH38tm4=")</f>
        <v>#REF!</v>
      </c>
      <c r="DH9" t="e">
        <f>AND(#REF!,"AAAAAH38tm8=")</f>
        <v>#REF!</v>
      </c>
      <c r="DI9" t="e">
        <f>AND(#REF!,"AAAAAH38tnA=")</f>
        <v>#REF!</v>
      </c>
      <c r="DJ9" t="e">
        <f>AND(#REF!,"AAAAAH38tnE=")</f>
        <v>#REF!</v>
      </c>
      <c r="DK9" t="e">
        <f>AND(#REF!,"AAAAAH38tnI=")</f>
        <v>#REF!</v>
      </c>
      <c r="DL9" t="e">
        <f>AND(#REF!,"AAAAAH38tnM=")</f>
        <v>#REF!</v>
      </c>
      <c r="DM9" t="e">
        <f>AND(#REF!,"AAAAAH38tnQ=")</f>
        <v>#REF!</v>
      </c>
      <c r="DN9" t="e">
        <f>AND(#REF!,"AAAAAH38tnU=")</f>
        <v>#REF!</v>
      </c>
      <c r="DO9" t="e">
        <f>AND(#REF!,"AAAAAH38tnY=")</f>
        <v>#REF!</v>
      </c>
      <c r="DP9" t="e">
        <f>AND(#REF!,"AAAAAH38tnc=")</f>
        <v>#REF!</v>
      </c>
      <c r="DQ9" t="e">
        <f>AND(#REF!,"AAAAAH38tng=")</f>
        <v>#REF!</v>
      </c>
      <c r="DR9" t="e">
        <f>AND(#REF!,"AAAAAH38tnk=")</f>
        <v>#REF!</v>
      </c>
      <c r="DS9" t="e">
        <f>AND(#REF!,"AAAAAH38tno=")</f>
        <v>#REF!</v>
      </c>
      <c r="DT9" t="e">
        <f>AND(#REF!,"AAAAAH38tns=")</f>
        <v>#REF!</v>
      </c>
      <c r="DU9" t="e">
        <f>AND(#REF!,"AAAAAH38tnw=")</f>
        <v>#REF!</v>
      </c>
      <c r="DV9" t="e">
        <f>AND(#REF!,"AAAAAH38tn0=")</f>
        <v>#REF!</v>
      </c>
      <c r="DW9" t="e">
        <f>AND(#REF!,"AAAAAH38tn4=")</f>
        <v>#REF!</v>
      </c>
      <c r="DX9" t="e">
        <f>AND(#REF!,"AAAAAH38tn8=")</f>
        <v>#REF!</v>
      </c>
      <c r="DY9" t="e">
        <f>AND(#REF!,"AAAAAH38toA=")</f>
        <v>#REF!</v>
      </c>
      <c r="DZ9" t="e">
        <f>AND(#REF!,"AAAAAH38toE=")</f>
        <v>#REF!</v>
      </c>
      <c r="EA9" t="e">
        <f>AND(#REF!,"AAAAAH38toI=")</f>
        <v>#REF!</v>
      </c>
      <c r="EB9" t="e">
        <f>AND(#REF!,"AAAAAH38toM=")</f>
        <v>#REF!</v>
      </c>
      <c r="EC9" t="e">
        <f>AND(#REF!,"AAAAAH38toQ=")</f>
        <v>#REF!</v>
      </c>
      <c r="ED9" t="e">
        <f>AND(#REF!,"AAAAAH38toU=")</f>
        <v>#REF!</v>
      </c>
      <c r="EE9" t="e">
        <f>AND(#REF!,"AAAAAH38toY=")</f>
        <v>#REF!</v>
      </c>
      <c r="EF9" t="e">
        <f>AND(#REF!,"AAAAAH38toc=")</f>
        <v>#REF!</v>
      </c>
      <c r="EG9" t="e">
        <f>AND(#REF!,"AAAAAH38tog=")</f>
        <v>#REF!</v>
      </c>
      <c r="EH9" t="e">
        <f>AND(#REF!,"AAAAAH38tok=")</f>
        <v>#REF!</v>
      </c>
      <c r="EI9" t="e">
        <f>AND(#REF!,"AAAAAH38too=")</f>
        <v>#REF!</v>
      </c>
      <c r="EJ9" t="e">
        <f>AND(#REF!,"AAAAAH38tos=")</f>
        <v>#REF!</v>
      </c>
      <c r="EK9" t="e">
        <f>AND(#REF!,"AAAAAH38tow=")</f>
        <v>#REF!</v>
      </c>
      <c r="EL9" t="e">
        <f>AND(#REF!,"AAAAAH38to0=")</f>
        <v>#REF!</v>
      </c>
      <c r="EM9" t="e">
        <f>AND(#REF!,"AAAAAH38to4=")</f>
        <v>#REF!</v>
      </c>
      <c r="EN9" t="e">
        <f>AND(#REF!,"AAAAAH38to8=")</f>
        <v>#REF!</v>
      </c>
      <c r="EO9" t="e">
        <f>AND(#REF!,"AAAAAH38tpA=")</f>
        <v>#REF!</v>
      </c>
      <c r="EP9" t="e">
        <f>AND(#REF!,"AAAAAH38tpE=")</f>
        <v>#REF!</v>
      </c>
      <c r="EQ9" t="e">
        <f>AND(#REF!,"AAAAAH38tpI=")</f>
        <v>#REF!</v>
      </c>
      <c r="ER9" t="e">
        <f>AND(#REF!,"AAAAAH38tpM=")</f>
        <v>#REF!</v>
      </c>
      <c r="ES9" t="e">
        <f>AND(#REF!,"AAAAAH38tpQ=")</f>
        <v>#REF!</v>
      </c>
      <c r="ET9" t="e">
        <f>AND(#REF!,"AAAAAH38tpU=")</f>
        <v>#REF!</v>
      </c>
      <c r="EU9" t="e">
        <f>AND(#REF!,"AAAAAH38tpY=")</f>
        <v>#REF!</v>
      </c>
      <c r="EV9" t="e">
        <f>AND(#REF!,"AAAAAH38tpc=")</f>
        <v>#REF!</v>
      </c>
      <c r="EW9" t="e">
        <f>AND(#REF!,"AAAAAH38tpg=")</f>
        <v>#REF!</v>
      </c>
      <c r="EX9" t="e">
        <f>AND(#REF!,"AAAAAH38tpk=")</f>
        <v>#REF!</v>
      </c>
      <c r="EY9" t="e">
        <f>AND(#REF!,"AAAAAH38tpo=")</f>
        <v>#REF!</v>
      </c>
      <c r="EZ9" t="e">
        <f>AND(#REF!,"AAAAAH38tps=")</f>
        <v>#REF!</v>
      </c>
      <c r="FA9" t="e">
        <f>AND(#REF!,"AAAAAH38tpw=")</f>
        <v>#REF!</v>
      </c>
      <c r="FB9" t="e">
        <f>AND(#REF!,"AAAAAH38tp0=")</f>
        <v>#REF!</v>
      </c>
      <c r="FC9" t="e">
        <f>AND(#REF!,"AAAAAH38tp4=")</f>
        <v>#REF!</v>
      </c>
      <c r="FD9" t="e">
        <f>AND(#REF!,"AAAAAH38tp8=")</f>
        <v>#REF!</v>
      </c>
      <c r="FE9" t="e">
        <f>AND(#REF!,"AAAAAH38tqA=")</f>
        <v>#REF!</v>
      </c>
      <c r="FF9" t="e">
        <f>AND(#REF!,"AAAAAH38tqE=")</f>
        <v>#REF!</v>
      </c>
      <c r="FG9" t="e">
        <f>AND(#REF!,"AAAAAH38tqI=")</f>
        <v>#REF!</v>
      </c>
      <c r="FH9" t="e">
        <f>AND(#REF!,"AAAAAH38tqM=")</f>
        <v>#REF!</v>
      </c>
      <c r="FI9" t="e">
        <f>AND(#REF!,"AAAAAH38tqQ=")</f>
        <v>#REF!</v>
      </c>
      <c r="FJ9" t="e">
        <f>AND(#REF!,"AAAAAH38tqU=")</f>
        <v>#REF!</v>
      </c>
      <c r="FK9" t="e">
        <f>AND(#REF!,"AAAAAH38tqY=")</f>
        <v>#REF!</v>
      </c>
      <c r="FL9" t="e">
        <f>AND(#REF!,"AAAAAH38tqc=")</f>
        <v>#REF!</v>
      </c>
      <c r="FM9" t="e">
        <f>AND(#REF!,"AAAAAH38tqg=")</f>
        <v>#REF!</v>
      </c>
      <c r="FN9" t="e">
        <f>AND(#REF!,"AAAAAH38tqk=")</f>
        <v>#REF!</v>
      </c>
      <c r="FO9" t="e">
        <f>AND(#REF!,"AAAAAH38tqo=")</f>
        <v>#REF!</v>
      </c>
      <c r="FP9" t="e">
        <f>AND(#REF!,"AAAAAH38tqs=")</f>
        <v>#REF!</v>
      </c>
      <c r="FQ9" t="e">
        <f>AND(#REF!,"AAAAAH38tqw=")</f>
        <v>#REF!</v>
      </c>
      <c r="FR9" t="e">
        <f>AND(#REF!,"AAAAAH38tq0=")</f>
        <v>#REF!</v>
      </c>
      <c r="FS9" t="e">
        <f>AND(#REF!,"AAAAAH38tq4=")</f>
        <v>#REF!</v>
      </c>
      <c r="FT9" t="e">
        <f>AND(#REF!,"AAAAAH38tq8=")</f>
        <v>#REF!</v>
      </c>
      <c r="FU9" t="e">
        <f>AND(#REF!,"AAAAAH38trA=")</f>
        <v>#REF!</v>
      </c>
      <c r="FV9" t="e">
        <f>AND(#REF!,"AAAAAH38trE=")</f>
        <v>#REF!</v>
      </c>
      <c r="FW9" t="e">
        <f>AND(#REF!,"AAAAAH38trI=")</f>
        <v>#REF!</v>
      </c>
      <c r="FX9" t="e">
        <f>AND(#REF!,"AAAAAH38trM=")</f>
        <v>#REF!</v>
      </c>
      <c r="FY9" t="e">
        <f>AND(#REF!,"AAAAAH38trQ=")</f>
        <v>#REF!</v>
      </c>
      <c r="FZ9" t="e">
        <f>AND(#REF!,"AAAAAH38trU=")</f>
        <v>#REF!</v>
      </c>
      <c r="GA9" t="e">
        <f>AND(#REF!,"AAAAAH38trY=")</f>
        <v>#REF!</v>
      </c>
      <c r="GB9" t="e">
        <f>AND(#REF!,"AAAAAH38trc=")</f>
        <v>#REF!</v>
      </c>
      <c r="GC9" t="e">
        <f>AND(#REF!,"AAAAAH38trg=")</f>
        <v>#REF!</v>
      </c>
      <c r="GD9" t="e">
        <f>AND(#REF!,"AAAAAH38trk=")</f>
        <v>#REF!</v>
      </c>
      <c r="GE9" t="e">
        <f>AND(#REF!,"AAAAAH38tro=")</f>
        <v>#REF!</v>
      </c>
      <c r="GF9" t="e">
        <f>AND(#REF!,"AAAAAH38trs=")</f>
        <v>#REF!</v>
      </c>
      <c r="GG9" t="e">
        <f>AND(#REF!,"AAAAAH38trw=")</f>
        <v>#REF!</v>
      </c>
      <c r="GH9" t="e">
        <f>AND(#REF!,"AAAAAH38tr0=")</f>
        <v>#REF!</v>
      </c>
      <c r="GI9" t="e">
        <f>AND(#REF!,"AAAAAH38tr4=")</f>
        <v>#REF!</v>
      </c>
      <c r="GJ9" t="e">
        <f>AND(#REF!,"AAAAAH38tr8=")</f>
        <v>#REF!</v>
      </c>
      <c r="GK9" t="e">
        <f>AND(#REF!,"AAAAAH38tsA=")</f>
        <v>#REF!</v>
      </c>
      <c r="GL9" t="e">
        <f>AND(#REF!,"AAAAAH38tsE=")</f>
        <v>#REF!</v>
      </c>
      <c r="GM9" t="e">
        <f>AND(#REF!,"AAAAAH38tsI=")</f>
        <v>#REF!</v>
      </c>
      <c r="GN9" t="e">
        <f>AND(#REF!,"AAAAAH38tsM=")</f>
        <v>#REF!</v>
      </c>
      <c r="GO9" t="e">
        <f>AND(#REF!,"AAAAAH38tsQ=")</f>
        <v>#REF!</v>
      </c>
      <c r="GP9" t="e">
        <f>AND(#REF!,"AAAAAH38tsU=")</f>
        <v>#REF!</v>
      </c>
      <c r="GQ9" t="e">
        <f>AND(#REF!,"AAAAAH38tsY=")</f>
        <v>#REF!</v>
      </c>
      <c r="GR9" t="e">
        <f>AND(#REF!,"AAAAAH38tsc=")</f>
        <v>#REF!</v>
      </c>
      <c r="GS9" t="e">
        <f>AND(#REF!,"AAAAAH38tsg=")</f>
        <v>#REF!</v>
      </c>
      <c r="GT9" t="e">
        <f>AND(#REF!,"AAAAAH38tsk=")</f>
        <v>#REF!</v>
      </c>
      <c r="GU9" t="e">
        <f>AND(#REF!,"AAAAAH38tso=")</f>
        <v>#REF!</v>
      </c>
      <c r="GV9" t="e">
        <f>AND(#REF!,"AAAAAH38tss=")</f>
        <v>#REF!</v>
      </c>
      <c r="GW9" t="e">
        <f>AND(#REF!,"AAAAAH38tsw=")</f>
        <v>#REF!</v>
      </c>
      <c r="GX9" t="e">
        <f>AND(#REF!,"AAAAAH38ts0=")</f>
        <v>#REF!</v>
      </c>
      <c r="GY9" t="e">
        <f>AND(#REF!,"AAAAAH38ts4=")</f>
        <v>#REF!</v>
      </c>
      <c r="GZ9" t="e">
        <f>AND(#REF!,"AAAAAH38ts8=")</f>
        <v>#REF!</v>
      </c>
      <c r="HA9" t="e">
        <f>AND(#REF!,"AAAAAH38ttA=")</f>
        <v>#REF!</v>
      </c>
      <c r="HB9" t="e">
        <f>AND(#REF!,"AAAAAH38ttE=")</f>
        <v>#REF!</v>
      </c>
      <c r="HC9" t="e">
        <f>AND(#REF!,"AAAAAH38ttI=")</f>
        <v>#REF!</v>
      </c>
      <c r="HD9" t="e">
        <f>AND(#REF!,"AAAAAH38ttM=")</f>
        <v>#REF!</v>
      </c>
      <c r="HE9" t="e">
        <f>AND(#REF!,"AAAAAH38ttQ=")</f>
        <v>#REF!</v>
      </c>
      <c r="HF9" t="e">
        <f>AND(#REF!,"AAAAAH38ttU=")</f>
        <v>#REF!</v>
      </c>
      <c r="HG9" t="e">
        <f>AND(#REF!,"AAAAAH38ttY=")</f>
        <v>#REF!</v>
      </c>
      <c r="HH9" t="e">
        <f>AND(#REF!,"AAAAAH38ttc=")</f>
        <v>#REF!</v>
      </c>
      <c r="HI9" t="e">
        <f>AND(#REF!,"AAAAAH38ttg=")</f>
        <v>#REF!</v>
      </c>
      <c r="HJ9" t="e">
        <f>AND(#REF!,"AAAAAH38ttk=")</f>
        <v>#REF!</v>
      </c>
      <c r="HK9" t="e">
        <f>AND(#REF!,"AAAAAH38tto=")</f>
        <v>#REF!</v>
      </c>
      <c r="HL9" t="e">
        <f>AND(#REF!,"AAAAAH38tts=")</f>
        <v>#REF!</v>
      </c>
      <c r="HM9" t="e">
        <f>AND(#REF!,"AAAAAH38ttw=")</f>
        <v>#REF!</v>
      </c>
      <c r="HN9" t="e">
        <f>AND(#REF!,"AAAAAH38tt0=")</f>
        <v>#REF!</v>
      </c>
      <c r="HO9" t="e">
        <f>AND(#REF!,"AAAAAH38tt4=")</f>
        <v>#REF!</v>
      </c>
      <c r="HP9" t="e">
        <f>AND(#REF!,"AAAAAH38tt8=")</f>
        <v>#REF!</v>
      </c>
      <c r="HQ9" t="e">
        <f>AND(#REF!,"AAAAAH38tuA=")</f>
        <v>#REF!</v>
      </c>
      <c r="HR9" t="e">
        <f>AND(#REF!,"AAAAAH38tuE=")</f>
        <v>#REF!</v>
      </c>
      <c r="HS9" t="e">
        <f>AND(#REF!,"AAAAAH38tuI=")</f>
        <v>#REF!</v>
      </c>
      <c r="HT9" t="e">
        <f>AND(#REF!,"AAAAAH38tuM=")</f>
        <v>#REF!</v>
      </c>
      <c r="HU9" t="e">
        <f>AND(#REF!,"AAAAAH38tuQ=")</f>
        <v>#REF!</v>
      </c>
      <c r="HV9" t="e">
        <f>AND(#REF!,"AAAAAH38tuU=")</f>
        <v>#REF!</v>
      </c>
      <c r="HW9" t="e">
        <f>AND(#REF!,"AAAAAH38tuY=")</f>
        <v>#REF!</v>
      </c>
      <c r="HX9" t="e">
        <f>AND(#REF!,"AAAAAH38tuc=")</f>
        <v>#REF!</v>
      </c>
      <c r="HY9" t="e">
        <f>AND(#REF!,"AAAAAH38tug=")</f>
        <v>#REF!</v>
      </c>
      <c r="HZ9" t="e">
        <f>AND(#REF!,"AAAAAH38tuk=")</f>
        <v>#REF!</v>
      </c>
      <c r="IA9" t="e">
        <f>AND(#REF!,"AAAAAH38tuo=")</f>
        <v>#REF!</v>
      </c>
      <c r="IB9" t="e">
        <f>AND(#REF!,"AAAAAH38tus=")</f>
        <v>#REF!</v>
      </c>
      <c r="IC9" t="e">
        <f>AND(#REF!,"AAAAAH38tuw=")</f>
        <v>#REF!</v>
      </c>
      <c r="ID9" t="e">
        <f>AND(#REF!,"AAAAAH38tu0=")</f>
        <v>#REF!</v>
      </c>
      <c r="IE9" t="e">
        <f>AND(#REF!,"AAAAAH38tu4=")</f>
        <v>#REF!</v>
      </c>
      <c r="IF9" t="e">
        <f>AND(#REF!,"AAAAAH38tu8=")</f>
        <v>#REF!</v>
      </c>
      <c r="IG9" t="e">
        <f>AND(#REF!,"AAAAAH38tvA=")</f>
        <v>#REF!</v>
      </c>
      <c r="IH9" t="e">
        <f>AND(#REF!,"AAAAAH38tvE=")</f>
        <v>#REF!</v>
      </c>
      <c r="II9" t="e">
        <f>AND(#REF!,"AAAAAH38tvI=")</f>
        <v>#REF!</v>
      </c>
      <c r="IJ9" t="e">
        <f>AND(#REF!,"AAAAAH38tvM=")</f>
        <v>#REF!</v>
      </c>
      <c r="IK9" t="e">
        <f>AND(#REF!,"AAAAAH38tvQ=")</f>
        <v>#REF!</v>
      </c>
      <c r="IL9" t="e">
        <f>AND(#REF!,"AAAAAH38tvU=")</f>
        <v>#REF!</v>
      </c>
      <c r="IM9" t="e">
        <f>AND(#REF!,"AAAAAH38tvY=")</f>
        <v>#REF!</v>
      </c>
      <c r="IN9" t="e">
        <f>AND(#REF!,"AAAAAH38tvc=")</f>
        <v>#REF!</v>
      </c>
      <c r="IO9" t="e">
        <f>AND(#REF!,"AAAAAH38tvg=")</f>
        <v>#REF!</v>
      </c>
      <c r="IP9" t="e">
        <f>AND(#REF!,"AAAAAH38tvk=")</f>
        <v>#REF!</v>
      </c>
      <c r="IQ9" t="e">
        <f>AND(#REF!,"AAAAAH38tvo=")</f>
        <v>#REF!</v>
      </c>
      <c r="IR9" t="e">
        <f>AND(#REF!,"AAAAAH38tvs=")</f>
        <v>#REF!</v>
      </c>
      <c r="IS9" t="e">
        <f>AND(#REF!,"AAAAAH38tvw=")</f>
        <v>#REF!</v>
      </c>
      <c r="IT9" t="e">
        <f>AND(#REF!,"AAAAAH38tv0=")</f>
        <v>#REF!</v>
      </c>
      <c r="IU9" t="e">
        <f>AND(#REF!,"AAAAAH38tv4=")</f>
        <v>#REF!</v>
      </c>
      <c r="IV9" t="e">
        <f>AND(#REF!,"AAAAAH38tv8=")</f>
        <v>#REF!</v>
      </c>
    </row>
    <row r="10" spans="1:256">
      <c r="A10" t="e">
        <f>AND(#REF!,"AAAAAG9/8wA=")</f>
        <v>#REF!</v>
      </c>
      <c r="B10" t="e">
        <f>AND(#REF!,"AAAAAG9/8wE=")</f>
        <v>#REF!</v>
      </c>
      <c r="C10" t="e">
        <f>AND(#REF!,"AAAAAG9/8wI=")</f>
        <v>#REF!</v>
      </c>
      <c r="D10" t="e">
        <f>AND(#REF!,"AAAAAG9/8wM=")</f>
        <v>#REF!</v>
      </c>
      <c r="E10" t="e">
        <f>AND(#REF!,"AAAAAG9/8wQ=")</f>
        <v>#REF!</v>
      </c>
      <c r="F10" t="e">
        <f>AND(#REF!,"AAAAAG9/8wU=")</f>
        <v>#REF!</v>
      </c>
      <c r="G10" t="e">
        <f>AND(#REF!,"AAAAAG9/8wY=")</f>
        <v>#REF!</v>
      </c>
      <c r="H10" t="e">
        <f>AND(#REF!,"AAAAAG9/8wc=")</f>
        <v>#REF!</v>
      </c>
      <c r="I10" t="e">
        <f>AND(#REF!,"AAAAAG9/8wg=")</f>
        <v>#REF!</v>
      </c>
      <c r="J10" t="e">
        <f>AND(#REF!,"AAAAAG9/8wk=")</f>
        <v>#REF!</v>
      </c>
      <c r="K10" t="e">
        <f>AND(#REF!,"AAAAAG9/8wo=")</f>
        <v>#REF!</v>
      </c>
      <c r="L10" t="e">
        <f>AND(#REF!,"AAAAAG9/8ws=")</f>
        <v>#REF!</v>
      </c>
      <c r="M10" t="e">
        <f>AND(#REF!,"AAAAAG9/8ww=")</f>
        <v>#REF!</v>
      </c>
      <c r="N10" t="e">
        <f>AND(#REF!,"AAAAAG9/8w0=")</f>
        <v>#REF!</v>
      </c>
      <c r="O10" t="e">
        <f>AND(#REF!,"AAAAAG9/8w4=")</f>
        <v>#REF!</v>
      </c>
      <c r="P10" t="e">
        <f>AND(#REF!,"AAAAAG9/8w8=")</f>
        <v>#REF!</v>
      </c>
      <c r="Q10" t="e">
        <f>AND(#REF!,"AAAAAG9/8xA=")</f>
        <v>#REF!</v>
      </c>
      <c r="R10" t="e">
        <f>AND(#REF!,"AAAAAG9/8xE=")</f>
        <v>#REF!</v>
      </c>
      <c r="S10" t="e">
        <f>AND(#REF!,"AAAAAG9/8xI=")</f>
        <v>#REF!</v>
      </c>
      <c r="T10" t="e">
        <f>AND(#REF!,"AAAAAG9/8xM=")</f>
        <v>#REF!</v>
      </c>
      <c r="U10" t="e">
        <f>AND(#REF!,"AAAAAG9/8xQ=")</f>
        <v>#REF!</v>
      </c>
      <c r="V10" t="e">
        <f>AND(#REF!,"AAAAAG9/8xU=")</f>
        <v>#REF!</v>
      </c>
      <c r="W10" t="e">
        <f>AND(#REF!,"AAAAAG9/8xY=")</f>
        <v>#REF!</v>
      </c>
      <c r="X10" t="e">
        <f>AND(#REF!,"AAAAAG9/8xc=")</f>
        <v>#REF!</v>
      </c>
      <c r="Y10" t="e">
        <f>AND(#REF!,"AAAAAG9/8xg=")</f>
        <v>#REF!</v>
      </c>
      <c r="Z10" t="e">
        <f>AND(#REF!,"AAAAAG9/8xk=")</f>
        <v>#REF!</v>
      </c>
      <c r="AA10" t="e">
        <f>AND(#REF!,"AAAAAG9/8xo=")</f>
        <v>#REF!</v>
      </c>
      <c r="AB10" t="e">
        <f>AND(#REF!,"AAAAAG9/8xs=")</f>
        <v>#REF!</v>
      </c>
      <c r="AC10" t="e">
        <f>AND(#REF!,"AAAAAG9/8xw=")</f>
        <v>#REF!</v>
      </c>
      <c r="AD10" t="e">
        <f>AND(#REF!,"AAAAAG9/8x0=")</f>
        <v>#REF!</v>
      </c>
      <c r="AE10" t="e">
        <f>AND(#REF!,"AAAAAG9/8x4=")</f>
        <v>#REF!</v>
      </c>
      <c r="AF10" t="e">
        <f>AND(#REF!,"AAAAAG9/8x8=")</f>
        <v>#REF!</v>
      </c>
      <c r="AG10" t="e">
        <f>AND(#REF!,"AAAAAG9/8yA=")</f>
        <v>#REF!</v>
      </c>
      <c r="AH10" t="e">
        <f>AND(#REF!,"AAAAAG9/8yE=")</f>
        <v>#REF!</v>
      </c>
      <c r="AI10" t="e">
        <f>AND(#REF!,"AAAAAG9/8yI=")</f>
        <v>#REF!</v>
      </c>
      <c r="AJ10" t="e">
        <f>AND(#REF!,"AAAAAG9/8yM=")</f>
        <v>#REF!</v>
      </c>
      <c r="AK10" t="e">
        <f>AND(#REF!,"AAAAAG9/8yQ=")</f>
        <v>#REF!</v>
      </c>
      <c r="AL10" t="e">
        <f>AND(#REF!,"AAAAAG9/8yU=")</f>
        <v>#REF!</v>
      </c>
      <c r="AM10" t="e">
        <f>AND(#REF!,"AAAAAG9/8yY=")</f>
        <v>#REF!</v>
      </c>
      <c r="AN10" t="e">
        <f>AND(#REF!,"AAAAAG9/8yc=")</f>
        <v>#REF!</v>
      </c>
      <c r="AO10" t="e">
        <f>AND(#REF!,"AAAAAG9/8yg=")</f>
        <v>#REF!</v>
      </c>
      <c r="AP10" t="e">
        <f>AND(#REF!,"AAAAAG9/8yk=")</f>
        <v>#REF!</v>
      </c>
      <c r="AQ10" t="e">
        <f>AND(#REF!,"AAAAAG9/8yo=")</f>
        <v>#REF!</v>
      </c>
      <c r="AR10" t="e">
        <f>AND(#REF!,"AAAAAG9/8ys=")</f>
        <v>#REF!</v>
      </c>
      <c r="AS10" t="e">
        <f>AND(#REF!,"AAAAAG9/8yw=")</f>
        <v>#REF!</v>
      </c>
      <c r="AT10" t="e">
        <f>AND(#REF!,"AAAAAG9/8y0=")</f>
        <v>#REF!</v>
      </c>
      <c r="AU10" t="e">
        <f>AND(#REF!,"AAAAAG9/8y4=")</f>
        <v>#REF!</v>
      </c>
      <c r="AV10" t="e">
        <f>AND(#REF!,"AAAAAG9/8y8=")</f>
        <v>#REF!</v>
      </c>
      <c r="AW10" t="e">
        <f>AND(#REF!,"AAAAAG9/8zA=")</f>
        <v>#REF!</v>
      </c>
      <c r="AX10" t="e">
        <f>AND(#REF!,"AAAAAG9/8zE=")</f>
        <v>#REF!</v>
      </c>
      <c r="AY10" t="e">
        <f>AND(#REF!,"AAAAAG9/8zI=")</f>
        <v>#REF!</v>
      </c>
      <c r="AZ10" t="e">
        <f>AND(#REF!,"AAAAAG9/8zM=")</f>
        <v>#REF!</v>
      </c>
      <c r="BA10" t="e">
        <f>AND(#REF!,"AAAAAG9/8zQ=")</f>
        <v>#REF!</v>
      </c>
      <c r="BB10" t="e">
        <f>AND(#REF!,"AAAAAG9/8zU=")</f>
        <v>#REF!</v>
      </c>
      <c r="BC10" t="e">
        <f>AND(#REF!,"AAAAAG9/8zY=")</f>
        <v>#REF!</v>
      </c>
      <c r="BD10" t="e">
        <f>AND(#REF!,"AAAAAG9/8zc=")</f>
        <v>#REF!</v>
      </c>
      <c r="BE10" t="e">
        <f>AND(#REF!,"AAAAAG9/8zg=")</f>
        <v>#REF!</v>
      </c>
      <c r="BF10" t="e">
        <f>AND(#REF!,"AAAAAG9/8zk=")</f>
        <v>#REF!</v>
      </c>
      <c r="BG10" t="e">
        <f>AND(#REF!,"AAAAAG9/8zo=")</f>
        <v>#REF!</v>
      </c>
      <c r="BH10" t="e">
        <f>AND(#REF!,"AAAAAG9/8zs=")</f>
        <v>#REF!</v>
      </c>
      <c r="BI10" t="e">
        <f>AND(#REF!,"AAAAAG9/8zw=")</f>
        <v>#REF!</v>
      </c>
      <c r="BJ10" t="e">
        <f>AND(#REF!,"AAAAAG9/8z0=")</f>
        <v>#REF!</v>
      </c>
      <c r="BK10" t="e">
        <f>AND(#REF!,"AAAAAG9/8z4=")</f>
        <v>#REF!</v>
      </c>
      <c r="BL10" t="e">
        <f>AND(#REF!,"AAAAAG9/8z8=")</f>
        <v>#REF!</v>
      </c>
      <c r="BM10" t="e">
        <f>AND(#REF!,"AAAAAG9/80A=")</f>
        <v>#REF!</v>
      </c>
      <c r="BN10" t="e">
        <f>AND(#REF!,"AAAAAG9/80E=")</f>
        <v>#REF!</v>
      </c>
      <c r="BO10" t="e">
        <f>AND(#REF!,"AAAAAG9/80I=")</f>
        <v>#REF!</v>
      </c>
      <c r="BP10" t="e">
        <f>AND(#REF!,"AAAAAG9/80M=")</f>
        <v>#REF!</v>
      </c>
      <c r="BQ10" t="e">
        <f>AND(#REF!,"AAAAAG9/80Q=")</f>
        <v>#REF!</v>
      </c>
      <c r="BR10" t="e">
        <f>AND(#REF!,"AAAAAG9/80U=")</f>
        <v>#REF!</v>
      </c>
      <c r="BS10" t="e">
        <f>AND(#REF!,"AAAAAG9/80Y=")</f>
        <v>#REF!</v>
      </c>
      <c r="BT10" t="e">
        <f>AND(#REF!,"AAAAAG9/80c=")</f>
        <v>#REF!</v>
      </c>
      <c r="BU10" t="e">
        <f>AND(#REF!,"AAAAAG9/80g=")</f>
        <v>#REF!</v>
      </c>
      <c r="BV10" t="e">
        <f>AND(#REF!,"AAAAAG9/80k=")</f>
        <v>#REF!</v>
      </c>
      <c r="BW10" t="e">
        <f>AND(#REF!,"AAAAAG9/80o=")</f>
        <v>#REF!</v>
      </c>
      <c r="BX10" t="e">
        <f>AND(#REF!,"AAAAAG9/80s=")</f>
        <v>#REF!</v>
      </c>
      <c r="BY10" t="e">
        <f>AND(#REF!,"AAAAAG9/80w=")</f>
        <v>#REF!</v>
      </c>
      <c r="BZ10" t="e">
        <f>AND(#REF!,"AAAAAG9/800=")</f>
        <v>#REF!</v>
      </c>
      <c r="CA10" t="e">
        <f>AND(#REF!,"AAAAAG9/804=")</f>
        <v>#REF!</v>
      </c>
      <c r="CB10" t="e">
        <f>AND(#REF!,"AAAAAG9/808=")</f>
        <v>#REF!</v>
      </c>
      <c r="CC10" t="e">
        <f>AND(#REF!,"AAAAAG9/81A=")</f>
        <v>#REF!</v>
      </c>
      <c r="CD10" t="e">
        <f>AND(#REF!,"AAAAAG9/81E=")</f>
        <v>#REF!</v>
      </c>
      <c r="CE10" t="e">
        <f>AND(#REF!,"AAAAAG9/81I=")</f>
        <v>#REF!</v>
      </c>
      <c r="CF10" t="e">
        <f>AND(#REF!,"AAAAAG9/81M=")</f>
        <v>#REF!</v>
      </c>
      <c r="CG10" t="e">
        <f>AND(#REF!,"AAAAAG9/81Q=")</f>
        <v>#REF!</v>
      </c>
      <c r="CH10" t="e">
        <f>AND(#REF!,"AAAAAG9/81U=")</f>
        <v>#REF!</v>
      </c>
      <c r="CI10" t="e">
        <f>AND(#REF!,"AAAAAG9/81Y=")</f>
        <v>#REF!</v>
      </c>
      <c r="CJ10" t="e">
        <f>AND(#REF!,"AAAAAG9/81c=")</f>
        <v>#REF!</v>
      </c>
      <c r="CK10" t="e">
        <f>AND(#REF!,"AAAAAG9/81g=")</f>
        <v>#REF!</v>
      </c>
      <c r="CL10" t="e">
        <f>AND(#REF!,"AAAAAG9/81k=")</f>
        <v>#REF!</v>
      </c>
      <c r="CM10" t="e">
        <f>AND(#REF!,"AAAAAG9/81o=")</f>
        <v>#REF!</v>
      </c>
      <c r="CN10" t="e">
        <f>AND(#REF!,"AAAAAG9/81s=")</f>
        <v>#REF!</v>
      </c>
      <c r="CO10" t="e">
        <f>AND(#REF!,"AAAAAG9/81w=")</f>
        <v>#REF!</v>
      </c>
      <c r="CP10" t="e">
        <f>AND(#REF!,"AAAAAG9/810=")</f>
        <v>#REF!</v>
      </c>
      <c r="CQ10" t="e">
        <f>AND(#REF!,"AAAAAG9/814=")</f>
        <v>#REF!</v>
      </c>
      <c r="CR10" t="e">
        <f>AND(#REF!,"AAAAAG9/818=")</f>
        <v>#REF!</v>
      </c>
      <c r="CS10" t="e">
        <f>AND(#REF!,"AAAAAG9/82A=")</f>
        <v>#REF!</v>
      </c>
      <c r="CT10" t="e">
        <f>AND(#REF!,"AAAAAG9/82E=")</f>
        <v>#REF!</v>
      </c>
      <c r="CU10" t="e">
        <f>AND(#REF!,"AAAAAG9/82I=")</f>
        <v>#REF!</v>
      </c>
      <c r="CV10" t="e">
        <f>AND(#REF!,"AAAAAG9/82M=")</f>
        <v>#REF!</v>
      </c>
      <c r="CW10" t="e">
        <f>AND(#REF!,"AAAAAG9/82Q=")</f>
        <v>#REF!</v>
      </c>
      <c r="CX10" t="e">
        <f>AND(#REF!,"AAAAAG9/82U=")</f>
        <v>#REF!</v>
      </c>
      <c r="CY10" t="e">
        <f>AND(#REF!,"AAAAAG9/82Y=")</f>
        <v>#REF!</v>
      </c>
      <c r="CZ10" t="e">
        <f>AND(#REF!,"AAAAAG9/82c=")</f>
        <v>#REF!</v>
      </c>
      <c r="DA10" t="e">
        <f>AND(#REF!,"AAAAAG9/82g=")</f>
        <v>#REF!</v>
      </c>
      <c r="DB10" t="e">
        <f>AND(#REF!,"AAAAAG9/82k=")</f>
        <v>#REF!</v>
      </c>
      <c r="DC10" t="e">
        <f>AND(#REF!,"AAAAAG9/82o=")</f>
        <v>#REF!</v>
      </c>
      <c r="DD10" t="e">
        <f>AND(#REF!,"AAAAAG9/82s=")</f>
        <v>#REF!</v>
      </c>
      <c r="DE10" t="e">
        <f>AND(#REF!,"AAAAAG9/82w=")</f>
        <v>#REF!</v>
      </c>
      <c r="DF10" t="e">
        <f>AND(#REF!,"AAAAAG9/820=")</f>
        <v>#REF!</v>
      </c>
      <c r="DG10" t="e">
        <f>AND(#REF!,"AAAAAG9/824=")</f>
        <v>#REF!</v>
      </c>
      <c r="DH10" t="e">
        <f>AND(#REF!,"AAAAAG9/828=")</f>
        <v>#REF!</v>
      </c>
      <c r="DI10" t="e">
        <f>AND(#REF!,"AAAAAG9/83A=")</f>
        <v>#REF!</v>
      </c>
      <c r="DJ10" t="e">
        <f>AND(#REF!,"AAAAAG9/83E=")</f>
        <v>#REF!</v>
      </c>
      <c r="DK10" t="e">
        <f>AND(#REF!,"AAAAAG9/83I=")</f>
        <v>#REF!</v>
      </c>
      <c r="DL10" t="e">
        <f>AND(#REF!,"AAAAAG9/83M=")</f>
        <v>#REF!</v>
      </c>
      <c r="DM10" t="e">
        <f>AND(#REF!,"AAAAAG9/83Q=")</f>
        <v>#REF!</v>
      </c>
      <c r="DN10" t="e">
        <f>AND(#REF!,"AAAAAG9/83U=")</f>
        <v>#REF!</v>
      </c>
      <c r="DO10" t="e">
        <f>AND(#REF!,"AAAAAG9/83Y=")</f>
        <v>#REF!</v>
      </c>
      <c r="DP10" t="e">
        <f>AND(#REF!,"AAAAAG9/83c=")</f>
        <v>#REF!</v>
      </c>
      <c r="DQ10" t="e">
        <f>AND(#REF!,"AAAAAG9/83g=")</f>
        <v>#REF!</v>
      </c>
      <c r="DR10" t="e">
        <f>AND(#REF!,"AAAAAG9/83k=")</f>
        <v>#REF!</v>
      </c>
      <c r="DS10" t="e">
        <f>AND(#REF!,"AAAAAG9/83o=")</f>
        <v>#REF!</v>
      </c>
      <c r="DT10" t="e">
        <f>AND(#REF!,"AAAAAG9/83s=")</f>
        <v>#REF!</v>
      </c>
      <c r="DU10" t="e">
        <f>AND(#REF!,"AAAAAG9/83w=")</f>
        <v>#REF!</v>
      </c>
      <c r="DV10" t="e">
        <f>AND(#REF!,"AAAAAG9/830=")</f>
        <v>#REF!</v>
      </c>
      <c r="DW10" t="e">
        <f>AND(#REF!,"AAAAAG9/834=")</f>
        <v>#REF!</v>
      </c>
      <c r="DX10" t="e">
        <f>AND(#REF!,"AAAAAG9/838=")</f>
        <v>#REF!</v>
      </c>
      <c r="DY10" t="e">
        <f>AND(#REF!,"AAAAAG9/84A=")</f>
        <v>#REF!</v>
      </c>
      <c r="DZ10" t="e">
        <f>AND(#REF!,"AAAAAG9/84E=")</f>
        <v>#REF!</v>
      </c>
      <c r="EA10" t="e">
        <f>AND(#REF!,"AAAAAG9/84I=")</f>
        <v>#REF!</v>
      </c>
      <c r="EB10" t="e">
        <f>AND(#REF!,"AAAAAG9/84M=")</f>
        <v>#REF!</v>
      </c>
      <c r="EC10" t="e">
        <f>AND(#REF!,"AAAAAG9/84Q=")</f>
        <v>#REF!</v>
      </c>
      <c r="ED10" t="e">
        <f>AND(#REF!,"AAAAAG9/84U=")</f>
        <v>#REF!</v>
      </c>
      <c r="EE10" t="e">
        <f>AND(#REF!,"AAAAAG9/84Y=")</f>
        <v>#REF!</v>
      </c>
      <c r="EF10" t="e">
        <f>AND(#REF!,"AAAAAG9/84c=")</f>
        <v>#REF!</v>
      </c>
      <c r="EG10" t="e">
        <f>AND(#REF!,"AAAAAG9/84g=")</f>
        <v>#REF!</v>
      </c>
      <c r="EH10" t="e">
        <f>AND(#REF!,"AAAAAG9/84k=")</f>
        <v>#REF!</v>
      </c>
      <c r="EI10" t="e">
        <f>AND(#REF!,"AAAAAG9/84o=")</f>
        <v>#REF!</v>
      </c>
      <c r="EJ10" t="e">
        <f>AND(#REF!,"AAAAAG9/84s=")</f>
        <v>#REF!</v>
      </c>
      <c r="EK10" t="e">
        <f>AND(#REF!,"AAAAAG9/84w=")</f>
        <v>#REF!</v>
      </c>
      <c r="EL10" t="e">
        <f>AND(#REF!,"AAAAAG9/840=")</f>
        <v>#REF!</v>
      </c>
      <c r="EM10" t="e">
        <f>AND(#REF!,"AAAAAG9/844=")</f>
        <v>#REF!</v>
      </c>
      <c r="EN10" t="e">
        <f>AND(#REF!,"AAAAAG9/848=")</f>
        <v>#REF!</v>
      </c>
      <c r="EO10" t="e">
        <f>AND(#REF!,"AAAAAG9/85A=")</f>
        <v>#REF!</v>
      </c>
      <c r="EP10" t="e">
        <f>AND(#REF!,"AAAAAG9/85E=")</f>
        <v>#REF!</v>
      </c>
      <c r="EQ10" t="e">
        <f>AND(#REF!,"AAAAAG9/85I=")</f>
        <v>#REF!</v>
      </c>
      <c r="ER10" t="e">
        <f>AND(#REF!,"AAAAAG9/85M=")</f>
        <v>#REF!</v>
      </c>
      <c r="ES10" t="e">
        <f>AND(#REF!,"AAAAAG9/85Q=")</f>
        <v>#REF!</v>
      </c>
      <c r="ET10" t="e">
        <f>AND(#REF!,"AAAAAG9/85U=")</f>
        <v>#REF!</v>
      </c>
      <c r="EU10" t="e">
        <f>AND(#REF!,"AAAAAG9/85Y=")</f>
        <v>#REF!</v>
      </c>
      <c r="EV10" t="e">
        <f>AND(#REF!,"AAAAAG9/85c=")</f>
        <v>#REF!</v>
      </c>
      <c r="EW10" t="e">
        <f>AND(#REF!,"AAAAAG9/85g=")</f>
        <v>#REF!</v>
      </c>
      <c r="EX10" t="e">
        <f>AND(#REF!,"AAAAAG9/85k=")</f>
        <v>#REF!</v>
      </c>
      <c r="EY10" t="e">
        <f>AND(#REF!,"AAAAAG9/85o=")</f>
        <v>#REF!</v>
      </c>
      <c r="EZ10" t="e">
        <f>AND(#REF!,"AAAAAG9/85s=")</f>
        <v>#REF!</v>
      </c>
      <c r="FA10" t="e">
        <f>AND(#REF!,"AAAAAG9/85w=")</f>
        <v>#REF!</v>
      </c>
      <c r="FB10" t="e">
        <f>AND(#REF!,"AAAAAG9/850=")</f>
        <v>#REF!</v>
      </c>
      <c r="FC10" t="e">
        <f>AND(#REF!,"AAAAAG9/854=")</f>
        <v>#REF!</v>
      </c>
      <c r="FD10" t="e">
        <f>AND(#REF!,"AAAAAG9/858=")</f>
        <v>#REF!</v>
      </c>
      <c r="FE10" t="e">
        <f>AND(#REF!,"AAAAAG9/86A=")</f>
        <v>#REF!</v>
      </c>
      <c r="FF10" t="e">
        <f>AND(#REF!,"AAAAAG9/86E=")</f>
        <v>#REF!</v>
      </c>
      <c r="FG10" t="e">
        <f>AND(#REF!,"AAAAAG9/86I=")</f>
        <v>#REF!</v>
      </c>
      <c r="FH10" t="e">
        <f>AND(#REF!,"AAAAAG9/86M=")</f>
        <v>#REF!</v>
      </c>
      <c r="FI10" t="e">
        <f>AND(#REF!,"AAAAAG9/86Q=")</f>
        <v>#REF!</v>
      </c>
      <c r="FJ10" t="e">
        <f>AND(#REF!,"AAAAAG9/86U=")</f>
        <v>#REF!</v>
      </c>
      <c r="FK10" t="e">
        <f>AND(#REF!,"AAAAAG9/86Y=")</f>
        <v>#REF!</v>
      </c>
      <c r="FL10" t="e">
        <f>AND(#REF!,"AAAAAG9/86c=")</f>
        <v>#REF!</v>
      </c>
      <c r="FM10" t="e">
        <f>AND(#REF!,"AAAAAG9/86g=")</f>
        <v>#REF!</v>
      </c>
      <c r="FN10" t="e">
        <f>AND(#REF!,"AAAAAG9/86k=")</f>
        <v>#REF!</v>
      </c>
      <c r="FO10" t="e">
        <f>AND(#REF!,"AAAAAG9/86o=")</f>
        <v>#REF!</v>
      </c>
      <c r="FP10" t="e">
        <f>AND(#REF!,"AAAAAG9/86s=")</f>
        <v>#REF!</v>
      </c>
      <c r="FQ10" t="e">
        <f>AND(#REF!,"AAAAAG9/86w=")</f>
        <v>#REF!</v>
      </c>
      <c r="FR10" t="e">
        <f>AND(#REF!,"AAAAAG9/860=")</f>
        <v>#REF!</v>
      </c>
      <c r="FS10" t="e">
        <f>AND(#REF!,"AAAAAG9/864=")</f>
        <v>#REF!</v>
      </c>
      <c r="FT10" t="e">
        <f>AND(#REF!,"AAAAAG9/868=")</f>
        <v>#REF!</v>
      </c>
      <c r="FU10" t="e">
        <f>AND(#REF!,"AAAAAG9/87A=")</f>
        <v>#REF!</v>
      </c>
      <c r="FV10" t="e">
        <f>AND(#REF!,"AAAAAG9/87E=")</f>
        <v>#REF!</v>
      </c>
      <c r="FW10" t="e">
        <f>AND(#REF!,"AAAAAG9/87I=")</f>
        <v>#REF!</v>
      </c>
      <c r="FX10" t="e">
        <f>AND(#REF!,"AAAAAG9/87M=")</f>
        <v>#REF!</v>
      </c>
      <c r="FY10" t="e">
        <f>AND(#REF!,"AAAAAG9/87Q=")</f>
        <v>#REF!</v>
      </c>
      <c r="FZ10" t="e">
        <f>AND(#REF!,"AAAAAG9/87U=")</f>
        <v>#REF!</v>
      </c>
      <c r="GA10" t="e">
        <f>AND(#REF!,"AAAAAG9/87Y=")</f>
        <v>#REF!</v>
      </c>
      <c r="GB10" t="e">
        <f>AND(#REF!,"AAAAAG9/87c=")</f>
        <v>#REF!</v>
      </c>
      <c r="GC10" t="e">
        <f>AND(#REF!,"AAAAAG9/87g=")</f>
        <v>#REF!</v>
      </c>
      <c r="GD10" t="e">
        <f>AND(#REF!,"AAAAAG9/87k=")</f>
        <v>#REF!</v>
      </c>
      <c r="GE10" t="e">
        <f>AND(#REF!,"AAAAAG9/87o=")</f>
        <v>#REF!</v>
      </c>
      <c r="GF10" t="e">
        <f>AND(#REF!,"AAAAAG9/87s=")</f>
        <v>#REF!</v>
      </c>
      <c r="GG10" t="e">
        <f>AND(#REF!,"AAAAAG9/87w=")</f>
        <v>#REF!</v>
      </c>
      <c r="GH10" t="e">
        <f>AND(#REF!,"AAAAAG9/870=")</f>
        <v>#REF!</v>
      </c>
      <c r="GI10" t="e">
        <f>AND(#REF!,"AAAAAG9/874=")</f>
        <v>#REF!</v>
      </c>
      <c r="GJ10" t="e">
        <f>AND(#REF!,"AAAAAG9/878=")</f>
        <v>#REF!</v>
      </c>
      <c r="GK10" t="e">
        <f>AND(#REF!,"AAAAAG9/88A=")</f>
        <v>#REF!</v>
      </c>
      <c r="GL10" t="e">
        <f>AND(#REF!,"AAAAAG9/88E=")</f>
        <v>#REF!</v>
      </c>
      <c r="GM10" t="e">
        <f>AND(#REF!,"AAAAAG9/88I=")</f>
        <v>#REF!</v>
      </c>
      <c r="GN10" t="e">
        <f>AND(#REF!,"AAAAAG9/88M=")</f>
        <v>#REF!</v>
      </c>
      <c r="GO10" t="e">
        <f>AND(#REF!,"AAAAAG9/88Q=")</f>
        <v>#REF!</v>
      </c>
      <c r="GP10" t="e">
        <f>AND(#REF!,"AAAAAG9/88U=")</f>
        <v>#REF!</v>
      </c>
      <c r="GQ10" t="e">
        <f>AND(#REF!,"AAAAAG9/88Y=")</f>
        <v>#REF!</v>
      </c>
      <c r="GR10" t="e">
        <f>AND(#REF!,"AAAAAG9/88c=")</f>
        <v>#REF!</v>
      </c>
      <c r="GS10" t="e">
        <f>AND(#REF!,"AAAAAG9/88g=")</f>
        <v>#REF!</v>
      </c>
      <c r="GT10" t="e">
        <f>AND(#REF!,"AAAAAG9/88k=")</f>
        <v>#REF!</v>
      </c>
      <c r="GU10" t="e">
        <f>AND(#REF!,"AAAAAG9/88o=")</f>
        <v>#REF!</v>
      </c>
      <c r="GV10" t="e">
        <f>AND(#REF!,"AAAAAG9/88s=")</f>
        <v>#REF!</v>
      </c>
      <c r="GW10" t="e">
        <f>AND(#REF!,"AAAAAG9/88w=")</f>
        <v>#REF!</v>
      </c>
      <c r="GX10" t="e">
        <f>AND(#REF!,"AAAAAG9/880=")</f>
        <v>#REF!</v>
      </c>
      <c r="GY10" t="e">
        <f>AND(#REF!,"AAAAAG9/884=")</f>
        <v>#REF!</v>
      </c>
      <c r="GZ10" t="e">
        <f>AND(#REF!,"AAAAAG9/888=")</f>
        <v>#REF!</v>
      </c>
      <c r="HA10" t="e">
        <f>AND(#REF!,"AAAAAG9/89A=")</f>
        <v>#REF!</v>
      </c>
      <c r="HB10" t="e">
        <f>AND(#REF!,"AAAAAG9/89E=")</f>
        <v>#REF!</v>
      </c>
      <c r="HC10" t="e">
        <f>AND(#REF!,"AAAAAG9/89I=")</f>
        <v>#REF!</v>
      </c>
      <c r="HD10" t="e">
        <f>AND(#REF!,"AAAAAG9/89M=")</f>
        <v>#REF!</v>
      </c>
      <c r="HE10" t="e">
        <f>AND(#REF!,"AAAAAG9/89Q=")</f>
        <v>#REF!</v>
      </c>
      <c r="HF10" t="e">
        <f>AND(#REF!,"AAAAAG9/89U=")</f>
        <v>#REF!</v>
      </c>
      <c r="HG10" t="e">
        <f>AND(#REF!,"AAAAAG9/89Y=")</f>
        <v>#REF!</v>
      </c>
      <c r="HH10" t="e">
        <f>AND(#REF!,"AAAAAG9/89c=")</f>
        <v>#REF!</v>
      </c>
      <c r="HI10" t="e">
        <f>AND(#REF!,"AAAAAG9/89g=")</f>
        <v>#REF!</v>
      </c>
      <c r="HJ10" t="e">
        <f>AND(#REF!,"AAAAAG9/89k=")</f>
        <v>#REF!</v>
      </c>
      <c r="HK10" t="e">
        <f>AND(#REF!,"AAAAAG9/89o=")</f>
        <v>#REF!</v>
      </c>
      <c r="HL10" t="e">
        <f>AND(#REF!,"AAAAAG9/89s=")</f>
        <v>#REF!</v>
      </c>
      <c r="HM10" t="e">
        <f>AND(#REF!,"AAAAAG9/89w=")</f>
        <v>#REF!</v>
      </c>
      <c r="HN10" t="e">
        <f>AND(#REF!,"AAAAAG9/890=")</f>
        <v>#REF!</v>
      </c>
      <c r="HO10" t="e">
        <f>AND(#REF!,"AAAAAG9/894=")</f>
        <v>#REF!</v>
      </c>
      <c r="HP10" t="e">
        <f>AND(#REF!,"AAAAAG9/898=")</f>
        <v>#REF!</v>
      </c>
      <c r="HQ10" t="e">
        <f>AND(#REF!,"AAAAAG9/8+A=")</f>
        <v>#REF!</v>
      </c>
      <c r="HR10" t="e">
        <f>AND(#REF!,"AAAAAG9/8+E=")</f>
        <v>#REF!</v>
      </c>
      <c r="HS10" t="e">
        <f>AND(#REF!,"AAAAAG9/8+I=")</f>
        <v>#REF!</v>
      </c>
      <c r="HT10" t="e">
        <f>AND(#REF!,"AAAAAG9/8+M=")</f>
        <v>#REF!</v>
      </c>
      <c r="HU10" t="e">
        <f>AND(#REF!,"AAAAAG9/8+Q=")</f>
        <v>#REF!</v>
      </c>
      <c r="HV10" t="e">
        <f>AND(#REF!,"AAAAAG9/8+U=")</f>
        <v>#REF!</v>
      </c>
      <c r="HW10" t="e">
        <f>AND(#REF!,"AAAAAG9/8+Y=")</f>
        <v>#REF!</v>
      </c>
      <c r="HX10" t="e">
        <f>AND(#REF!,"AAAAAG9/8+c=")</f>
        <v>#REF!</v>
      </c>
      <c r="HY10" t="e">
        <f>AND(#REF!,"AAAAAG9/8+g=")</f>
        <v>#REF!</v>
      </c>
      <c r="HZ10" t="e">
        <f>AND(#REF!,"AAAAAG9/8+k=")</f>
        <v>#REF!</v>
      </c>
      <c r="IA10" t="e">
        <f>AND(#REF!,"AAAAAG9/8+o=")</f>
        <v>#REF!</v>
      </c>
      <c r="IB10" t="e">
        <f>AND(#REF!,"AAAAAG9/8+s=")</f>
        <v>#REF!</v>
      </c>
      <c r="IC10" t="e">
        <f>AND(#REF!,"AAAAAG9/8+w=")</f>
        <v>#REF!</v>
      </c>
      <c r="ID10" t="e">
        <f>AND(#REF!,"AAAAAG9/8+0=")</f>
        <v>#REF!</v>
      </c>
      <c r="IE10" t="e">
        <f>AND(#REF!,"AAAAAG9/8+4=")</f>
        <v>#REF!</v>
      </c>
      <c r="IF10" t="e">
        <f>AND(#REF!,"AAAAAG9/8+8=")</f>
        <v>#REF!</v>
      </c>
      <c r="IG10" t="e">
        <f>AND(#REF!,"AAAAAG9/8/A=")</f>
        <v>#REF!</v>
      </c>
      <c r="IH10" t="e">
        <f>AND(#REF!,"AAAAAG9/8/E=")</f>
        <v>#REF!</v>
      </c>
      <c r="II10" t="e">
        <f>AND(#REF!,"AAAAAG9/8/I=")</f>
        <v>#REF!</v>
      </c>
      <c r="IJ10" t="e">
        <f>AND(#REF!,"AAAAAG9/8/M=")</f>
        <v>#REF!</v>
      </c>
      <c r="IK10" t="e">
        <f>AND(#REF!,"AAAAAG9/8/Q=")</f>
        <v>#REF!</v>
      </c>
      <c r="IL10" t="e">
        <f>AND(#REF!,"AAAAAG9/8/U=")</f>
        <v>#REF!</v>
      </c>
      <c r="IM10" t="e">
        <f>AND(#REF!,"AAAAAG9/8/Y=")</f>
        <v>#REF!</v>
      </c>
      <c r="IN10" t="e">
        <f>AND(#REF!,"AAAAAG9/8/c=")</f>
        <v>#REF!</v>
      </c>
      <c r="IO10" t="e">
        <f>AND(#REF!,"AAAAAG9/8/g=")</f>
        <v>#REF!</v>
      </c>
      <c r="IP10" t="e">
        <f>AND(#REF!,"AAAAAG9/8/k=")</f>
        <v>#REF!</v>
      </c>
      <c r="IQ10" t="e">
        <f>AND(#REF!,"AAAAAG9/8/o=")</f>
        <v>#REF!</v>
      </c>
      <c r="IR10" t="e">
        <f>AND(#REF!,"AAAAAG9/8/s=")</f>
        <v>#REF!</v>
      </c>
      <c r="IS10" t="e">
        <f>AND(#REF!,"AAAAAG9/8/w=")</f>
        <v>#REF!</v>
      </c>
      <c r="IT10" t="e">
        <f>AND(#REF!,"AAAAAG9/8/0=")</f>
        <v>#REF!</v>
      </c>
      <c r="IU10" t="e">
        <f>AND(#REF!,"AAAAAG9/8/4=")</f>
        <v>#REF!</v>
      </c>
      <c r="IV10" t="e">
        <f>AND(#REF!,"AAAAAG9/8/8=")</f>
        <v>#REF!</v>
      </c>
    </row>
    <row r="11" spans="1:256">
      <c r="A11" t="e">
        <f>AND(#REF!,"AAAAAFuw7gA=")</f>
        <v>#REF!</v>
      </c>
      <c r="B11" t="e">
        <f>AND(#REF!,"AAAAAFuw7gE=")</f>
        <v>#REF!</v>
      </c>
      <c r="C11" t="e">
        <f>AND(#REF!,"AAAAAFuw7gI=")</f>
        <v>#REF!</v>
      </c>
      <c r="D11" t="e">
        <f>AND(#REF!,"AAAAAFuw7gM=")</f>
        <v>#REF!</v>
      </c>
      <c r="E11" t="e">
        <f>AND(#REF!,"AAAAAFuw7gQ=")</f>
        <v>#REF!</v>
      </c>
      <c r="F11" t="e">
        <f>AND(#REF!,"AAAAAFuw7gU=")</f>
        <v>#REF!</v>
      </c>
      <c r="G11" t="e">
        <f>AND(#REF!,"AAAAAFuw7gY=")</f>
        <v>#REF!</v>
      </c>
      <c r="H11" t="e">
        <f>AND(#REF!,"AAAAAFuw7gc=")</f>
        <v>#REF!</v>
      </c>
      <c r="I11" t="e">
        <f>AND(#REF!,"AAAAAFuw7gg=")</f>
        <v>#REF!</v>
      </c>
      <c r="J11" t="e">
        <f>AND(#REF!,"AAAAAFuw7gk=")</f>
        <v>#REF!</v>
      </c>
      <c r="K11" t="e">
        <f>AND(#REF!,"AAAAAFuw7go=")</f>
        <v>#REF!</v>
      </c>
      <c r="L11" t="e">
        <f>AND(#REF!,"AAAAAFuw7gs=")</f>
        <v>#REF!</v>
      </c>
      <c r="M11" t="e">
        <f>AND(#REF!,"AAAAAFuw7gw=")</f>
        <v>#REF!</v>
      </c>
      <c r="N11" t="e">
        <f>AND(#REF!,"AAAAAFuw7g0=")</f>
        <v>#REF!</v>
      </c>
      <c r="O11" t="e">
        <f>AND(#REF!,"AAAAAFuw7g4=")</f>
        <v>#REF!</v>
      </c>
      <c r="P11" t="e">
        <f>AND(#REF!,"AAAAAFuw7g8=")</f>
        <v>#REF!</v>
      </c>
      <c r="Q11" t="e">
        <f>AND(#REF!,"AAAAAFuw7hA=")</f>
        <v>#REF!</v>
      </c>
      <c r="R11" t="e">
        <f>AND(#REF!,"AAAAAFuw7hE=")</f>
        <v>#REF!</v>
      </c>
      <c r="S11" t="e">
        <f>AND(#REF!,"AAAAAFuw7hI=")</f>
        <v>#REF!</v>
      </c>
      <c r="T11" t="e">
        <f>AND(#REF!,"AAAAAFuw7hM=")</f>
        <v>#REF!</v>
      </c>
      <c r="U11" t="e">
        <f>AND(#REF!,"AAAAAFuw7hQ=")</f>
        <v>#REF!</v>
      </c>
      <c r="V11" t="e">
        <f>AND(#REF!,"AAAAAFuw7hU=")</f>
        <v>#REF!</v>
      </c>
      <c r="W11" t="e">
        <f>AND(#REF!,"AAAAAFuw7hY=")</f>
        <v>#REF!</v>
      </c>
      <c r="X11" t="e">
        <f>AND(#REF!,"AAAAAFuw7hc=")</f>
        <v>#REF!</v>
      </c>
      <c r="Y11" t="e">
        <f>AND(#REF!,"AAAAAFuw7hg=")</f>
        <v>#REF!</v>
      </c>
      <c r="Z11" t="e">
        <f>AND(#REF!,"AAAAAFuw7hk=")</f>
        <v>#REF!</v>
      </c>
      <c r="AA11" t="e">
        <f>AND(#REF!,"AAAAAFuw7ho=")</f>
        <v>#REF!</v>
      </c>
      <c r="AB11" t="e">
        <f>AND(#REF!,"AAAAAFuw7hs=")</f>
        <v>#REF!</v>
      </c>
      <c r="AC11" t="e">
        <f>AND(#REF!,"AAAAAFuw7hw=")</f>
        <v>#REF!</v>
      </c>
      <c r="AD11" t="e">
        <f>AND(#REF!,"AAAAAFuw7h0=")</f>
        <v>#REF!</v>
      </c>
      <c r="AE11" t="e">
        <f>AND(#REF!,"AAAAAFuw7h4=")</f>
        <v>#REF!</v>
      </c>
      <c r="AF11" t="e">
        <f>AND(#REF!,"AAAAAFuw7h8=")</f>
        <v>#REF!</v>
      </c>
      <c r="AG11" t="e">
        <f>AND(#REF!,"AAAAAFuw7iA=")</f>
        <v>#REF!</v>
      </c>
      <c r="AH11" t="e">
        <f>AND(#REF!,"AAAAAFuw7iE=")</f>
        <v>#REF!</v>
      </c>
      <c r="AI11" t="e">
        <f>AND(#REF!,"AAAAAFuw7iI=")</f>
        <v>#REF!</v>
      </c>
      <c r="AJ11" t="e">
        <f>AND(#REF!,"AAAAAFuw7iM=")</f>
        <v>#REF!</v>
      </c>
      <c r="AK11" t="e">
        <f>AND(#REF!,"AAAAAFuw7iQ=")</f>
        <v>#REF!</v>
      </c>
      <c r="AL11" t="e">
        <f>AND(#REF!,"AAAAAFuw7iU=")</f>
        <v>#REF!</v>
      </c>
      <c r="AM11" t="e">
        <f>AND(#REF!,"AAAAAFuw7iY=")</f>
        <v>#REF!</v>
      </c>
      <c r="AN11" t="e">
        <f>AND(#REF!,"AAAAAFuw7ic=")</f>
        <v>#REF!</v>
      </c>
      <c r="AO11" t="e">
        <f>AND(#REF!,"AAAAAFuw7ig=")</f>
        <v>#REF!</v>
      </c>
      <c r="AP11" t="e">
        <f>AND(#REF!,"AAAAAFuw7ik=")</f>
        <v>#REF!</v>
      </c>
      <c r="AQ11" t="e">
        <f>AND(#REF!,"AAAAAFuw7io=")</f>
        <v>#REF!</v>
      </c>
      <c r="AR11" t="e">
        <f>AND(#REF!,"AAAAAFuw7is=")</f>
        <v>#REF!</v>
      </c>
      <c r="AS11" t="e">
        <f>AND(#REF!,"AAAAAFuw7iw=")</f>
        <v>#REF!</v>
      </c>
      <c r="AT11" t="e">
        <f>AND(#REF!,"AAAAAFuw7i0=")</f>
        <v>#REF!</v>
      </c>
      <c r="AU11" t="e">
        <f>AND(#REF!,"AAAAAFuw7i4=")</f>
        <v>#REF!</v>
      </c>
      <c r="AV11" t="e">
        <f>AND(#REF!,"AAAAAFuw7i8=")</f>
        <v>#REF!</v>
      </c>
      <c r="AW11" t="e">
        <f>AND(#REF!,"AAAAAFuw7jA=")</f>
        <v>#REF!</v>
      </c>
      <c r="AX11" t="e">
        <f>AND(#REF!,"AAAAAFuw7jE=")</f>
        <v>#REF!</v>
      </c>
      <c r="AY11" t="e">
        <f>AND(#REF!,"AAAAAFuw7jI=")</f>
        <v>#REF!</v>
      </c>
      <c r="AZ11" t="e">
        <f>AND(#REF!,"AAAAAFuw7jM=")</f>
        <v>#REF!</v>
      </c>
      <c r="BA11" t="e">
        <f>AND(#REF!,"AAAAAFuw7jQ=")</f>
        <v>#REF!</v>
      </c>
      <c r="BB11" t="e">
        <f>AND(#REF!,"AAAAAFuw7jU=")</f>
        <v>#REF!</v>
      </c>
      <c r="BC11" t="e">
        <f>AND(#REF!,"AAAAAFuw7jY=")</f>
        <v>#REF!</v>
      </c>
      <c r="BD11" t="e">
        <f>AND(#REF!,"AAAAAFuw7jc=")</f>
        <v>#REF!</v>
      </c>
      <c r="BE11" t="e">
        <f>AND(#REF!,"AAAAAFuw7jg=")</f>
        <v>#REF!</v>
      </c>
      <c r="BF11" t="e">
        <f>AND(#REF!,"AAAAAFuw7jk=")</f>
        <v>#REF!</v>
      </c>
      <c r="BG11" t="e">
        <f>AND(#REF!,"AAAAAFuw7jo=")</f>
        <v>#REF!</v>
      </c>
      <c r="BH11" t="e">
        <f>AND(#REF!,"AAAAAFuw7js=")</f>
        <v>#REF!</v>
      </c>
      <c r="BI11" t="e">
        <f>AND(#REF!,"AAAAAFuw7jw=")</f>
        <v>#REF!</v>
      </c>
      <c r="BJ11" t="e">
        <f>AND(#REF!,"AAAAAFuw7j0=")</f>
        <v>#REF!</v>
      </c>
      <c r="BK11" t="e">
        <f>AND(#REF!,"AAAAAFuw7j4=")</f>
        <v>#REF!</v>
      </c>
      <c r="BL11" t="e">
        <f>AND(#REF!,"AAAAAFuw7j8=")</f>
        <v>#REF!</v>
      </c>
      <c r="BM11" t="e">
        <f>AND(#REF!,"AAAAAFuw7kA=")</f>
        <v>#REF!</v>
      </c>
      <c r="BN11" t="e">
        <f>AND(#REF!,"AAAAAFuw7kE=")</f>
        <v>#REF!</v>
      </c>
      <c r="BO11" t="e">
        <f>AND(#REF!,"AAAAAFuw7kI=")</f>
        <v>#REF!</v>
      </c>
      <c r="BP11" t="e">
        <f>AND(#REF!,"AAAAAFuw7kM=")</f>
        <v>#REF!</v>
      </c>
      <c r="BQ11" t="e">
        <f>AND(#REF!,"AAAAAFuw7kQ=")</f>
        <v>#REF!</v>
      </c>
      <c r="BR11" t="e">
        <f>AND(#REF!,"AAAAAFuw7kU=")</f>
        <v>#REF!</v>
      </c>
      <c r="BS11" t="e">
        <f>AND(#REF!,"AAAAAFuw7kY=")</f>
        <v>#REF!</v>
      </c>
      <c r="BT11" t="e">
        <f>AND(#REF!,"AAAAAFuw7kc=")</f>
        <v>#REF!</v>
      </c>
      <c r="BU11" t="e">
        <f>AND(#REF!,"AAAAAFuw7kg=")</f>
        <v>#REF!</v>
      </c>
      <c r="BV11" t="e">
        <f>AND(#REF!,"AAAAAFuw7kk=")</f>
        <v>#REF!</v>
      </c>
      <c r="BW11" t="e">
        <f>AND(#REF!,"AAAAAFuw7ko=")</f>
        <v>#REF!</v>
      </c>
      <c r="BX11" t="e">
        <f>AND(#REF!,"AAAAAFuw7ks=")</f>
        <v>#REF!</v>
      </c>
      <c r="BY11" t="e">
        <f>AND(#REF!,"AAAAAFuw7kw=")</f>
        <v>#REF!</v>
      </c>
      <c r="BZ11" t="e">
        <f>AND(#REF!,"AAAAAFuw7k0=")</f>
        <v>#REF!</v>
      </c>
      <c r="CA11" t="e">
        <f>AND(#REF!,"AAAAAFuw7k4=")</f>
        <v>#REF!</v>
      </c>
      <c r="CB11" t="e">
        <f>AND(#REF!,"AAAAAFuw7k8=")</f>
        <v>#REF!</v>
      </c>
      <c r="CC11" t="e">
        <f>AND(#REF!,"AAAAAFuw7lA=")</f>
        <v>#REF!</v>
      </c>
      <c r="CD11" t="e">
        <f>AND(#REF!,"AAAAAFuw7lE=")</f>
        <v>#REF!</v>
      </c>
      <c r="CE11" t="e">
        <f>AND(#REF!,"AAAAAFuw7lI=")</f>
        <v>#REF!</v>
      </c>
      <c r="CF11" t="e">
        <f>AND(#REF!,"AAAAAFuw7lM=")</f>
        <v>#REF!</v>
      </c>
      <c r="CG11" t="e">
        <f>AND(#REF!,"AAAAAFuw7lQ=")</f>
        <v>#REF!</v>
      </c>
      <c r="CH11" t="e">
        <f>AND(#REF!,"AAAAAFuw7lU=")</f>
        <v>#REF!</v>
      </c>
      <c r="CI11" t="e">
        <f>AND(#REF!,"AAAAAFuw7lY=")</f>
        <v>#REF!</v>
      </c>
      <c r="CJ11" t="e">
        <f>AND(#REF!,"AAAAAFuw7lc=")</f>
        <v>#REF!</v>
      </c>
      <c r="CK11" t="e">
        <f>AND(#REF!,"AAAAAFuw7lg=")</f>
        <v>#REF!</v>
      </c>
      <c r="CL11" t="e">
        <f>AND(#REF!,"AAAAAFuw7lk=")</f>
        <v>#REF!</v>
      </c>
      <c r="CM11" t="e">
        <f>AND(#REF!,"AAAAAFuw7lo=")</f>
        <v>#REF!</v>
      </c>
      <c r="CN11" t="e">
        <f>AND(#REF!,"AAAAAFuw7ls=")</f>
        <v>#REF!</v>
      </c>
      <c r="CO11" t="e">
        <f>AND(#REF!,"AAAAAFuw7lw=")</f>
        <v>#REF!</v>
      </c>
      <c r="CP11" t="e">
        <f>AND(#REF!,"AAAAAFuw7l0=")</f>
        <v>#REF!</v>
      </c>
      <c r="CQ11" t="e">
        <f>AND(#REF!,"AAAAAFuw7l4=")</f>
        <v>#REF!</v>
      </c>
      <c r="CR11" t="e">
        <f>AND(#REF!,"AAAAAFuw7l8=")</f>
        <v>#REF!</v>
      </c>
      <c r="CS11" t="e">
        <f>AND(#REF!,"AAAAAFuw7mA=")</f>
        <v>#REF!</v>
      </c>
      <c r="CT11" t="e">
        <f>AND(#REF!,"AAAAAFuw7mE=")</f>
        <v>#REF!</v>
      </c>
      <c r="CU11" t="e">
        <f>AND(#REF!,"AAAAAFuw7mI=")</f>
        <v>#REF!</v>
      </c>
      <c r="CV11" t="e">
        <f>AND(#REF!,"AAAAAFuw7mM=")</f>
        <v>#REF!</v>
      </c>
      <c r="CW11" t="e">
        <f>AND(#REF!,"AAAAAFuw7mQ=")</f>
        <v>#REF!</v>
      </c>
      <c r="CX11" t="e">
        <f>AND(#REF!,"AAAAAFuw7mU=")</f>
        <v>#REF!</v>
      </c>
      <c r="CY11" t="e">
        <f>AND(#REF!,"AAAAAFuw7mY=")</f>
        <v>#REF!</v>
      </c>
      <c r="CZ11" t="e">
        <f>AND(#REF!,"AAAAAFuw7mc=")</f>
        <v>#REF!</v>
      </c>
      <c r="DA11" t="e">
        <f>AND(#REF!,"AAAAAFuw7mg=")</f>
        <v>#REF!</v>
      </c>
      <c r="DB11" t="e">
        <f>AND(#REF!,"AAAAAFuw7mk=")</f>
        <v>#REF!</v>
      </c>
      <c r="DC11" t="e">
        <f>AND(#REF!,"AAAAAFuw7mo=")</f>
        <v>#REF!</v>
      </c>
      <c r="DD11" t="e">
        <f>AND(#REF!,"AAAAAFuw7ms=")</f>
        <v>#REF!</v>
      </c>
      <c r="DE11" t="e">
        <f>AND(#REF!,"AAAAAFuw7mw=")</f>
        <v>#REF!</v>
      </c>
      <c r="DF11" t="e">
        <f>AND(#REF!,"AAAAAFuw7m0=")</f>
        <v>#REF!</v>
      </c>
      <c r="DG11" t="e">
        <f>AND(#REF!,"AAAAAFuw7m4=")</f>
        <v>#REF!</v>
      </c>
      <c r="DH11" t="e">
        <f>AND(#REF!,"AAAAAFuw7m8=")</f>
        <v>#REF!</v>
      </c>
      <c r="DI11" t="e">
        <f>AND(#REF!,"AAAAAFuw7nA=")</f>
        <v>#REF!</v>
      </c>
      <c r="DJ11" t="e">
        <f>AND(#REF!,"AAAAAFuw7nE=")</f>
        <v>#REF!</v>
      </c>
      <c r="DK11" t="e">
        <f>AND(#REF!,"AAAAAFuw7nI=")</f>
        <v>#REF!</v>
      </c>
      <c r="DL11" t="e">
        <f>AND(#REF!,"AAAAAFuw7nM=")</f>
        <v>#REF!</v>
      </c>
      <c r="DM11" t="e">
        <f>AND(#REF!,"AAAAAFuw7nQ=")</f>
        <v>#REF!</v>
      </c>
      <c r="DN11" t="e">
        <f>AND(#REF!,"AAAAAFuw7nU=")</f>
        <v>#REF!</v>
      </c>
      <c r="DO11" t="e">
        <f>AND(#REF!,"AAAAAFuw7nY=")</f>
        <v>#REF!</v>
      </c>
      <c r="DP11" t="e">
        <f>AND(#REF!,"AAAAAFuw7nc=")</f>
        <v>#REF!</v>
      </c>
      <c r="DQ11" t="e">
        <f>AND(#REF!,"AAAAAFuw7ng=")</f>
        <v>#REF!</v>
      </c>
      <c r="DR11" t="e">
        <f>AND(#REF!,"AAAAAFuw7nk=")</f>
        <v>#REF!</v>
      </c>
      <c r="DS11" t="e">
        <f>AND(#REF!,"AAAAAFuw7no=")</f>
        <v>#REF!</v>
      </c>
      <c r="DT11" t="e">
        <f>AND(#REF!,"AAAAAFuw7ns=")</f>
        <v>#REF!</v>
      </c>
      <c r="DU11" t="e">
        <f>AND(#REF!,"AAAAAFuw7nw=")</f>
        <v>#REF!</v>
      </c>
      <c r="DV11" t="e">
        <f>AND(#REF!,"AAAAAFuw7n0=")</f>
        <v>#REF!</v>
      </c>
      <c r="DW11" t="e">
        <f>AND(#REF!,"AAAAAFuw7n4=")</f>
        <v>#REF!</v>
      </c>
      <c r="DX11" t="e">
        <f>AND(#REF!,"AAAAAFuw7n8=")</f>
        <v>#REF!</v>
      </c>
      <c r="DY11" t="e">
        <f>AND(#REF!,"AAAAAFuw7oA=")</f>
        <v>#REF!</v>
      </c>
      <c r="DZ11" t="e">
        <f>AND(#REF!,"AAAAAFuw7oE=")</f>
        <v>#REF!</v>
      </c>
      <c r="EA11" t="e">
        <f>AND(#REF!,"AAAAAFuw7oI=")</f>
        <v>#REF!</v>
      </c>
      <c r="EB11" t="e">
        <f>AND(#REF!,"AAAAAFuw7oM=")</f>
        <v>#REF!</v>
      </c>
      <c r="EC11" t="e">
        <f>AND(#REF!,"AAAAAFuw7oQ=")</f>
        <v>#REF!</v>
      </c>
      <c r="ED11" t="e">
        <f>AND(#REF!,"AAAAAFuw7oU=")</f>
        <v>#REF!</v>
      </c>
      <c r="EE11" t="e">
        <f>AND(#REF!,"AAAAAFuw7oY=")</f>
        <v>#REF!</v>
      </c>
      <c r="EF11" t="e">
        <f>AND(#REF!,"AAAAAFuw7oc=")</f>
        <v>#REF!</v>
      </c>
      <c r="EG11" t="e">
        <f>AND(#REF!,"AAAAAFuw7og=")</f>
        <v>#REF!</v>
      </c>
      <c r="EH11" t="e">
        <f>AND(#REF!,"AAAAAFuw7ok=")</f>
        <v>#REF!</v>
      </c>
      <c r="EI11" t="e">
        <f>AND(#REF!,"AAAAAFuw7oo=")</f>
        <v>#REF!</v>
      </c>
      <c r="EJ11" t="e">
        <f>AND(#REF!,"AAAAAFuw7os=")</f>
        <v>#REF!</v>
      </c>
      <c r="EK11" t="e">
        <f>AND(#REF!,"AAAAAFuw7ow=")</f>
        <v>#REF!</v>
      </c>
      <c r="EL11" t="e">
        <f>AND(#REF!,"AAAAAFuw7o0=")</f>
        <v>#REF!</v>
      </c>
      <c r="EM11" t="e">
        <f>AND(#REF!,"AAAAAFuw7o4=")</f>
        <v>#REF!</v>
      </c>
      <c r="EN11" t="e">
        <f>AND(#REF!,"AAAAAFuw7o8=")</f>
        <v>#REF!</v>
      </c>
      <c r="EO11" t="e">
        <f>AND(#REF!,"AAAAAFuw7pA=")</f>
        <v>#REF!</v>
      </c>
      <c r="EP11" t="e">
        <f>AND(#REF!,"AAAAAFuw7pE=")</f>
        <v>#REF!</v>
      </c>
      <c r="EQ11" t="e">
        <f>AND(#REF!,"AAAAAFuw7pI=")</f>
        <v>#REF!</v>
      </c>
      <c r="ER11" t="e">
        <f>AND(#REF!,"AAAAAFuw7pM=")</f>
        <v>#REF!</v>
      </c>
      <c r="ES11" t="e">
        <f>AND(#REF!,"AAAAAFuw7pQ=")</f>
        <v>#REF!</v>
      </c>
      <c r="ET11" t="e">
        <f>AND(#REF!,"AAAAAFuw7pU=")</f>
        <v>#REF!</v>
      </c>
      <c r="EU11" t="e">
        <f>AND(#REF!,"AAAAAFuw7pY=")</f>
        <v>#REF!</v>
      </c>
      <c r="EV11" t="e">
        <f>AND(#REF!,"AAAAAFuw7pc=")</f>
        <v>#REF!</v>
      </c>
      <c r="EW11" t="e">
        <f>AND(#REF!,"AAAAAFuw7pg=")</f>
        <v>#REF!</v>
      </c>
      <c r="EX11" t="e">
        <f>AND(#REF!,"AAAAAFuw7pk=")</f>
        <v>#REF!</v>
      </c>
      <c r="EY11" t="e">
        <f>AND(#REF!,"AAAAAFuw7po=")</f>
        <v>#REF!</v>
      </c>
      <c r="EZ11" t="e">
        <f>AND(#REF!,"AAAAAFuw7ps=")</f>
        <v>#REF!</v>
      </c>
      <c r="FA11" t="e">
        <f>AND(#REF!,"AAAAAFuw7pw=")</f>
        <v>#REF!</v>
      </c>
      <c r="FB11" t="e">
        <f>AND(#REF!,"AAAAAFuw7p0=")</f>
        <v>#REF!</v>
      </c>
      <c r="FC11" t="e">
        <f>AND(#REF!,"AAAAAFuw7p4=")</f>
        <v>#REF!</v>
      </c>
      <c r="FD11" t="e">
        <f>AND(#REF!,"AAAAAFuw7p8=")</f>
        <v>#REF!</v>
      </c>
      <c r="FE11" t="e">
        <f>AND(#REF!,"AAAAAFuw7qA=")</f>
        <v>#REF!</v>
      </c>
      <c r="FF11" t="e">
        <f>AND(#REF!,"AAAAAFuw7qE=")</f>
        <v>#REF!</v>
      </c>
      <c r="FG11" t="e">
        <f>AND(#REF!,"AAAAAFuw7qI=")</f>
        <v>#REF!</v>
      </c>
      <c r="FH11" t="e">
        <f>AND(#REF!,"AAAAAFuw7qM=")</f>
        <v>#REF!</v>
      </c>
      <c r="FI11" t="e">
        <f>AND(#REF!,"AAAAAFuw7qQ=")</f>
        <v>#REF!</v>
      </c>
      <c r="FJ11" t="e">
        <f>AND(#REF!,"AAAAAFuw7qU=")</f>
        <v>#REF!</v>
      </c>
      <c r="FK11" t="e">
        <f>AND(#REF!,"AAAAAFuw7qY=")</f>
        <v>#REF!</v>
      </c>
      <c r="FL11" t="e">
        <f>AND(#REF!,"AAAAAFuw7qc=")</f>
        <v>#REF!</v>
      </c>
      <c r="FM11" t="e">
        <f>AND(#REF!,"AAAAAFuw7qg=")</f>
        <v>#REF!</v>
      </c>
      <c r="FN11" t="e">
        <f>AND(#REF!,"AAAAAFuw7qk=")</f>
        <v>#REF!</v>
      </c>
      <c r="FO11" t="e">
        <f>AND(#REF!,"AAAAAFuw7qo=")</f>
        <v>#REF!</v>
      </c>
      <c r="FP11" t="e">
        <f>AND(#REF!,"AAAAAFuw7qs=")</f>
        <v>#REF!</v>
      </c>
      <c r="FQ11" t="e">
        <f>AND(#REF!,"AAAAAFuw7qw=")</f>
        <v>#REF!</v>
      </c>
      <c r="FR11" t="e">
        <f>AND(#REF!,"AAAAAFuw7q0=")</f>
        <v>#REF!</v>
      </c>
      <c r="FS11" t="e">
        <f>AND(#REF!,"AAAAAFuw7q4=")</f>
        <v>#REF!</v>
      </c>
      <c r="FT11" t="e">
        <f>AND(#REF!,"AAAAAFuw7q8=")</f>
        <v>#REF!</v>
      </c>
      <c r="FU11" t="e">
        <f>AND(#REF!,"AAAAAFuw7rA=")</f>
        <v>#REF!</v>
      </c>
      <c r="FV11" t="e">
        <f>AND(#REF!,"AAAAAFuw7rE=")</f>
        <v>#REF!</v>
      </c>
      <c r="FW11" t="e">
        <f>AND(#REF!,"AAAAAFuw7rI=")</f>
        <v>#REF!</v>
      </c>
      <c r="FX11" t="e">
        <f>AND(#REF!,"AAAAAFuw7rM=")</f>
        <v>#REF!</v>
      </c>
      <c r="FY11" t="e">
        <f>AND(#REF!,"AAAAAFuw7rQ=")</f>
        <v>#REF!</v>
      </c>
      <c r="FZ11" t="e">
        <f>AND(#REF!,"AAAAAFuw7rU=")</f>
        <v>#REF!</v>
      </c>
      <c r="GA11" t="e">
        <f>AND(#REF!,"AAAAAFuw7rY=")</f>
        <v>#REF!</v>
      </c>
      <c r="GB11" t="e">
        <f>AND(#REF!,"AAAAAFuw7rc=")</f>
        <v>#REF!</v>
      </c>
      <c r="GC11" t="e">
        <f>AND(#REF!,"AAAAAFuw7rg=")</f>
        <v>#REF!</v>
      </c>
      <c r="GD11" t="e">
        <f>AND(#REF!,"AAAAAFuw7rk=")</f>
        <v>#REF!</v>
      </c>
      <c r="GE11" t="e">
        <f>AND(#REF!,"AAAAAFuw7ro=")</f>
        <v>#REF!</v>
      </c>
      <c r="GF11" t="e">
        <f>AND(#REF!,"AAAAAFuw7rs=")</f>
        <v>#REF!</v>
      </c>
      <c r="GG11" t="e">
        <f>AND(#REF!,"AAAAAFuw7rw=")</f>
        <v>#REF!</v>
      </c>
      <c r="GH11" t="e">
        <f>AND(#REF!,"AAAAAFuw7r0=")</f>
        <v>#REF!</v>
      </c>
      <c r="GI11" t="e">
        <f>AND(#REF!,"AAAAAFuw7r4=")</f>
        <v>#REF!</v>
      </c>
      <c r="GJ11" t="e">
        <f>AND(#REF!,"AAAAAFuw7r8=")</f>
        <v>#REF!</v>
      </c>
      <c r="GK11" t="e">
        <f>AND(#REF!,"AAAAAFuw7sA=")</f>
        <v>#REF!</v>
      </c>
      <c r="GL11" t="e">
        <f>AND(#REF!,"AAAAAFuw7sE=")</f>
        <v>#REF!</v>
      </c>
      <c r="GM11" t="e">
        <f>AND(#REF!,"AAAAAFuw7sI=")</f>
        <v>#REF!</v>
      </c>
      <c r="GN11" t="e">
        <f>AND(#REF!,"AAAAAFuw7sM=")</f>
        <v>#REF!</v>
      </c>
      <c r="GO11" t="e">
        <f>AND(#REF!,"AAAAAFuw7sQ=")</f>
        <v>#REF!</v>
      </c>
      <c r="GP11" t="e">
        <f>AND(#REF!,"AAAAAFuw7sU=")</f>
        <v>#REF!</v>
      </c>
      <c r="GQ11" t="e">
        <f>AND(#REF!,"AAAAAFuw7sY=")</f>
        <v>#REF!</v>
      </c>
      <c r="GR11" t="e">
        <f>AND(#REF!,"AAAAAFuw7sc=")</f>
        <v>#REF!</v>
      </c>
      <c r="GS11" t="e">
        <f>AND(#REF!,"AAAAAFuw7sg=")</f>
        <v>#REF!</v>
      </c>
      <c r="GT11" t="e">
        <f>AND(#REF!,"AAAAAFuw7sk=")</f>
        <v>#REF!</v>
      </c>
      <c r="GU11" t="e">
        <f>AND(#REF!,"AAAAAFuw7so=")</f>
        <v>#REF!</v>
      </c>
      <c r="GV11" t="e">
        <f>AND(#REF!,"AAAAAFuw7ss=")</f>
        <v>#REF!</v>
      </c>
      <c r="GW11" t="e">
        <f>AND(#REF!,"AAAAAFuw7sw=")</f>
        <v>#REF!</v>
      </c>
      <c r="GX11" t="e">
        <f>AND(#REF!,"AAAAAFuw7s0=")</f>
        <v>#REF!</v>
      </c>
      <c r="GY11" t="e">
        <f>AND(#REF!,"AAAAAFuw7s4=")</f>
        <v>#REF!</v>
      </c>
      <c r="GZ11" t="e">
        <f>AND(#REF!,"AAAAAFuw7s8=")</f>
        <v>#REF!</v>
      </c>
      <c r="HA11" t="e">
        <f>AND(#REF!,"AAAAAFuw7tA=")</f>
        <v>#REF!</v>
      </c>
      <c r="HB11" t="e">
        <f>AND(#REF!,"AAAAAFuw7tE=")</f>
        <v>#REF!</v>
      </c>
      <c r="HC11" t="e">
        <f>AND(#REF!,"AAAAAFuw7tI=")</f>
        <v>#REF!</v>
      </c>
      <c r="HD11" t="e">
        <f>AND(#REF!,"AAAAAFuw7tM=")</f>
        <v>#REF!</v>
      </c>
      <c r="HE11" t="e">
        <f>AND(#REF!,"AAAAAFuw7tQ=")</f>
        <v>#REF!</v>
      </c>
      <c r="HF11" t="e">
        <f>AND(#REF!,"AAAAAFuw7tU=")</f>
        <v>#REF!</v>
      </c>
      <c r="HG11" t="e">
        <f>AND(#REF!,"AAAAAFuw7tY=")</f>
        <v>#REF!</v>
      </c>
      <c r="HH11" t="e">
        <f>AND(#REF!,"AAAAAFuw7tc=")</f>
        <v>#REF!</v>
      </c>
      <c r="HI11" t="e">
        <f>AND(#REF!,"AAAAAFuw7tg=")</f>
        <v>#REF!</v>
      </c>
      <c r="HJ11" t="e">
        <f>AND(#REF!,"AAAAAFuw7tk=")</f>
        <v>#REF!</v>
      </c>
      <c r="HK11" t="e">
        <f>AND(#REF!,"AAAAAFuw7to=")</f>
        <v>#REF!</v>
      </c>
      <c r="HL11" t="e">
        <f>AND(#REF!,"AAAAAFuw7ts=")</f>
        <v>#REF!</v>
      </c>
      <c r="HM11" t="e">
        <f>AND(#REF!,"AAAAAFuw7tw=")</f>
        <v>#REF!</v>
      </c>
      <c r="HN11" t="e">
        <f>AND(#REF!,"AAAAAFuw7t0=")</f>
        <v>#REF!</v>
      </c>
      <c r="HO11" t="e">
        <f>AND(#REF!,"AAAAAFuw7t4=")</f>
        <v>#REF!</v>
      </c>
      <c r="HP11" t="e">
        <f>AND(#REF!,"AAAAAFuw7t8=")</f>
        <v>#REF!</v>
      </c>
      <c r="HQ11" t="e">
        <f>AND(#REF!,"AAAAAFuw7uA=")</f>
        <v>#REF!</v>
      </c>
      <c r="HR11" t="e">
        <f>AND(#REF!,"AAAAAFuw7uE=")</f>
        <v>#REF!</v>
      </c>
      <c r="HS11" t="e">
        <f>AND(#REF!,"AAAAAFuw7uI=")</f>
        <v>#REF!</v>
      </c>
      <c r="HT11" t="e">
        <f>AND(#REF!,"AAAAAFuw7uM=")</f>
        <v>#REF!</v>
      </c>
      <c r="HU11" t="e">
        <f>AND(#REF!,"AAAAAFuw7uQ=")</f>
        <v>#REF!</v>
      </c>
      <c r="HV11" t="e">
        <f>AND(#REF!,"AAAAAFuw7uU=")</f>
        <v>#REF!</v>
      </c>
      <c r="HW11" t="e">
        <f>AND(#REF!,"AAAAAFuw7uY=")</f>
        <v>#REF!</v>
      </c>
      <c r="HX11" t="e">
        <f>AND(#REF!,"AAAAAFuw7uc=")</f>
        <v>#REF!</v>
      </c>
      <c r="HY11" t="e">
        <f>AND(#REF!,"AAAAAFuw7ug=")</f>
        <v>#REF!</v>
      </c>
      <c r="HZ11" t="e">
        <f>AND(#REF!,"AAAAAFuw7uk=")</f>
        <v>#REF!</v>
      </c>
      <c r="IA11" t="e">
        <f>AND(#REF!,"AAAAAFuw7uo=")</f>
        <v>#REF!</v>
      </c>
      <c r="IB11" t="e">
        <f>AND(#REF!,"AAAAAFuw7us=")</f>
        <v>#REF!</v>
      </c>
      <c r="IC11" t="e">
        <f>AND(#REF!,"AAAAAFuw7uw=")</f>
        <v>#REF!</v>
      </c>
      <c r="ID11" t="e">
        <f>AND(#REF!,"AAAAAFuw7u0=")</f>
        <v>#REF!</v>
      </c>
      <c r="IE11" t="e">
        <f>AND(#REF!,"AAAAAFuw7u4=")</f>
        <v>#REF!</v>
      </c>
      <c r="IF11" t="e">
        <f>AND(#REF!,"AAAAAFuw7u8=")</f>
        <v>#REF!</v>
      </c>
      <c r="IG11" t="e">
        <f>AND(#REF!,"AAAAAFuw7vA=")</f>
        <v>#REF!</v>
      </c>
      <c r="IH11" t="e">
        <f>AND(#REF!,"AAAAAFuw7vE=")</f>
        <v>#REF!</v>
      </c>
      <c r="II11" t="e">
        <f>AND(#REF!,"AAAAAFuw7vI=")</f>
        <v>#REF!</v>
      </c>
      <c r="IJ11" t="e">
        <f>AND(#REF!,"AAAAAFuw7vM=")</f>
        <v>#REF!</v>
      </c>
      <c r="IK11" t="e">
        <f>AND(#REF!,"AAAAAFuw7vQ=")</f>
        <v>#REF!</v>
      </c>
      <c r="IL11" t="e">
        <f>AND(#REF!,"AAAAAFuw7vU=")</f>
        <v>#REF!</v>
      </c>
      <c r="IM11" t="e">
        <f>AND(#REF!,"AAAAAFuw7vY=")</f>
        <v>#REF!</v>
      </c>
      <c r="IN11" t="e">
        <f>AND(#REF!,"AAAAAFuw7vc=")</f>
        <v>#REF!</v>
      </c>
      <c r="IO11" t="e">
        <f>AND(#REF!,"AAAAAFuw7vg=")</f>
        <v>#REF!</v>
      </c>
      <c r="IP11" t="e">
        <f>AND(#REF!,"AAAAAFuw7vk=")</f>
        <v>#REF!</v>
      </c>
      <c r="IQ11" t="e">
        <f>AND(#REF!,"AAAAAFuw7vo=")</f>
        <v>#REF!</v>
      </c>
      <c r="IR11" t="e">
        <f>AND(#REF!,"AAAAAFuw7vs=")</f>
        <v>#REF!</v>
      </c>
      <c r="IS11" t="e">
        <f>AND(#REF!,"AAAAAFuw7vw=")</f>
        <v>#REF!</v>
      </c>
      <c r="IT11" t="e">
        <f>AND(#REF!,"AAAAAFuw7v0=")</f>
        <v>#REF!</v>
      </c>
      <c r="IU11" t="e">
        <f>AND(#REF!,"AAAAAFuw7v4=")</f>
        <v>#REF!</v>
      </c>
      <c r="IV11" t="e">
        <f>AND(#REF!,"AAAAAFuw7v8=")</f>
        <v>#REF!</v>
      </c>
    </row>
    <row r="12" spans="1:256">
      <c r="A12" t="e">
        <f>AND(#REF!,"AAAAADr19wA=")</f>
        <v>#REF!</v>
      </c>
      <c r="B12" t="e">
        <f>AND(#REF!,"AAAAADr19wE=")</f>
        <v>#REF!</v>
      </c>
      <c r="C12" t="e">
        <f>AND(#REF!,"AAAAADr19wI=")</f>
        <v>#REF!</v>
      </c>
      <c r="D12" t="e">
        <f>AND(#REF!,"AAAAADr19wM=")</f>
        <v>#REF!</v>
      </c>
      <c r="E12" t="e">
        <f>AND(#REF!,"AAAAADr19wQ=")</f>
        <v>#REF!</v>
      </c>
      <c r="F12" t="e">
        <f>AND(#REF!,"AAAAADr19wU=")</f>
        <v>#REF!</v>
      </c>
      <c r="G12" t="e">
        <f>AND(#REF!,"AAAAADr19wY=")</f>
        <v>#REF!</v>
      </c>
      <c r="H12" t="e">
        <f>AND(#REF!,"AAAAADr19wc=")</f>
        <v>#REF!</v>
      </c>
      <c r="I12" t="e">
        <f>AND(#REF!,"AAAAADr19wg=")</f>
        <v>#REF!</v>
      </c>
      <c r="J12" t="e">
        <f>AND(#REF!,"AAAAADr19wk=")</f>
        <v>#REF!</v>
      </c>
      <c r="K12" t="e">
        <f>AND(#REF!,"AAAAADr19wo=")</f>
        <v>#REF!</v>
      </c>
      <c r="L12" t="e">
        <f>AND(#REF!,"AAAAADr19ws=")</f>
        <v>#REF!</v>
      </c>
      <c r="M12" t="e">
        <f>AND(#REF!,"AAAAADr19ww=")</f>
        <v>#REF!</v>
      </c>
      <c r="N12" t="e">
        <f>AND(#REF!,"AAAAADr19w0=")</f>
        <v>#REF!</v>
      </c>
      <c r="O12" t="e">
        <f>AND(#REF!,"AAAAADr19w4=")</f>
        <v>#REF!</v>
      </c>
      <c r="P12" t="e">
        <f>AND(#REF!,"AAAAADr19w8=")</f>
        <v>#REF!</v>
      </c>
      <c r="Q12" t="e">
        <f>AND(#REF!,"AAAAADr19xA=")</f>
        <v>#REF!</v>
      </c>
      <c r="R12" t="e">
        <f>AND(#REF!,"AAAAADr19xE=")</f>
        <v>#REF!</v>
      </c>
      <c r="S12" t="e">
        <f>AND(#REF!,"AAAAADr19xI=")</f>
        <v>#REF!</v>
      </c>
      <c r="T12" t="e">
        <f>AND(#REF!,"AAAAADr19xM=")</f>
        <v>#REF!</v>
      </c>
      <c r="U12" t="e">
        <f>AND(#REF!,"AAAAADr19xQ=")</f>
        <v>#REF!</v>
      </c>
      <c r="V12" t="e">
        <f>AND(#REF!,"AAAAADr19xU=")</f>
        <v>#REF!</v>
      </c>
      <c r="W12" t="e">
        <f>AND(#REF!,"AAAAADr19xY=")</f>
        <v>#REF!</v>
      </c>
      <c r="X12" t="e">
        <f>AND(#REF!,"AAAAADr19xc=")</f>
        <v>#REF!</v>
      </c>
      <c r="Y12" t="e">
        <f>AND(#REF!,"AAAAADr19xg=")</f>
        <v>#REF!</v>
      </c>
      <c r="Z12" t="e">
        <f>AND(#REF!,"AAAAADr19xk=")</f>
        <v>#REF!</v>
      </c>
      <c r="AA12" t="e">
        <f>AND(#REF!,"AAAAADr19xo=")</f>
        <v>#REF!</v>
      </c>
      <c r="AB12" t="e">
        <f>AND(#REF!,"AAAAADr19xs=")</f>
        <v>#REF!</v>
      </c>
      <c r="AC12" t="e">
        <f>AND(#REF!,"AAAAADr19xw=")</f>
        <v>#REF!</v>
      </c>
      <c r="AD12" t="e">
        <f>AND(#REF!,"AAAAADr19x0=")</f>
        <v>#REF!</v>
      </c>
      <c r="AE12" t="e">
        <f>AND(#REF!,"AAAAADr19x4=")</f>
        <v>#REF!</v>
      </c>
      <c r="AF12" t="e">
        <f>AND(#REF!,"AAAAADr19x8=")</f>
        <v>#REF!</v>
      </c>
      <c r="AG12" t="e">
        <f>AND(#REF!,"AAAAADr19yA=")</f>
        <v>#REF!</v>
      </c>
      <c r="AH12" t="e">
        <f>AND(#REF!,"AAAAADr19yE=")</f>
        <v>#REF!</v>
      </c>
      <c r="AI12" t="e">
        <f>AND(#REF!,"AAAAADr19yI=")</f>
        <v>#REF!</v>
      </c>
      <c r="AJ12" t="e">
        <f>AND(#REF!,"AAAAADr19yM=")</f>
        <v>#REF!</v>
      </c>
      <c r="AK12" t="e">
        <f>AND(#REF!,"AAAAADr19yQ=")</f>
        <v>#REF!</v>
      </c>
      <c r="AL12" t="e">
        <f>AND(#REF!,"AAAAADr19yU=")</f>
        <v>#REF!</v>
      </c>
      <c r="AM12" t="e">
        <f>AND(#REF!,"AAAAADr19yY=")</f>
        <v>#REF!</v>
      </c>
      <c r="AN12" t="e">
        <f>AND(#REF!,"AAAAADr19yc=")</f>
        <v>#REF!</v>
      </c>
      <c r="AO12" t="e">
        <f>AND(#REF!,"AAAAADr19yg=")</f>
        <v>#REF!</v>
      </c>
      <c r="AP12" t="e">
        <f>AND(#REF!,"AAAAADr19yk=")</f>
        <v>#REF!</v>
      </c>
      <c r="AQ12" t="e">
        <f>AND(#REF!,"AAAAADr19yo=")</f>
        <v>#REF!</v>
      </c>
      <c r="AR12" t="e">
        <f>AND(#REF!,"AAAAADr19ys=")</f>
        <v>#REF!</v>
      </c>
      <c r="AS12" t="e">
        <f>AND(#REF!,"AAAAADr19yw=")</f>
        <v>#REF!</v>
      </c>
      <c r="AT12" t="e">
        <f>AND(#REF!,"AAAAADr19y0=")</f>
        <v>#REF!</v>
      </c>
      <c r="AU12" t="e">
        <f>AND(#REF!,"AAAAADr19y4=")</f>
        <v>#REF!</v>
      </c>
      <c r="AV12" t="e">
        <f>AND(#REF!,"AAAAADr19y8=")</f>
        <v>#REF!</v>
      </c>
      <c r="AW12" t="e">
        <f>AND(#REF!,"AAAAADr19zA=")</f>
        <v>#REF!</v>
      </c>
      <c r="AX12" t="e">
        <f>AND(#REF!,"AAAAADr19zE=")</f>
        <v>#REF!</v>
      </c>
      <c r="AY12" t="e">
        <f>AND(#REF!,"AAAAADr19zI=")</f>
        <v>#REF!</v>
      </c>
      <c r="AZ12" t="e">
        <f>AND(#REF!,"AAAAADr19zM=")</f>
        <v>#REF!</v>
      </c>
      <c r="BA12" t="e">
        <f>AND(#REF!,"AAAAADr19zQ=")</f>
        <v>#REF!</v>
      </c>
      <c r="BB12" t="e">
        <f>AND(#REF!,"AAAAADr19zU=")</f>
        <v>#REF!</v>
      </c>
      <c r="BC12" t="e">
        <f>AND(#REF!,"AAAAADr19zY=")</f>
        <v>#REF!</v>
      </c>
      <c r="BD12" t="e">
        <f>AND(#REF!,"AAAAADr19zc=")</f>
        <v>#REF!</v>
      </c>
      <c r="BE12" t="e">
        <f>AND(#REF!,"AAAAADr19zg=")</f>
        <v>#REF!</v>
      </c>
      <c r="BF12" t="e">
        <f>AND(#REF!,"AAAAADr19zk=")</f>
        <v>#REF!</v>
      </c>
      <c r="BG12" t="e">
        <f>AND(#REF!,"AAAAADr19zo=")</f>
        <v>#REF!</v>
      </c>
      <c r="BH12" t="e">
        <f>AND(#REF!,"AAAAADr19zs=")</f>
        <v>#REF!</v>
      </c>
      <c r="BI12" t="e">
        <f>AND(#REF!,"AAAAADr19zw=")</f>
        <v>#REF!</v>
      </c>
      <c r="BJ12" t="e">
        <f>AND(#REF!,"AAAAADr19z0=")</f>
        <v>#REF!</v>
      </c>
      <c r="BK12" t="e">
        <f>AND(#REF!,"AAAAADr19z4=")</f>
        <v>#REF!</v>
      </c>
      <c r="BL12" t="e">
        <f>AND(#REF!,"AAAAADr19z8=")</f>
        <v>#REF!</v>
      </c>
      <c r="BM12" t="e">
        <f>AND(#REF!,"AAAAADr190A=")</f>
        <v>#REF!</v>
      </c>
      <c r="BN12" t="e">
        <f>AND(#REF!,"AAAAADr190E=")</f>
        <v>#REF!</v>
      </c>
      <c r="BO12" t="e">
        <f>AND(#REF!,"AAAAADr190I=")</f>
        <v>#REF!</v>
      </c>
      <c r="BP12" t="e">
        <f>AND(#REF!,"AAAAADr190M=")</f>
        <v>#REF!</v>
      </c>
      <c r="BQ12" t="e">
        <f>AND(#REF!,"AAAAADr190Q=")</f>
        <v>#REF!</v>
      </c>
      <c r="BR12" t="e">
        <f>AND(#REF!,"AAAAADr190U=")</f>
        <v>#REF!</v>
      </c>
      <c r="BS12" t="e">
        <f>AND(#REF!,"AAAAADr190Y=")</f>
        <v>#REF!</v>
      </c>
      <c r="BT12" t="e">
        <f>AND(#REF!,"AAAAADr190c=")</f>
        <v>#REF!</v>
      </c>
      <c r="BU12" t="e">
        <f>AND(#REF!,"AAAAADr190g=")</f>
        <v>#REF!</v>
      </c>
      <c r="BV12" t="e">
        <f>AND(#REF!,"AAAAADr190k=")</f>
        <v>#REF!</v>
      </c>
      <c r="BW12" t="e">
        <f>AND(#REF!,"AAAAADr190o=")</f>
        <v>#REF!</v>
      </c>
      <c r="BX12" t="e">
        <f>AND(#REF!,"AAAAADr190s=")</f>
        <v>#REF!</v>
      </c>
      <c r="BY12" t="e">
        <f>AND(#REF!,"AAAAADr190w=")</f>
        <v>#REF!</v>
      </c>
      <c r="BZ12" t="e">
        <f>AND(#REF!,"AAAAADr1900=")</f>
        <v>#REF!</v>
      </c>
      <c r="CA12" t="e">
        <f>AND(#REF!,"AAAAADr1904=")</f>
        <v>#REF!</v>
      </c>
      <c r="CB12" t="e">
        <f>AND(#REF!,"AAAAADr1908=")</f>
        <v>#REF!</v>
      </c>
      <c r="CC12" t="e">
        <f>AND(#REF!,"AAAAADr191A=")</f>
        <v>#REF!</v>
      </c>
      <c r="CD12" t="e">
        <f>AND(#REF!,"AAAAADr191E=")</f>
        <v>#REF!</v>
      </c>
      <c r="CE12" t="e">
        <f>AND(#REF!,"AAAAADr191I=")</f>
        <v>#REF!</v>
      </c>
      <c r="CF12" t="e">
        <f>AND(#REF!,"AAAAADr191M=")</f>
        <v>#REF!</v>
      </c>
      <c r="CG12" t="e">
        <f>AND(#REF!,"AAAAADr191Q=")</f>
        <v>#REF!</v>
      </c>
      <c r="CH12" t="e">
        <f>AND(#REF!,"AAAAADr191U=")</f>
        <v>#REF!</v>
      </c>
      <c r="CI12" t="e">
        <f>AND(#REF!,"AAAAADr191Y=")</f>
        <v>#REF!</v>
      </c>
      <c r="CJ12" t="e">
        <f>AND(#REF!,"AAAAADr191c=")</f>
        <v>#REF!</v>
      </c>
      <c r="CK12" t="e">
        <f>AND(#REF!,"AAAAADr191g=")</f>
        <v>#REF!</v>
      </c>
      <c r="CL12" t="e">
        <f>AND(#REF!,"AAAAADr191k=")</f>
        <v>#REF!</v>
      </c>
      <c r="CM12" t="e">
        <f>AND(#REF!,"AAAAADr191o=")</f>
        <v>#REF!</v>
      </c>
      <c r="CN12" t="e">
        <f>AND(#REF!,"AAAAADr191s=")</f>
        <v>#REF!</v>
      </c>
      <c r="CO12" t="e">
        <f>AND(#REF!,"AAAAADr191w=")</f>
        <v>#REF!</v>
      </c>
      <c r="CP12" t="e">
        <f>AND(#REF!,"AAAAADr1910=")</f>
        <v>#REF!</v>
      </c>
      <c r="CQ12" t="e">
        <f>AND(#REF!,"AAAAADr1914=")</f>
        <v>#REF!</v>
      </c>
      <c r="CR12" t="e">
        <f>AND(#REF!,"AAAAADr1918=")</f>
        <v>#REF!</v>
      </c>
      <c r="CS12" t="e">
        <f>AND(#REF!,"AAAAADr192A=")</f>
        <v>#REF!</v>
      </c>
      <c r="CT12" t="e">
        <f>AND(#REF!,"AAAAADr192E=")</f>
        <v>#REF!</v>
      </c>
      <c r="CU12" t="e">
        <f>AND(#REF!,"AAAAADr192I=")</f>
        <v>#REF!</v>
      </c>
      <c r="CV12" t="e">
        <f>AND(#REF!,"AAAAADr192M=")</f>
        <v>#REF!</v>
      </c>
      <c r="CW12" t="e">
        <f>AND(#REF!,"AAAAADr192Q=")</f>
        <v>#REF!</v>
      </c>
      <c r="CX12" t="e">
        <f>AND(#REF!,"AAAAADr192U=")</f>
        <v>#REF!</v>
      </c>
      <c r="CY12" t="e">
        <f>AND(#REF!,"AAAAADr192Y=")</f>
        <v>#REF!</v>
      </c>
      <c r="CZ12" t="e">
        <f>AND(#REF!,"AAAAADr192c=")</f>
        <v>#REF!</v>
      </c>
      <c r="DA12" t="e">
        <f>AND(#REF!,"AAAAADr192g=")</f>
        <v>#REF!</v>
      </c>
      <c r="DB12" t="e">
        <f>AND(#REF!,"AAAAADr192k=")</f>
        <v>#REF!</v>
      </c>
      <c r="DC12" t="e">
        <f>AND(#REF!,"AAAAADr192o=")</f>
        <v>#REF!</v>
      </c>
      <c r="DD12" t="e">
        <f>AND(#REF!,"AAAAADr192s=")</f>
        <v>#REF!</v>
      </c>
      <c r="DE12" t="e">
        <f>AND(#REF!,"AAAAADr192w=")</f>
        <v>#REF!</v>
      </c>
      <c r="DF12" t="e">
        <f>AND(#REF!,"AAAAADr1920=")</f>
        <v>#REF!</v>
      </c>
      <c r="DG12" t="e">
        <f>AND(#REF!,"AAAAADr1924=")</f>
        <v>#REF!</v>
      </c>
      <c r="DH12" t="e">
        <f>AND(#REF!,"AAAAADr1928=")</f>
        <v>#REF!</v>
      </c>
      <c r="DI12" t="e">
        <f>AND(#REF!,"AAAAADr193A=")</f>
        <v>#REF!</v>
      </c>
      <c r="DJ12" t="e">
        <f>AND(#REF!,"AAAAADr193E=")</f>
        <v>#REF!</v>
      </c>
      <c r="DK12" t="e">
        <f>AND(#REF!,"AAAAADr193I=")</f>
        <v>#REF!</v>
      </c>
      <c r="DL12" t="e">
        <f>AND(#REF!,"AAAAADr193M=")</f>
        <v>#REF!</v>
      </c>
      <c r="DM12" t="e">
        <f>AND(#REF!,"AAAAADr193Q=")</f>
        <v>#REF!</v>
      </c>
      <c r="DN12" t="e">
        <f>AND(#REF!,"AAAAADr193U=")</f>
        <v>#REF!</v>
      </c>
      <c r="DO12" t="e">
        <f>AND(#REF!,"AAAAADr193Y=")</f>
        <v>#REF!</v>
      </c>
      <c r="DP12" t="e">
        <f>AND(#REF!,"AAAAADr193c=")</f>
        <v>#REF!</v>
      </c>
      <c r="DQ12" t="e">
        <f>AND(#REF!,"AAAAADr193g=")</f>
        <v>#REF!</v>
      </c>
      <c r="DR12" t="e">
        <f>AND(#REF!,"AAAAADr193k=")</f>
        <v>#REF!</v>
      </c>
      <c r="DS12" t="e">
        <f>AND(#REF!,"AAAAADr193o=")</f>
        <v>#REF!</v>
      </c>
      <c r="DT12" t="e">
        <f>AND(#REF!,"AAAAADr193s=")</f>
        <v>#REF!</v>
      </c>
      <c r="DU12" t="e">
        <f>AND(#REF!,"AAAAADr193w=")</f>
        <v>#REF!</v>
      </c>
      <c r="DV12" t="e">
        <f>AND(#REF!,"AAAAADr1930=")</f>
        <v>#REF!</v>
      </c>
      <c r="DW12" t="e">
        <f>AND(#REF!,"AAAAADr1934=")</f>
        <v>#REF!</v>
      </c>
      <c r="DX12" t="e">
        <f>AND(#REF!,"AAAAADr1938=")</f>
        <v>#REF!</v>
      </c>
      <c r="DY12" t="e">
        <f>AND(#REF!,"AAAAADr194A=")</f>
        <v>#REF!</v>
      </c>
      <c r="DZ12" t="e">
        <f>AND(#REF!,"AAAAADr194E=")</f>
        <v>#REF!</v>
      </c>
      <c r="EA12" t="e">
        <f>AND(#REF!,"AAAAADr194I=")</f>
        <v>#REF!</v>
      </c>
      <c r="EB12" t="e">
        <f>AND(#REF!,"AAAAADr194M=")</f>
        <v>#REF!</v>
      </c>
      <c r="EC12" t="e">
        <f>AND(#REF!,"AAAAADr194Q=")</f>
        <v>#REF!</v>
      </c>
      <c r="ED12" t="e">
        <f>AND(#REF!,"AAAAADr194U=")</f>
        <v>#REF!</v>
      </c>
      <c r="EE12" t="e">
        <f>AND(#REF!,"AAAAADr194Y=")</f>
        <v>#REF!</v>
      </c>
      <c r="EF12" t="e">
        <f>AND(#REF!,"AAAAADr194c=")</f>
        <v>#REF!</v>
      </c>
      <c r="EG12" t="e">
        <f>AND(#REF!,"AAAAADr194g=")</f>
        <v>#REF!</v>
      </c>
      <c r="EH12" t="e">
        <f>AND(#REF!,"AAAAADr194k=")</f>
        <v>#REF!</v>
      </c>
      <c r="EI12" t="e">
        <f>AND(#REF!,"AAAAADr194o=")</f>
        <v>#REF!</v>
      </c>
      <c r="EJ12" t="e">
        <f>AND(#REF!,"AAAAADr194s=")</f>
        <v>#REF!</v>
      </c>
      <c r="EK12" t="e">
        <f>AND(#REF!,"AAAAADr194w=")</f>
        <v>#REF!</v>
      </c>
      <c r="EL12" t="e">
        <f>AND(#REF!,"AAAAADr1940=")</f>
        <v>#REF!</v>
      </c>
      <c r="EM12" t="e">
        <f>AND(#REF!,"AAAAADr1944=")</f>
        <v>#REF!</v>
      </c>
      <c r="EN12" t="e">
        <f>AND(#REF!,"AAAAADr1948=")</f>
        <v>#REF!</v>
      </c>
      <c r="EO12" t="e">
        <f>AND(#REF!,"AAAAADr195A=")</f>
        <v>#REF!</v>
      </c>
      <c r="EP12" t="e">
        <f>AND(#REF!,"AAAAADr195E=")</f>
        <v>#REF!</v>
      </c>
      <c r="EQ12" t="e">
        <f>AND(#REF!,"AAAAADr195I=")</f>
        <v>#REF!</v>
      </c>
      <c r="ER12" t="e">
        <f>AND(#REF!,"AAAAADr195M=")</f>
        <v>#REF!</v>
      </c>
      <c r="ES12" t="e">
        <f>AND(#REF!,"AAAAADr195Q=")</f>
        <v>#REF!</v>
      </c>
      <c r="ET12" t="e">
        <f>AND(#REF!,"AAAAADr195U=")</f>
        <v>#REF!</v>
      </c>
      <c r="EU12" t="e">
        <f>AND(#REF!,"AAAAADr195Y=")</f>
        <v>#REF!</v>
      </c>
      <c r="EV12" t="e">
        <f>AND(#REF!,"AAAAADr195c=")</f>
        <v>#REF!</v>
      </c>
      <c r="EW12" t="e">
        <f>AND(#REF!,"AAAAADr195g=")</f>
        <v>#REF!</v>
      </c>
      <c r="EX12" t="e">
        <f>AND(#REF!,"AAAAADr195k=")</f>
        <v>#REF!</v>
      </c>
      <c r="EY12" t="e">
        <f>AND(#REF!,"AAAAADr195o=")</f>
        <v>#REF!</v>
      </c>
      <c r="EZ12" t="e">
        <f>AND(#REF!,"AAAAADr195s=")</f>
        <v>#REF!</v>
      </c>
      <c r="FA12" t="e">
        <f>AND(#REF!,"AAAAADr195w=")</f>
        <v>#REF!</v>
      </c>
      <c r="FB12" t="e">
        <f>AND(#REF!,"AAAAADr1950=")</f>
        <v>#REF!</v>
      </c>
      <c r="FC12" t="e">
        <f>AND(#REF!,"AAAAADr1954=")</f>
        <v>#REF!</v>
      </c>
      <c r="FD12" t="e">
        <f>AND(#REF!,"AAAAADr1958=")</f>
        <v>#REF!</v>
      </c>
      <c r="FE12" t="e">
        <f>AND(#REF!,"AAAAADr196A=")</f>
        <v>#REF!</v>
      </c>
      <c r="FF12" t="e">
        <f>AND(#REF!,"AAAAADr196E=")</f>
        <v>#REF!</v>
      </c>
      <c r="FG12" t="e">
        <f>AND(#REF!,"AAAAADr196I=")</f>
        <v>#REF!</v>
      </c>
      <c r="FH12" t="e">
        <f>AND(#REF!,"AAAAADr196M=")</f>
        <v>#REF!</v>
      </c>
      <c r="FI12" t="e">
        <f>AND(#REF!,"AAAAADr196Q=")</f>
        <v>#REF!</v>
      </c>
      <c r="FJ12" t="e">
        <f>AND(#REF!,"AAAAADr196U=")</f>
        <v>#REF!</v>
      </c>
      <c r="FK12" t="e">
        <f>AND(#REF!,"AAAAADr196Y=")</f>
        <v>#REF!</v>
      </c>
      <c r="FL12" t="e">
        <f>AND(#REF!,"AAAAADr196c=")</f>
        <v>#REF!</v>
      </c>
      <c r="FM12" t="e">
        <f>AND(#REF!,"AAAAADr196g=")</f>
        <v>#REF!</v>
      </c>
      <c r="FN12" t="e">
        <f>AND(#REF!,"AAAAADr196k=")</f>
        <v>#REF!</v>
      </c>
      <c r="FO12" t="e">
        <f>AND(#REF!,"AAAAADr196o=")</f>
        <v>#REF!</v>
      </c>
      <c r="FP12" t="e">
        <f>AND(#REF!,"AAAAADr196s=")</f>
        <v>#REF!</v>
      </c>
      <c r="FQ12" t="e">
        <f>AND(#REF!,"AAAAADr196w=")</f>
        <v>#REF!</v>
      </c>
      <c r="FR12" t="e">
        <f>AND(#REF!,"AAAAADr1960=")</f>
        <v>#REF!</v>
      </c>
      <c r="FS12" t="e">
        <f>AND(#REF!,"AAAAADr1964=")</f>
        <v>#REF!</v>
      </c>
      <c r="FT12" t="e">
        <f>AND(#REF!,"AAAAADr1968=")</f>
        <v>#REF!</v>
      </c>
      <c r="FU12" t="e">
        <f>AND(#REF!,"AAAAADr197A=")</f>
        <v>#REF!</v>
      </c>
      <c r="FV12" t="e">
        <f>AND(#REF!,"AAAAADr197E=")</f>
        <v>#REF!</v>
      </c>
      <c r="FW12" t="e">
        <f>AND(#REF!,"AAAAADr197I=")</f>
        <v>#REF!</v>
      </c>
      <c r="FX12" t="e">
        <f>AND(#REF!,"AAAAADr197M=")</f>
        <v>#REF!</v>
      </c>
      <c r="FY12" t="e">
        <f>AND(#REF!,"AAAAADr197Q=")</f>
        <v>#REF!</v>
      </c>
      <c r="FZ12" t="e">
        <f>AND(#REF!,"AAAAADr197U=")</f>
        <v>#REF!</v>
      </c>
      <c r="GA12" t="e">
        <f>AND(#REF!,"AAAAADr197Y=")</f>
        <v>#REF!</v>
      </c>
      <c r="GB12" t="e">
        <f>AND(#REF!,"AAAAADr197c=")</f>
        <v>#REF!</v>
      </c>
      <c r="GC12" t="e">
        <f>AND(#REF!,"AAAAADr197g=")</f>
        <v>#REF!</v>
      </c>
      <c r="GD12" t="e">
        <f>AND(#REF!,"AAAAADr197k=")</f>
        <v>#REF!</v>
      </c>
      <c r="GE12" t="e">
        <f>AND(#REF!,"AAAAADr197o=")</f>
        <v>#REF!</v>
      </c>
      <c r="GF12" t="e">
        <f>AND(#REF!,"AAAAADr197s=")</f>
        <v>#REF!</v>
      </c>
      <c r="GG12" t="e">
        <f>AND(#REF!,"AAAAADr197w=")</f>
        <v>#REF!</v>
      </c>
      <c r="GH12" t="e">
        <f>AND(#REF!,"AAAAADr1970=")</f>
        <v>#REF!</v>
      </c>
      <c r="GI12" t="e">
        <f>AND(#REF!,"AAAAADr1974=")</f>
        <v>#REF!</v>
      </c>
      <c r="GJ12" t="e">
        <f>AND(#REF!,"AAAAADr1978=")</f>
        <v>#REF!</v>
      </c>
      <c r="GK12" t="e">
        <f>AND(#REF!,"AAAAADr198A=")</f>
        <v>#REF!</v>
      </c>
      <c r="GL12" t="e">
        <f>AND(#REF!,"AAAAADr198E=")</f>
        <v>#REF!</v>
      </c>
      <c r="GM12" t="e">
        <f>AND(#REF!,"AAAAADr198I=")</f>
        <v>#REF!</v>
      </c>
      <c r="GN12" t="e">
        <f>AND(#REF!,"AAAAADr198M=")</f>
        <v>#REF!</v>
      </c>
      <c r="GO12" t="e">
        <f>AND(#REF!,"AAAAADr198Q=")</f>
        <v>#REF!</v>
      </c>
      <c r="GP12" t="e">
        <f>AND(#REF!,"AAAAADr198U=")</f>
        <v>#REF!</v>
      </c>
      <c r="GQ12" t="e">
        <f>AND(#REF!,"AAAAADr198Y=")</f>
        <v>#REF!</v>
      </c>
      <c r="GR12" t="e">
        <f>AND(#REF!,"AAAAADr198c=")</f>
        <v>#REF!</v>
      </c>
      <c r="GS12" t="e">
        <f>AND(#REF!,"AAAAADr198g=")</f>
        <v>#REF!</v>
      </c>
      <c r="GT12" t="e">
        <f>AND(#REF!,"AAAAADr198k=")</f>
        <v>#REF!</v>
      </c>
      <c r="GU12" t="e">
        <f>AND(#REF!,"AAAAADr198o=")</f>
        <v>#REF!</v>
      </c>
      <c r="GV12" t="e">
        <f>AND(#REF!,"AAAAADr198s=")</f>
        <v>#REF!</v>
      </c>
      <c r="GW12" t="e">
        <f>AND(#REF!,"AAAAADr198w=")</f>
        <v>#REF!</v>
      </c>
      <c r="GX12" t="e">
        <f>AND(#REF!,"AAAAADr1980=")</f>
        <v>#REF!</v>
      </c>
      <c r="GY12" t="e">
        <f>AND(#REF!,"AAAAADr1984=")</f>
        <v>#REF!</v>
      </c>
      <c r="GZ12" t="e">
        <f>AND(#REF!,"AAAAADr1988=")</f>
        <v>#REF!</v>
      </c>
      <c r="HA12" t="e">
        <f>AND(#REF!,"AAAAADr199A=")</f>
        <v>#REF!</v>
      </c>
      <c r="HB12" t="e">
        <f>AND(#REF!,"AAAAADr199E=")</f>
        <v>#REF!</v>
      </c>
      <c r="HC12" t="e">
        <f>AND(#REF!,"AAAAADr199I=")</f>
        <v>#REF!</v>
      </c>
      <c r="HD12" t="e">
        <f>AND(#REF!,"AAAAADr199M=")</f>
        <v>#REF!</v>
      </c>
      <c r="HE12" t="e">
        <f>AND(#REF!,"AAAAADr199Q=")</f>
        <v>#REF!</v>
      </c>
      <c r="HF12" t="e">
        <f>AND(#REF!,"AAAAADr199U=")</f>
        <v>#REF!</v>
      </c>
      <c r="HG12" t="e">
        <f>AND(#REF!,"AAAAADr199Y=")</f>
        <v>#REF!</v>
      </c>
      <c r="HH12" t="e">
        <f>AND(#REF!,"AAAAADr199c=")</f>
        <v>#REF!</v>
      </c>
      <c r="HI12" t="e">
        <f>AND(#REF!,"AAAAADr199g=")</f>
        <v>#REF!</v>
      </c>
      <c r="HJ12" t="e">
        <f>AND(#REF!,"AAAAADr199k=")</f>
        <v>#REF!</v>
      </c>
      <c r="HK12" t="e">
        <f>AND(#REF!,"AAAAADr199o=")</f>
        <v>#REF!</v>
      </c>
      <c r="HL12" t="e">
        <f>AND(#REF!,"AAAAADr199s=")</f>
        <v>#REF!</v>
      </c>
      <c r="HM12" t="e">
        <f>AND(#REF!,"AAAAADr199w=")</f>
        <v>#REF!</v>
      </c>
      <c r="HN12" t="e">
        <f>AND(#REF!,"AAAAADr1990=")</f>
        <v>#REF!</v>
      </c>
      <c r="HO12" t="e">
        <f>AND(#REF!,"AAAAADr1994=")</f>
        <v>#REF!</v>
      </c>
      <c r="HP12" t="e">
        <f>AND(#REF!,"AAAAADr1998=")</f>
        <v>#REF!</v>
      </c>
      <c r="HQ12" t="e">
        <f>AND(#REF!,"AAAAADr19+A=")</f>
        <v>#REF!</v>
      </c>
      <c r="HR12" t="e">
        <f>AND(#REF!,"AAAAADr19+E=")</f>
        <v>#REF!</v>
      </c>
      <c r="HS12" t="e">
        <f>AND(#REF!,"AAAAADr19+I=")</f>
        <v>#REF!</v>
      </c>
      <c r="HT12" t="e">
        <f>AND(#REF!,"AAAAADr19+M=")</f>
        <v>#REF!</v>
      </c>
      <c r="HU12" t="e">
        <f>AND(#REF!,"AAAAADr19+Q=")</f>
        <v>#REF!</v>
      </c>
      <c r="HV12" t="e">
        <f>AND(#REF!,"AAAAADr19+U=")</f>
        <v>#REF!</v>
      </c>
      <c r="HW12" t="e">
        <f>AND(#REF!,"AAAAADr19+Y=")</f>
        <v>#REF!</v>
      </c>
      <c r="HX12" t="e">
        <f>AND(#REF!,"AAAAADr19+c=")</f>
        <v>#REF!</v>
      </c>
      <c r="HY12" t="e">
        <f>AND(#REF!,"AAAAADr19+g=")</f>
        <v>#REF!</v>
      </c>
      <c r="HZ12" t="e">
        <f>AND(#REF!,"AAAAADr19+k=")</f>
        <v>#REF!</v>
      </c>
      <c r="IA12" t="e">
        <f>AND(#REF!,"AAAAADr19+o=")</f>
        <v>#REF!</v>
      </c>
      <c r="IB12" t="e">
        <f>AND(#REF!,"AAAAADr19+s=")</f>
        <v>#REF!</v>
      </c>
      <c r="IC12" t="e">
        <f>AND(#REF!,"AAAAADr19+w=")</f>
        <v>#REF!</v>
      </c>
      <c r="ID12" t="e">
        <f>AND(#REF!,"AAAAADr19+0=")</f>
        <v>#REF!</v>
      </c>
      <c r="IE12" t="e">
        <f>AND(#REF!,"AAAAADr19+4=")</f>
        <v>#REF!</v>
      </c>
      <c r="IF12" t="e">
        <f>AND(#REF!,"AAAAADr19+8=")</f>
        <v>#REF!</v>
      </c>
      <c r="IG12" t="e">
        <f>AND(#REF!,"AAAAADr19/A=")</f>
        <v>#REF!</v>
      </c>
      <c r="IH12" t="e">
        <f>AND(#REF!,"AAAAADr19/E=")</f>
        <v>#REF!</v>
      </c>
      <c r="II12" t="e">
        <f>AND(#REF!,"AAAAADr19/I=")</f>
        <v>#REF!</v>
      </c>
      <c r="IJ12" t="e">
        <f>AND(#REF!,"AAAAADr19/M=")</f>
        <v>#REF!</v>
      </c>
      <c r="IK12" t="e">
        <f>AND(#REF!,"AAAAADr19/Q=")</f>
        <v>#REF!</v>
      </c>
      <c r="IL12" t="e">
        <f>AND(#REF!,"AAAAADr19/U=")</f>
        <v>#REF!</v>
      </c>
      <c r="IM12" t="e">
        <f>AND(#REF!,"AAAAADr19/Y=")</f>
        <v>#REF!</v>
      </c>
      <c r="IN12" t="e">
        <f>AND(#REF!,"AAAAADr19/c=")</f>
        <v>#REF!</v>
      </c>
      <c r="IO12" t="e">
        <f>AND(#REF!,"AAAAADr19/g=")</f>
        <v>#REF!</v>
      </c>
      <c r="IP12" t="e">
        <f>AND(#REF!,"AAAAADr19/k=")</f>
        <v>#REF!</v>
      </c>
      <c r="IQ12" t="e">
        <f>AND(#REF!,"AAAAADr19/o=")</f>
        <v>#REF!</v>
      </c>
      <c r="IR12" t="e">
        <f>AND(#REF!,"AAAAADr19/s=")</f>
        <v>#REF!</v>
      </c>
      <c r="IS12" t="e">
        <f>AND(#REF!,"AAAAADr19/w=")</f>
        <v>#REF!</v>
      </c>
      <c r="IT12" t="e">
        <f>AND(#REF!,"AAAAADr19/0=")</f>
        <v>#REF!</v>
      </c>
      <c r="IU12" t="e">
        <f>AND(#REF!,"AAAAADr19/4=")</f>
        <v>#REF!</v>
      </c>
      <c r="IV12" t="e">
        <f>AND(#REF!,"AAAAADr19/8=")</f>
        <v>#REF!</v>
      </c>
    </row>
    <row r="13" spans="1:256">
      <c r="A13" t="e">
        <f>AND(#REF!,"AAAAAGvoWQA=")</f>
        <v>#REF!</v>
      </c>
      <c r="B13" t="e">
        <f>AND(#REF!,"AAAAAGvoWQE=")</f>
        <v>#REF!</v>
      </c>
      <c r="C13" t="e">
        <f>AND(#REF!,"AAAAAGvoWQI=")</f>
        <v>#REF!</v>
      </c>
      <c r="D13" t="e">
        <f>AND(#REF!,"AAAAAGvoWQM=")</f>
        <v>#REF!</v>
      </c>
      <c r="E13" t="e">
        <f>AND(#REF!,"AAAAAGvoWQQ=")</f>
        <v>#REF!</v>
      </c>
      <c r="F13" t="e">
        <f>AND(#REF!,"AAAAAGvoWQU=")</f>
        <v>#REF!</v>
      </c>
      <c r="G13" t="e">
        <f>AND(#REF!,"AAAAAGvoWQY=")</f>
        <v>#REF!</v>
      </c>
      <c r="H13" t="e">
        <f>AND(#REF!,"AAAAAGvoWQc=")</f>
        <v>#REF!</v>
      </c>
      <c r="I13" t="e">
        <f>AND(#REF!,"AAAAAGvoWQg=")</f>
        <v>#REF!</v>
      </c>
      <c r="J13" t="e">
        <f>AND(#REF!,"AAAAAGvoWQk=")</f>
        <v>#REF!</v>
      </c>
      <c r="K13" t="e">
        <f>AND(#REF!,"AAAAAGvoWQo=")</f>
        <v>#REF!</v>
      </c>
      <c r="L13" t="e">
        <f>AND(#REF!,"AAAAAGvoWQs=")</f>
        <v>#REF!</v>
      </c>
      <c r="M13" t="e">
        <f>AND(#REF!,"AAAAAGvoWQw=")</f>
        <v>#REF!</v>
      </c>
      <c r="N13" t="e">
        <f>AND(#REF!,"AAAAAGvoWQ0=")</f>
        <v>#REF!</v>
      </c>
      <c r="O13" t="e">
        <f>AND(#REF!,"AAAAAGvoWQ4=")</f>
        <v>#REF!</v>
      </c>
      <c r="P13" t="e">
        <f>AND(#REF!,"AAAAAGvoWQ8=")</f>
        <v>#REF!</v>
      </c>
      <c r="Q13" t="e">
        <f>AND(#REF!,"AAAAAGvoWRA=")</f>
        <v>#REF!</v>
      </c>
      <c r="R13" t="e">
        <f>AND(#REF!,"AAAAAGvoWRE=")</f>
        <v>#REF!</v>
      </c>
      <c r="S13" t="e">
        <f>AND(#REF!,"AAAAAGvoWRI=")</f>
        <v>#REF!</v>
      </c>
      <c r="T13" t="e">
        <f>AND(#REF!,"AAAAAGvoWRM=")</f>
        <v>#REF!</v>
      </c>
      <c r="U13" t="e">
        <f>AND(#REF!,"AAAAAGvoWRQ=")</f>
        <v>#REF!</v>
      </c>
      <c r="V13" t="e">
        <f>AND(#REF!,"AAAAAGvoWRU=")</f>
        <v>#REF!</v>
      </c>
      <c r="W13" t="e">
        <f>AND(#REF!,"AAAAAGvoWRY=")</f>
        <v>#REF!</v>
      </c>
      <c r="X13" t="e">
        <f>AND(#REF!,"AAAAAGvoWRc=")</f>
        <v>#REF!</v>
      </c>
      <c r="Y13" t="e">
        <f>AND(#REF!,"AAAAAGvoWRg=")</f>
        <v>#REF!</v>
      </c>
      <c r="Z13" t="e">
        <f>AND(#REF!,"AAAAAGvoWRk=")</f>
        <v>#REF!</v>
      </c>
      <c r="AA13" t="e">
        <f>AND(#REF!,"AAAAAGvoWRo=")</f>
        <v>#REF!</v>
      </c>
      <c r="AB13" t="e">
        <f>AND(#REF!,"AAAAAGvoWRs=")</f>
        <v>#REF!</v>
      </c>
      <c r="AC13" t="e">
        <f>AND(#REF!,"AAAAAGvoWRw=")</f>
        <v>#REF!</v>
      </c>
      <c r="AD13" t="e">
        <f>AND(#REF!,"AAAAAGvoWR0=")</f>
        <v>#REF!</v>
      </c>
      <c r="AE13" t="e">
        <f>AND(#REF!,"AAAAAGvoWR4=")</f>
        <v>#REF!</v>
      </c>
      <c r="AF13" t="e">
        <f>AND(#REF!,"AAAAAGvoWR8=")</f>
        <v>#REF!</v>
      </c>
      <c r="AG13" t="e">
        <f>AND(#REF!,"AAAAAGvoWSA=")</f>
        <v>#REF!</v>
      </c>
      <c r="AH13" t="e">
        <f>AND(#REF!,"AAAAAGvoWSE=")</f>
        <v>#REF!</v>
      </c>
      <c r="AI13" t="e">
        <f>AND(#REF!,"AAAAAGvoWSI=")</f>
        <v>#REF!</v>
      </c>
      <c r="AJ13" t="e">
        <f>AND(#REF!,"AAAAAGvoWSM=")</f>
        <v>#REF!</v>
      </c>
      <c r="AK13" t="e">
        <f>AND(#REF!,"AAAAAGvoWSQ=")</f>
        <v>#REF!</v>
      </c>
      <c r="AL13" t="e">
        <f>AND(#REF!,"AAAAAGvoWSU=")</f>
        <v>#REF!</v>
      </c>
      <c r="AM13" t="e">
        <f>AND(#REF!,"AAAAAGvoWSY=")</f>
        <v>#REF!</v>
      </c>
      <c r="AN13" t="e">
        <f>AND(#REF!,"AAAAAGvoWSc=")</f>
        <v>#REF!</v>
      </c>
      <c r="AO13" t="e">
        <f>AND(#REF!,"AAAAAGvoWSg=")</f>
        <v>#REF!</v>
      </c>
      <c r="AP13" t="e">
        <f>AND(#REF!,"AAAAAGvoWSk=")</f>
        <v>#REF!</v>
      </c>
      <c r="AQ13" t="e">
        <f>AND(#REF!,"AAAAAGvoWSo=")</f>
        <v>#REF!</v>
      </c>
      <c r="AR13" t="e">
        <f>AND(#REF!,"AAAAAGvoWSs=")</f>
        <v>#REF!</v>
      </c>
      <c r="AS13" t="e">
        <f>AND(#REF!,"AAAAAGvoWSw=")</f>
        <v>#REF!</v>
      </c>
      <c r="AT13" t="e">
        <f>AND(#REF!,"AAAAAGvoWS0=")</f>
        <v>#REF!</v>
      </c>
      <c r="AU13" t="e">
        <f>AND(#REF!,"AAAAAGvoWS4=")</f>
        <v>#REF!</v>
      </c>
      <c r="AV13" t="e">
        <f>AND(#REF!,"AAAAAGvoWS8=")</f>
        <v>#REF!</v>
      </c>
      <c r="AW13" t="e">
        <f>AND(#REF!,"AAAAAGvoWTA=")</f>
        <v>#REF!</v>
      </c>
      <c r="AX13" t="e">
        <f>AND(#REF!,"AAAAAGvoWTE=")</f>
        <v>#REF!</v>
      </c>
      <c r="AY13" t="e">
        <f>AND(#REF!,"AAAAAGvoWTI=")</f>
        <v>#REF!</v>
      </c>
      <c r="AZ13" t="e">
        <f>AND(#REF!,"AAAAAGvoWTM=")</f>
        <v>#REF!</v>
      </c>
      <c r="BA13" t="e">
        <f>AND(#REF!,"AAAAAGvoWTQ=")</f>
        <v>#REF!</v>
      </c>
      <c r="BB13" t="e">
        <f>AND(#REF!,"AAAAAGvoWTU=")</f>
        <v>#REF!</v>
      </c>
      <c r="BC13" t="e">
        <f>AND(#REF!,"AAAAAGvoWTY=")</f>
        <v>#REF!</v>
      </c>
      <c r="BD13" t="e">
        <f>AND(#REF!,"AAAAAGvoWTc=")</f>
        <v>#REF!</v>
      </c>
      <c r="BE13" t="e">
        <f>AND(#REF!,"AAAAAGvoWTg=")</f>
        <v>#REF!</v>
      </c>
      <c r="BF13" t="e">
        <f>AND(#REF!,"AAAAAGvoWTk=")</f>
        <v>#REF!</v>
      </c>
      <c r="BG13" t="e">
        <f>AND(#REF!,"AAAAAGvoWTo=")</f>
        <v>#REF!</v>
      </c>
      <c r="BH13" t="e">
        <f>AND(#REF!,"AAAAAGvoWTs=")</f>
        <v>#REF!</v>
      </c>
      <c r="BI13" t="e">
        <f>AND(#REF!,"AAAAAGvoWTw=")</f>
        <v>#REF!</v>
      </c>
      <c r="BJ13" t="e">
        <f>AND(#REF!,"AAAAAGvoWT0=")</f>
        <v>#REF!</v>
      </c>
      <c r="BK13" t="e">
        <f>AND(#REF!,"AAAAAGvoWT4=")</f>
        <v>#REF!</v>
      </c>
      <c r="BL13" t="e">
        <f>AND(#REF!,"AAAAAGvoWT8=")</f>
        <v>#REF!</v>
      </c>
      <c r="BM13" t="e">
        <f>AND(#REF!,"AAAAAGvoWUA=")</f>
        <v>#REF!</v>
      </c>
      <c r="BN13" t="e">
        <f>AND(#REF!,"AAAAAGvoWUE=")</f>
        <v>#REF!</v>
      </c>
      <c r="BO13" t="e">
        <f>AND(#REF!,"AAAAAGvoWUI=")</f>
        <v>#REF!</v>
      </c>
      <c r="BP13" t="e">
        <f>AND(#REF!,"AAAAAGvoWUM=")</f>
        <v>#REF!</v>
      </c>
      <c r="BQ13" t="e">
        <f>AND(#REF!,"AAAAAGvoWUQ=")</f>
        <v>#REF!</v>
      </c>
      <c r="BR13" t="e">
        <f>AND(#REF!,"AAAAAGvoWUU=")</f>
        <v>#REF!</v>
      </c>
      <c r="BS13" t="e">
        <f>AND(#REF!,"AAAAAGvoWUY=")</f>
        <v>#REF!</v>
      </c>
      <c r="BT13" t="e">
        <f>AND(#REF!,"AAAAAGvoWUc=")</f>
        <v>#REF!</v>
      </c>
      <c r="BU13" t="e">
        <f>AND(#REF!,"AAAAAGvoWUg=")</f>
        <v>#REF!</v>
      </c>
      <c r="BV13" t="e">
        <f>AND(#REF!,"AAAAAGvoWUk=")</f>
        <v>#REF!</v>
      </c>
      <c r="BW13" t="e">
        <f>AND(#REF!,"AAAAAGvoWUo=")</f>
        <v>#REF!</v>
      </c>
      <c r="BX13" t="e">
        <f>AND(#REF!,"AAAAAGvoWUs=")</f>
        <v>#REF!</v>
      </c>
      <c r="BY13" t="e">
        <f>AND(#REF!,"AAAAAGvoWUw=")</f>
        <v>#REF!</v>
      </c>
      <c r="BZ13" t="e">
        <f>AND(#REF!,"AAAAAGvoWU0=")</f>
        <v>#REF!</v>
      </c>
      <c r="CA13" t="e">
        <f>AND(#REF!,"AAAAAGvoWU4=")</f>
        <v>#REF!</v>
      </c>
      <c r="CB13" t="e">
        <f>AND(#REF!,"AAAAAGvoWU8=")</f>
        <v>#REF!</v>
      </c>
      <c r="CC13" t="e">
        <f>AND(#REF!,"AAAAAGvoWVA=")</f>
        <v>#REF!</v>
      </c>
      <c r="CD13" t="e">
        <f>AND(#REF!,"AAAAAGvoWVE=")</f>
        <v>#REF!</v>
      </c>
      <c r="CE13" t="e">
        <f>AND(#REF!,"AAAAAGvoWVI=")</f>
        <v>#REF!</v>
      </c>
      <c r="CF13" t="e">
        <f>AND(#REF!,"AAAAAGvoWVM=")</f>
        <v>#REF!</v>
      </c>
      <c r="CG13" t="e">
        <f>AND(#REF!,"AAAAAGvoWVQ=")</f>
        <v>#REF!</v>
      </c>
      <c r="CH13" t="e">
        <f>AND(#REF!,"AAAAAGvoWVU=")</f>
        <v>#REF!</v>
      </c>
      <c r="CI13" t="e">
        <f>AND(#REF!,"AAAAAGvoWVY=")</f>
        <v>#REF!</v>
      </c>
      <c r="CJ13" t="e">
        <f>AND(#REF!,"AAAAAGvoWVc=")</f>
        <v>#REF!</v>
      </c>
      <c r="CK13" t="e">
        <f>AND(#REF!,"AAAAAGvoWVg=")</f>
        <v>#REF!</v>
      </c>
      <c r="CL13" t="e">
        <f>AND(#REF!,"AAAAAGvoWVk=")</f>
        <v>#REF!</v>
      </c>
      <c r="CM13" t="e">
        <f>AND(#REF!,"AAAAAGvoWVo=")</f>
        <v>#REF!</v>
      </c>
      <c r="CN13" t="e">
        <f>AND(#REF!,"AAAAAGvoWVs=")</f>
        <v>#REF!</v>
      </c>
      <c r="CO13" t="e">
        <f>AND(#REF!,"AAAAAGvoWVw=")</f>
        <v>#REF!</v>
      </c>
      <c r="CP13" t="e">
        <f>AND(#REF!,"AAAAAGvoWV0=")</f>
        <v>#REF!</v>
      </c>
      <c r="CQ13" t="e">
        <f>AND(#REF!,"AAAAAGvoWV4=")</f>
        <v>#REF!</v>
      </c>
      <c r="CR13" t="e">
        <f>AND(#REF!,"AAAAAGvoWV8=")</f>
        <v>#REF!</v>
      </c>
      <c r="CS13" t="e">
        <f>AND(#REF!,"AAAAAGvoWWA=")</f>
        <v>#REF!</v>
      </c>
      <c r="CT13" t="e">
        <f>AND(#REF!,"AAAAAGvoWWE=")</f>
        <v>#REF!</v>
      </c>
      <c r="CU13" t="e">
        <f>AND(#REF!,"AAAAAGvoWWI=")</f>
        <v>#REF!</v>
      </c>
      <c r="CV13" t="e">
        <f>AND(#REF!,"AAAAAGvoWWM=")</f>
        <v>#REF!</v>
      </c>
      <c r="CW13" t="e">
        <f>AND(#REF!,"AAAAAGvoWWQ=")</f>
        <v>#REF!</v>
      </c>
      <c r="CX13" t="e">
        <f>AND(#REF!,"AAAAAGvoWWU=")</f>
        <v>#REF!</v>
      </c>
      <c r="CY13" t="e">
        <f>AND(#REF!,"AAAAAGvoWWY=")</f>
        <v>#REF!</v>
      </c>
      <c r="CZ13" t="e">
        <f>AND(#REF!,"AAAAAGvoWWc=")</f>
        <v>#REF!</v>
      </c>
      <c r="DA13" t="e">
        <f>AND(#REF!,"AAAAAGvoWWg=")</f>
        <v>#REF!</v>
      </c>
      <c r="DB13" t="e">
        <f>AND(#REF!,"AAAAAGvoWWk=")</f>
        <v>#REF!</v>
      </c>
      <c r="DC13" t="e">
        <f>AND(#REF!,"AAAAAGvoWWo=")</f>
        <v>#REF!</v>
      </c>
      <c r="DD13" t="e">
        <f>AND(#REF!,"AAAAAGvoWWs=")</f>
        <v>#REF!</v>
      </c>
      <c r="DE13" t="e">
        <f>AND(#REF!,"AAAAAGvoWWw=")</f>
        <v>#REF!</v>
      </c>
      <c r="DF13" t="e">
        <f>AND(#REF!,"AAAAAGvoWW0=")</f>
        <v>#REF!</v>
      </c>
      <c r="DG13" t="e">
        <f>AND(#REF!,"AAAAAGvoWW4=")</f>
        <v>#REF!</v>
      </c>
      <c r="DH13" t="e">
        <f>AND(#REF!,"AAAAAGvoWW8=")</f>
        <v>#REF!</v>
      </c>
      <c r="DI13" t="e">
        <f>AND(#REF!,"AAAAAGvoWXA=")</f>
        <v>#REF!</v>
      </c>
      <c r="DJ13" t="e">
        <f>AND(#REF!,"AAAAAGvoWXE=")</f>
        <v>#REF!</v>
      </c>
      <c r="DK13" t="e">
        <f>AND(#REF!,"AAAAAGvoWXI=")</f>
        <v>#REF!</v>
      </c>
      <c r="DL13" t="e">
        <f>AND(#REF!,"AAAAAGvoWXM=")</f>
        <v>#REF!</v>
      </c>
      <c r="DM13" t="e">
        <f>AND(#REF!,"AAAAAGvoWXQ=")</f>
        <v>#REF!</v>
      </c>
      <c r="DN13" t="e">
        <f>AND(#REF!,"AAAAAGvoWXU=")</f>
        <v>#REF!</v>
      </c>
      <c r="DO13" t="e">
        <f>AND(#REF!,"AAAAAGvoWXY=")</f>
        <v>#REF!</v>
      </c>
      <c r="DP13" t="e">
        <f>AND(#REF!,"AAAAAGvoWXc=")</f>
        <v>#REF!</v>
      </c>
      <c r="DQ13" t="e">
        <f>AND(#REF!,"AAAAAGvoWXg=")</f>
        <v>#REF!</v>
      </c>
      <c r="DR13" t="e">
        <f>AND(#REF!,"AAAAAGvoWXk=")</f>
        <v>#REF!</v>
      </c>
      <c r="DS13" t="e">
        <f>AND(#REF!,"AAAAAGvoWXo=")</f>
        <v>#REF!</v>
      </c>
      <c r="DT13" t="e">
        <f>AND(#REF!,"AAAAAGvoWXs=")</f>
        <v>#REF!</v>
      </c>
      <c r="DU13" t="e">
        <f>AND(#REF!,"AAAAAGvoWXw=")</f>
        <v>#REF!</v>
      </c>
      <c r="DV13" t="e">
        <f>AND(#REF!,"AAAAAGvoWX0=")</f>
        <v>#REF!</v>
      </c>
      <c r="DW13" t="e">
        <f>AND(#REF!,"AAAAAGvoWX4=")</f>
        <v>#REF!</v>
      </c>
      <c r="DX13" t="e">
        <f>AND(#REF!,"AAAAAGvoWX8=")</f>
        <v>#REF!</v>
      </c>
      <c r="DY13" t="e">
        <f>AND(#REF!,"AAAAAGvoWYA=")</f>
        <v>#REF!</v>
      </c>
      <c r="DZ13" t="e">
        <f>AND(#REF!,"AAAAAGvoWYE=")</f>
        <v>#REF!</v>
      </c>
      <c r="EA13" t="e">
        <f>AND(#REF!,"AAAAAGvoWYI=")</f>
        <v>#REF!</v>
      </c>
      <c r="EB13" t="e">
        <f>AND(#REF!,"AAAAAGvoWYM=")</f>
        <v>#REF!</v>
      </c>
      <c r="EC13" t="e">
        <f>AND(#REF!,"AAAAAGvoWYQ=")</f>
        <v>#REF!</v>
      </c>
      <c r="ED13" t="e">
        <f>AND(#REF!,"AAAAAGvoWYU=")</f>
        <v>#REF!</v>
      </c>
      <c r="EE13" t="e">
        <f>AND(#REF!,"AAAAAGvoWYY=")</f>
        <v>#REF!</v>
      </c>
      <c r="EF13" t="e">
        <f>AND(#REF!,"AAAAAGvoWYc=")</f>
        <v>#REF!</v>
      </c>
      <c r="EG13" t="e">
        <f>AND(#REF!,"AAAAAGvoWYg=")</f>
        <v>#REF!</v>
      </c>
      <c r="EH13" t="e">
        <f>AND(#REF!,"AAAAAGvoWYk=")</f>
        <v>#REF!</v>
      </c>
      <c r="EI13" t="e">
        <f>AND(#REF!,"AAAAAGvoWYo=")</f>
        <v>#REF!</v>
      </c>
      <c r="EJ13" t="e">
        <f>AND(#REF!,"AAAAAGvoWYs=")</f>
        <v>#REF!</v>
      </c>
      <c r="EK13" t="e">
        <f>AND(#REF!,"AAAAAGvoWYw=")</f>
        <v>#REF!</v>
      </c>
      <c r="EL13" t="e">
        <f>AND(#REF!,"AAAAAGvoWY0=")</f>
        <v>#REF!</v>
      </c>
      <c r="EM13" t="e">
        <f>AND(#REF!,"AAAAAGvoWY4=")</f>
        <v>#REF!</v>
      </c>
      <c r="EN13" t="e">
        <f>AND(#REF!,"AAAAAGvoWY8=")</f>
        <v>#REF!</v>
      </c>
      <c r="EO13" t="e">
        <f>AND(#REF!,"AAAAAGvoWZA=")</f>
        <v>#REF!</v>
      </c>
      <c r="EP13" t="e">
        <f>AND(#REF!,"AAAAAGvoWZE=")</f>
        <v>#REF!</v>
      </c>
      <c r="EQ13" t="e">
        <f>AND(#REF!,"AAAAAGvoWZI=")</f>
        <v>#REF!</v>
      </c>
      <c r="ER13" t="e">
        <f>AND(#REF!,"AAAAAGvoWZM=")</f>
        <v>#REF!</v>
      </c>
      <c r="ES13" t="e">
        <f>AND(#REF!,"AAAAAGvoWZQ=")</f>
        <v>#REF!</v>
      </c>
      <c r="ET13" t="e">
        <f>AND(#REF!,"AAAAAGvoWZU=")</f>
        <v>#REF!</v>
      </c>
      <c r="EU13" t="e">
        <f>AND(#REF!,"AAAAAGvoWZY=")</f>
        <v>#REF!</v>
      </c>
      <c r="EV13" t="e">
        <f>AND(#REF!,"AAAAAGvoWZc=")</f>
        <v>#REF!</v>
      </c>
      <c r="EW13" t="e">
        <f>AND(#REF!,"AAAAAGvoWZg=")</f>
        <v>#REF!</v>
      </c>
      <c r="EX13" t="e">
        <f>AND(#REF!,"AAAAAGvoWZk=")</f>
        <v>#REF!</v>
      </c>
      <c r="EY13" t="e">
        <f>AND(#REF!,"AAAAAGvoWZo=")</f>
        <v>#REF!</v>
      </c>
      <c r="EZ13" t="e">
        <f>AND(#REF!,"AAAAAGvoWZs=")</f>
        <v>#REF!</v>
      </c>
      <c r="FA13" t="e">
        <f>AND(#REF!,"AAAAAGvoWZw=")</f>
        <v>#REF!</v>
      </c>
      <c r="FB13" t="e">
        <f>AND(#REF!,"AAAAAGvoWZ0=")</f>
        <v>#REF!</v>
      </c>
      <c r="FC13" t="e">
        <f>AND(#REF!,"AAAAAGvoWZ4=")</f>
        <v>#REF!</v>
      </c>
      <c r="FD13" t="e">
        <f>AND(#REF!,"AAAAAGvoWZ8=")</f>
        <v>#REF!</v>
      </c>
      <c r="FE13" t="e">
        <f>AND(#REF!,"AAAAAGvoWaA=")</f>
        <v>#REF!</v>
      </c>
      <c r="FF13" t="e">
        <f>AND(#REF!,"AAAAAGvoWaE=")</f>
        <v>#REF!</v>
      </c>
      <c r="FG13" t="e">
        <f>AND(#REF!,"AAAAAGvoWaI=")</f>
        <v>#REF!</v>
      </c>
      <c r="FH13" t="e">
        <f>AND(#REF!,"AAAAAGvoWaM=")</f>
        <v>#REF!</v>
      </c>
      <c r="FI13" t="e">
        <f>AND(#REF!,"AAAAAGvoWaQ=")</f>
        <v>#REF!</v>
      </c>
      <c r="FJ13" t="e">
        <f>AND(#REF!,"AAAAAGvoWaU=")</f>
        <v>#REF!</v>
      </c>
      <c r="FK13" t="e">
        <f>AND(#REF!,"AAAAAGvoWaY=")</f>
        <v>#REF!</v>
      </c>
      <c r="FL13" t="e">
        <f>AND(#REF!,"AAAAAGvoWac=")</f>
        <v>#REF!</v>
      </c>
      <c r="FM13" t="e">
        <f>AND(#REF!,"AAAAAGvoWag=")</f>
        <v>#REF!</v>
      </c>
      <c r="FN13" t="e">
        <f>AND(#REF!,"AAAAAGvoWak=")</f>
        <v>#REF!</v>
      </c>
      <c r="FO13" t="e">
        <f>AND(#REF!,"AAAAAGvoWao=")</f>
        <v>#REF!</v>
      </c>
      <c r="FP13" t="e">
        <f>AND(#REF!,"AAAAAGvoWas=")</f>
        <v>#REF!</v>
      </c>
      <c r="FQ13" t="e">
        <f>AND(#REF!,"AAAAAGvoWaw=")</f>
        <v>#REF!</v>
      </c>
      <c r="FR13" t="e">
        <f>AND(#REF!,"AAAAAGvoWa0=")</f>
        <v>#REF!</v>
      </c>
      <c r="FS13" t="e">
        <f>AND(#REF!,"AAAAAGvoWa4=")</f>
        <v>#REF!</v>
      </c>
      <c r="FT13" t="e">
        <f>AND(#REF!,"AAAAAGvoWa8=")</f>
        <v>#REF!</v>
      </c>
      <c r="FU13" t="e">
        <f>AND(#REF!,"AAAAAGvoWbA=")</f>
        <v>#REF!</v>
      </c>
      <c r="FV13" t="e">
        <f>AND(#REF!,"AAAAAGvoWbE=")</f>
        <v>#REF!</v>
      </c>
      <c r="FW13" t="e">
        <f>AND(#REF!,"AAAAAGvoWbI=")</f>
        <v>#REF!</v>
      </c>
      <c r="FX13" t="e">
        <f>AND(#REF!,"AAAAAGvoWbM=")</f>
        <v>#REF!</v>
      </c>
      <c r="FY13" t="e">
        <f>AND(#REF!,"AAAAAGvoWbQ=")</f>
        <v>#REF!</v>
      </c>
      <c r="FZ13" t="e">
        <f>AND(#REF!,"AAAAAGvoWbU=")</f>
        <v>#REF!</v>
      </c>
      <c r="GA13" t="e">
        <f>AND(#REF!,"AAAAAGvoWbY=")</f>
        <v>#REF!</v>
      </c>
      <c r="GB13" t="e">
        <f>AND(#REF!,"AAAAAGvoWbc=")</f>
        <v>#REF!</v>
      </c>
      <c r="GC13" t="e">
        <f>AND(#REF!,"AAAAAGvoWbg=")</f>
        <v>#REF!</v>
      </c>
      <c r="GD13" t="e">
        <f>AND(#REF!,"AAAAAGvoWbk=")</f>
        <v>#REF!</v>
      </c>
      <c r="GE13" t="e">
        <f>AND(#REF!,"AAAAAGvoWbo=")</f>
        <v>#REF!</v>
      </c>
      <c r="GF13" t="e">
        <f>AND(#REF!,"AAAAAGvoWbs=")</f>
        <v>#REF!</v>
      </c>
      <c r="GG13" t="e">
        <f>AND(#REF!,"AAAAAGvoWbw=")</f>
        <v>#REF!</v>
      </c>
      <c r="GH13" t="e">
        <f>AND(#REF!,"AAAAAGvoWb0=")</f>
        <v>#REF!</v>
      </c>
      <c r="GI13" t="e">
        <f>AND(#REF!,"AAAAAGvoWb4=")</f>
        <v>#REF!</v>
      </c>
      <c r="GJ13" t="e">
        <f>AND(#REF!,"AAAAAGvoWb8=")</f>
        <v>#REF!</v>
      </c>
      <c r="GK13" t="e">
        <f>AND(#REF!,"AAAAAGvoWcA=")</f>
        <v>#REF!</v>
      </c>
      <c r="GL13" t="e">
        <f>AND(#REF!,"AAAAAGvoWcE=")</f>
        <v>#REF!</v>
      </c>
      <c r="GM13" t="e">
        <f>AND(#REF!,"AAAAAGvoWcI=")</f>
        <v>#REF!</v>
      </c>
      <c r="GN13" t="e">
        <f>AND(#REF!,"AAAAAGvoWcM=")</f>
        <v>#REF!</v>
      </c>
      <c r="GO13" t="e">
        <f>AND(#REF!,"AAAAAGvoWcQ=")</f>
        <v>#REF!</v>
      </c>
      <c r="GP13" t="e">
        <f>AND(#REF!,"AAAAAGvoWcU=")</f>
        <v>#REF!</v>
      </c>
      <c r="GQ13" t="e">
        <f>AND(#REF!,"AAAAAGvoWcY=")</f>
        <v>#REF!</v>
      </c>
      <c r="GR13" t="e">
        <f>AND(#REF!,"AAAAAGvoWcc=")</f>
        <v>#REF!</v>
      </c>
      <c r="GS13" t="e">
        <f>AND(#REF!,"AAAAAGvoWcg=")</f>
        <v>#REF!</v>
      </c>
      <c r="GT13" t="e">
        <f>AND(#REF!,"AAAAAGvoWck=")</f>
        <v>#REF!</v>
      </c>
      <c r="GU13" t="e">
        <f>AND(#REF!,"AAAAAGvoWco=")</f>
        <v>#REF!</v>
      </c>
      <c r="GV13" t="e">
        <f>AND(#REF!,"AAAAAGvoWcs=")</f>
        <v>#REF!</v>
      </c>
      <c r="GW13" t="e">
        <f>AND(#REF!,"AAAAAGvoWcw=")</f>
        <v>#REF!</v>
      </c>
      <c r="GX13" t="e">
        <f>AND(#REF!,"AAAAAGvoWc0=")</f>
        <v>#REF!</v>
      </c>
      <c r="GY13" t="e">
        <f>AND(#REF!,"AAAAAGvoWc4=")</f>
        <v>#REF!</v>
      </c>
      <c r="GZ13" t="e">
        <f>AND(#REF!,"AAAAAGvoWc8=")</f>
        <v>#REF!</v>
      </c>
      <c r="HA13" t="e">
        <f>AND(#REF!,"AAAAAGvoWdA=")</f>
        <v>#REF!</v>
      </c>
      <c r="HB13" t="e">
        <f>AND(#REF!,"AAAAAGvoWdE=")</f>
        <v>#REF!</v>
      </c>
      <c r="HC13" t="e">
        <f>AND(#REF!,"AAAAAGvoWdI=")</f>
        <v>#REF!</v>
      </c>
      <c r="HD13" t="e">
        <f>AND(#REF!,"AAAAAGvoWdM=")</f>
        <v>#REF!</v>
      </c>
      <c r="HE13" t="e">
        <f>AND(#REF!,"AAAAAGvoWdQ=")</f>
        <v>#REF!</v>
      </c>
      <c r="HF13" t="e">
        <f>AND(#REF!,"AAAAAGvoWdU=")</f>
        <v>#REF!</v>
      </c>
      <c r="HG13" t="e">
        <f>AND(#REF!,"AAAAAGvoWdY=")</f>
        <v>#REF!</v>
      </c>
      <c r="HH13" t="e">
        <f>AND(#REF!,"AAAAAGvoWdc=")</f>
        <v>#REF!</v>
      </c>
      <c r="HI13" t="e">
        <f>AND(#REF!,"AAAAAGvoWdg=")</f>
        <v>#REF!</v>
      </c>
      <c r="HJ13" t="e">
        <f>AND(#REF!,"AAAAAGvoWdk=")</f>
        <v>#REF!</v>
      </c>
      <c r="HK13" t="e">
        <f>AND(#REF!,"AAAAAGvoWdo=")</f>
        <v>#REF!</v>
      </c>
      <c r="HL13" t="e">
        <f>AND(#REF!,"AAAAAGvoWds=")</f>
        <v>#REF!</v>
      </c>
      <c r="HM13" t="e">
        <f>AND(#REF!,"AAAAAGvoWdw=")</f>
        <v>#REF!</v>
      </c>
      <c r="HN13" t="e">
        <f>AND(#REF!,"AAAAAGvoWd0=")</f>
        <v>#REF!</v>
      </c>
      <c r="HO13" t="e">
        <f>AND(#REF!,"AAAAAGvoWd4=")</f>
        <v>#REF!</v>
      </c>
      <c r="HP13" t="e">
        <f>AND(#REF!,"AAAAAGvoWd8=")</f>
        <v>#REF!</v>
      </c>
      <c r="HQ13" t="e">
        <f>AND(#REF!,"AAAAAGvoWeA=")</f>
        <v>#REF!</v>
      </c>
      <c r="HR13" t="e">
        <f>AND(#REF!,"AAAAAGvoWeE=")</f>
        <v>#REF!</v>
      </c>
      <c r="HS13" t="e">
        <f>AND(#REF!,"AAAAAGvoWeI=")</f>
        <v>#REF!</v>
      </c>
      <c r="HT13" t="e">
        <f>AND(#REF!,"AAAAAGvoWeM=")</f>
        <v>#REF!</v>
      </c>
      <c r="HU13" t="e">
        <f>AND(#REF!,"AAAAAGvoWeQ=")</f>
        <v>#REF!</v>
      </c>
      <c r="HV13" t="e">
        <f>AND(#REF!,"AAAAAGvoWeU=")</f>
        <v>#REF!</v>
      </c>
      <c r="HW13" t="e">
        <f>AND(#REF!,"AAAAAGvoWeY=")</f>
        <v>#REF!</v>
      </c>
      <c r="HX13" t="e">
        <f>AND(#REF!,"AAAAAGvoWec=")</f>
        <v>#REF!</v>
      </c>
      <c r="HY13" t="e">
        <f>AND(#REF!,"AAAAAGvoWeg=")</f>
        <v>#REF!</v>
      </c>
      <c r="HZ13" t="e">
        <f>AND(#REF!,"AAAAAGvoWek=")</f>
        <v>#REF!</v>
      </c>
      <c r="IA13" t="e">
        <f>AND(#REF!,"AAAAAGvoWeo=")</f>
        <v>#REF!</v>
      </c>
      <c r="IB13" t="e">
        <f>AND(#REF!,"AAAAAGvoWes=")</f>
        <v>#REF!</v>
      </c>
      <c r="IC13" t="e">
        <f>AND(#REF!,"AAAAAGvoWew=")</f>
        <v>#REF!</v>
      </c>
      <c r="ID13" t="e">
        <f>AND(#REF!,"AAAAAGvoWe0=")</f>
        <v>#REF!</v>
      </c>
      <c r="IE13" t="e">
        <f>AND(#REF!,"AAAAAGvoWe4=")</f>
        <v>#REF!</v>
      </c>
      <c r="IF13" t="e">
        <f>AND(#REF!,"AAAAAGvoWe8=")</f>
        <v>#REF!</v>
      </c>
      <c r="IG13" t="e">
        <f>AND(#REF!,"AAAAAGvoWfA=")</f>
        <v>#REF!</v>
      </c>
      <c r="IH13" t="e">
        <f>AND(#REF!,"AAAAAGvoWfE=")</f>
        <v>#REF!</v>
      </c>
      <c r="II13" t="e">
        <f>AND(#REF!,"AAAAAGvoWfI=")</f>
        <v>#REF!</v>
      </c>
      <c r="IJ13" t="e">
        <f>AND(#REF!,"AAAAAGvoWfM=")</f>
        <v>#REF!</v>
      </c>
      <c r="IK13" t="e">
        <f>AND(#REF!,"AAAAAGvoWfQ=")</f>
        <v>#REF!</v>
      </c>
      <c r="IL13" t="e">
        <f>AND(#REF!,"AAAAAGvoWfU=")</f>
        <v>#REF!</v>
      </c>
      <c r="IM13" t="e">
        <f>AND(#REF!,"AAAAAGvoWfY=")</f>
        <v>#REF!</v>
      </c>
      <c r="IN13" t="e">
        <f>AND(#REF!,"AAAAAGvoWfc=")</f>
        <v>#REF!</v>
      </c>
      <c r="IO13" t="e">
        <f>AND(#REF!,"AAAAAGvoWfg=")</f>
        <v>#REF!</v>
      </c>
      <c r="IP13" t="e">
        <f>AND(#REF!,"AAAAAGvoWfk=")</f>
        <v>#REF!</v>
      </c>
      <c r="IQ13" t="e">
        <f>AND(#REF!,"AAAAAGvoWfo=")</f>
        <v>#REF!</v>
      </c>
      <c r="IR13" t="e">
        <f>AND(#REF!,"AAAAAGvoWfs=")</f>
        <v>#REF!</v>
      </c>
      <c r="IS13" t="e">
        <f>AND(#REF!,"AAAAAGvoWfw=")</f>
        <v>#REF!</v>
      </c>
      <c r="IT13" t="e">
        <f>AND(#REF!,"AAAAAGvoWf0=")</f>
        <v>#REF!</v>
      </c>
      <c r="IU13" t="e">
        <f>AND(#REF!,"AAAAAGvoWf4=")</f>
        <v>#REF!</v>
      </c>
      <c r="IV13" t="e">
        <f>AND(#REF!,"AAAAAGvoWf8=")</f>
        <v>#REF!</v>
      </c>
    </row>
    <row r="14" spans="1:256">
      <c r="A14" t="e">
        <f>AND(#REF!,"AAAAAG3+fwA=")</f>
        <v>#REF!</v>
      </c>
      <c r="B14" t="e">
        <f>AND(#REF!,"AAAAAG3+fwE=")</f>
        <v>#REF!</v>
      </c>
      <c r="C14" t="e">
        <f>AND(#REF!,"AAAAAG3+fwI=")</f>
        <v>#REF!</v>
      </c>
      <c r="D14" t="e">
        <f>AND(#REF!,"AAAAAG3+fwM=")</f>
        <v>#REF!</v>
      </c>
      <c r="E14" t="e">
        <f>AND(#REF!,"AAAAAG3+fwQ=")</f>
        <v>#REF!</v>
      </c>
      <c r="F14" t="e">
        <f>AND(#REF!,"AAAAAG3+fwU=")</f>
        <v>#REF!</v>
      </c>
      <c r="G14" t="e">
        <f>AND(#REF!,"AAAAAG3+fwY=")</f>
        <v>#REF!</v>
      </c>
      <c r="H14" t="e">
        <f>AND(#REF!,"AAAAAG3+fwc=")</f>
        <v>#REF!</v>
      </c>
      <c r="I14" t="e">
        <f>AND(#REF!,"AAAAAG3+fwg=")</f>
        <v>#REF!</v>
      </c>
      <c r="J14" t="e">
        <f>AND(#REF!,"AAAAAG3+fwk=")</f>
        <v>#REF!</v>
      </c>
      <c r="K14" t="e">
        <f>AND(#REF!,"AAAAAG3+fwo=")</f>
        <v>#REF!</v>
      </c>
      <c r="L14" t="e">
        <f>AND(#REF!,"AAAAAG3+fws=")</f>
        <v>#REF!</v>
      </c>
      <c r="M14" t="e">
        <f>AND(#REF!,"AAAAAG3+fww=")</f>
        <v>#REF!</v>
      </c>
      <c r="N14" t="e">
        <f>AND(#REF!,"AAAAAG3+fw0=")</f>
        <v>#REF!</v>
      </c>
      <c r="O14" t="e">
        <f>AND(#REF!,"AAAAAG3+fw4=")</f>
        <v>#REF!</v>
      </c>
      <c r="P14" t="e">
        <f>AND(#REF!,"AAAAAG3+fw8=")</f>
        <v>#REF!</v>
      </c>
      <c r="Q14" t="e">
        <f>AND(#REF!,"AAAAAG3+fxA=")</f>
        <v>#REF!</v>
      </c>
      <c r="R14" t="e">
        <f>AND(#REF!,"AAAAAG3+fxE=")</f>
        <v>#REF!</v>
      </c>
      <c r="S14" t="e">
        <f>AND(#REF!,"AAAAAG3+fxI=")</f>
        <v>#REF!</v>
      </c>
      <c r="T14" t="e">
        <f>AND(#REF!,"AAAAAG3+fxM=")</f>
        <v>#REF!</v>
      </c>
      <c r="U14" t="e">
        <f>AND(#REF!,"AAAAAG3+fxQ=")</f>
        <v>#REF!</v>
      </c>
      <c r="V14" t="e">
        <f>AND(#REF!,"AAAAAG3+fxU=")</f>
        <v>#REF!</v>
      </c>
      <c r="W14" t="e">
        <f>AND(#REF!,"AAAAAG3+fxY=")</f>
        <v>#REF!</v>
      </c>
      <c r="X14" t="e">
        <f>AND(#REF!,"AAAAAG3+fxc=")</f>
        <v>#REF!</v>
      </c>
      <c r="Y14" t="e">
        <f>AND(#REF!,"AAAAAG3+fxg=")</f>
        <v>#REF!</v>
      </c>
      <c r="Z14" t="e">
        <f>AND(#REF!,"AAAAAG3+fxk=")</f>
        <v>#REF!</v>
      </c>
      <c r="AA14" t="e">
        <f>AND(#REF!,"AAAAAG3+fxo=")</f>
        <v>#REF!</v>
      </c>
      <c r="AB14" t="e">
        <f>AND(#REF!,"AAAAAG3+fxs=")</f>
        <v>#REF!</v>
      </c>
      <c r="AC14" t="e">
        <f>AND(#REF!,"AAAAAG3+fxw=")</f>
        <v>#REF!</v>
      </c>
      <c r="AD14" t="e">
        <f>AND(#REF!,"AAAAAG3+fx0=")</f>
        <v>#REF!</v>
      </c>
      <c r="AE14" t="e">
        <f>AND(#REF!,"AAAAAG3+fx4=")</f>
        <v>#REF!</v>
      </c>
      <c r="AF14" t="e">
        <f>AND(#REF!,"AAAAAG3+fx8=")</f>
        <v>#REF!</v>
      </c>
      <c r="AG14" t="e">
        <f>AND(#REF!,"AAAAAG3+fyA=")</f>
        <v>#REF!</v>
      </c>
      <c r="AH14" t="e">
        <f>AND(#REF!,"AAAAAG3+fyE=")</f>
        <v>#REF!</v>
      </c>
      <c r="AI14" t="e">
        <f>AND(#REF!,"AAAAAG3+fyI=")</f>
        <v>#REF!</v>
      </c>
      <c r="AJ14" t="e">
        <f>AND(#REF!,"AAAAAG3+fyM=")</f>
        <v>#REF!</v>
      </c>
      <c r="AK14" t="e">
        <f>AND(#REF!,"AAAAAG3+fyQ=")</f>
        <v>#REF!</v>
      </c>
      <c r="AL14" t="e">
        <f>AND(#REF!,"AAAAAG3+fyU=")</f>
        <v>#REF!</v>
      </c>
      <c r="AM14" t="e">
        <f>AND(#REF!,"AAAAAG3+fyY=")</f>
        <v>#REF!</v>
      </c>
      <c r="AN14" t="e">
        <f>AND(#REF!,"AAAAAG3+fyc=")</f>
        <v>#REF!</v>
      </c>
      <c r="AO14" t="e">
        <f>AND(#REF!,"AAAAAG3+fyg=")</f>
        <v>#REF!</v>
      </c>
      <c r="AP14" t="e">
        <f>AND(#REF!,"AAAAAG3+fyk=")</f>
        <v>#REF!</v>
      </c>
      <c r="AQ14" t="e">
        <f>AND(#REF!,"AAAAAG3+fyo=")</f>
        <v>#REF!</v>
      </c>
      <c r="AR14" t="e">
        <f>AND(#REF!,"AAAAAG3+fys=")</f>
        <v>#REF!</v>
      </c>
      <c r="AS14" t="e">
        <f>AND(#REF!,"AAAAAG3+fyw=")</f>
        <v>#REF!</v>
      </c>
      <c r="AT14" t="e">
        <f>AND(#REF!,"AAAAAG3+fy0=")</f>
        <v>#REF!</v>
      </c>
      <c r="AU14" t="e">
        <f>AND(#REF!,"AAAAAG3+fy4=")</f>
        <v>#REF!</v>
      </c>
      <c r="AV14" t="e">
        <f>AND(#REF!,"AAAAAG3+fy8=")</f>
        <v>#REF!</v>
      </c>
      <c r="AW14" t="e">
        <f>AND(#REF!,"AAAAAG3+fzA=")</f>
        <v>#REF!</v>
      </c>
      <c r="AX14" t="e">
        <f>AND(#REF!,"AAAAAG3+fzE=")</f>
        <v>#REF!</v>
      </c>
      <c r="AY14" t="e">
        <f>AND(#REF!,"AAAAAG3+fzI=")</f>
        <v>#REF!</v>
      </c>
      <c r="AZ14" t="e">
        <f>AND(#REF!,"AAAAAG3+fzM=")</f>
        <v>#REF!</v>
      </c>
      <c r="BA14" t="e">
        <f>AND(#REF!,"AAAAAG3+fzQ=")</f>
        <v>#REF!</v>
      </c>
      <c r="BB14" t="e">
        <f>AND(#REF!,"AAAAAG3+fzU=")</f>
        <v>#REF!</v>
      </c>
      <c r="BC14" t="e">
        <f>AND(#REF!,"AAAAAG3+fzY=")</f>
        <v>#REF!</v>
      </c>
      <c r="BD14" t="e">
        <f>AND(#REF!,"AAAAAG3+fzc=")</f>
        <v>#REF!</v>
      </c>
      <c r="BE14" t="e">
        <f>AND(#REF!,"AAAAAG3+fzg=")</f>
        <v>#REF!</v>
      </c>
      <c r="BF14" t="e">
        <f>AND(#REF!,"AAAAAG3+fzk=")</f>
        <v>#REF!</v>
      </c>
      <c r="BG14" t="e">
        <f>AND(#REF!,"AAAAAG3+fzo=")</f>
        <v>#REF!</v>
      </c>
      <c r="BH14" t="e">
        <f>AND(#REF!,"AAAAAG3+fzs=")</f>
        <v>#REF!</v>
      </c>
      <c r="BI14" t="e">
        <f>AND(#REF!,"AAAAAG3+fzw=")</f>
        <v>#REF!</v>
      </c>
      <c r="BJ14" t="e">
        <f>AND(#REF!,"AAAAAG3+fz0=")</f>
        <v>#REF!</v>
      </c>
      <c r="BK14" t="e">
        <f>AND(#REF!,"AAAAAG3+fz4=")</f>
        <v>#REF!</v>
      </c>
      <c r="BL14" t="e">
        <f>AND(#REF!,"AAAAAG3+fz8=")</f>
        <v>#REF!</v>
      </c>
      <c r="BM14" t="e">
        <f>AND(#REF!,"AAAAAG3+f0A=")</f>
        <v>#REF!</v>
      </c>
      <c r="BN14" t="e">
        <f>AND(#REF!,"AAAAAG3+f0E=")</f>
        <v>#REF!</v>
      </c>
      <c r="BO14" t="e">
        <f>AND(#REF!,"AAAAAG3+f0I=")</f>
        <v>#REF!</v>
      </c>
      <c r="BP14" t="e">
        <f>AND(#REF!,"AAAAAG3+f0M=")</f>
        <v>#REF!</v>
      </c>
      <c r="BQ14" t="e">
        <f>AND(#REF!,"AAAAAG3+f0Q=")</f>
        <v>#REF!</v>
      </c>
      <c r="BR14" t="e">
        <f>AND(#REF!,"AAAAAG3+f0U=")</f>
        <v>#REF!</v>
      </c>
      <c r="BS14" t="e">
        <f>AND(#REF!,"AAAAAG3+f0Y=")</f>
        <v>#REF!</v>
      </c>
      <c r="BT14" t="e">
        <f>AND(#REF!,"AAAAAG3+f0c=")</f>
        <v>#REF!</v>
      </c>
      <c r="BU14" t="e">
        <f>AND(#REF!,"AAAAAG3+f0g=")</f>
        <v>#REF!</v>
      </c>
      <c r="BV14" t="e">
        <f>AND(#REF!,"AAAAAG3+f0k=")</f>
        <v>#REF!</v>
      </c>
      <c r="BW14" t="e">
        <f>AND(#REF!,"AAAAAG3+f0o=")</f>
        <v>#REF!</v>
      </c>
      <c r="BX14" t="e">
        <f>AND(#REF!,"AAAAAG3+f0s=")</f>
        <v>#REF!</v>
      </c>
      <c r="BY14" t="e">
        <f>AND(#REF!,"AAAAAG3+f0w=")</f>
        <v>#REF!</v>
      </c>
      <c r="BZ14" t="e">
        <f>AND(#REF!,"AAAAAG3+f00=")</f>
        <v>#REF!</v>
      </c>
      <c r="CA14" t="e">
        <f>AND(#REF!,"AAAAAG3+f04=")</f>
        <v>#REF!</v>
      </c>
      <c r="CB14" t="e">
        <f>AND(#REF!,"AAAAAG3+f08=")</f>
        <v>#REF!</v>
      </c>
      <c r="CC14" t="e">
        <f>AND(#REF!,"AAAAAG3+f1A=")</f>
        <v>#REF!</v>
      </c>
      <c r="CD14" t="e">
        <f>AND(#REF!,"AAAAAG3+f1E=")</f>
        <v>#REF!</v>
      </c>
      <c r="CE14" t="e">
        <f>AND(#REF!,"AAAAAG3+f1I=")</f>
        <v>#REF!</v>
      </c>
      <c r="CF14" t="e">
        <f>AND(#REF!,"AAAAAG3+f1M=")</f>
        <v>#REF!</v>
      </c>
      <c r="CG14" t="e">
        <f>AND(#REF!,"AAAAAG3+f1Q=")</f>
        <v>#REF!</v>
      </c>
      <c r="CH14" t="e">
        <f>AND(#REF!,"AAAAAG3+f1U=")</f>
        <v>#REF!</v>
      </c>
      <c r="CI14" t="e">
        <f>AND(#REF!,"AAAAAG3+f1Y=")</f>
        <v>#REF!</v>
      </c>
      <c r="CJ14" t="e">
        <f>AND(#REF!,"AAAAAG3+f1c=")</f>
        <v>#REF!</v>
      </c>
      <c r="CK14" t="e">
        <f>AND(#REF!,"AAAAAG3+f1g=")</f>
        <v>#REF!</v>
      </c>
      <c r="CL14" t="e">
        <f>AND(#REF!,"AAAAAG3+f1k=")</f>
        <v>#REF!</v>
      </c>
      <c r="CM14" t="e">
        <f>AND(#REF!,"AAAAAG3+f1o=")</f>
        <v>#REF!</v>
      </c>
      <c r="CN14" t="e">
        <f>AND(#REF!,"AAAAAG3+f1s=")</f>
        <v>#REF!</v>
      </c>
      <c r="CO14" t="e">
        <f>AND(#REF!,"AAAAAG3+f1w=")</f>
        <v>#REF!</v>
      </c>
      <c r="CP14" t="e">
        <f>AND(#REF!,"AAAAAG3+f10=")</f>
        <v>#REF!</v>
      </c>
      <c r="CQ14" t="e">
        <f>AND(#REF!,"AAAAAG3+f14=")</f>
        <v>#REF!</v>
      </c>
      <c r="CR14" t="e">
        <f>AND(#REF!,"AAAAAG3+f18=")</f>
        <v>#REF!</v>
      </c>
      <c r="CS14" t="e">
        <f>AND(#REF!,"AAAAAG3+f2A=")</f>
        <v>#REF!</v>
      </c>
      <c r="CT14" t="e">
        <f>AND(#REF!,"AAAAAG3+f2E=")</f>
        <v>#REF!</v>
      </c>
      <c r="CU14" t="e">
        <f>AND(#REF!,"AAAAAG3+f2I=")</f>
        <v>#REF!</v>
      </c>
      <c r="CV14" t="e">
        <f>AND(#REF!,"AAAAAG3+f2M=")</f>
        <v>#REF!</v>
      </c>
      <c r="CW14" t="e">
        <f>AND(#REF!,"AAAAAG3+f2Q=")</f>
        <v>#REF!</v>
      </c>
      <c r="CX14" t="e">
        <f>AND(#REF!,"AAAAAG3+f2U=")</f>
        <v>#REF!</v>
      </c>
      <c r="CY14" t="e">
        <f>AND(#REF!,"AAAAAG3+f2Y=")</f>
        <v>#REF!</v>
      </c>
      <c r="CZ14" t="e">
        <f>AND(#REF!,"AAAAAG3+f2c=")</f>
        <v>#REF!</v>
      </c>
      <c r="DA14" t="e">
        <f>AND(#REF!,"AAAAAG3+f2g=")</f>
        <v>#REF!</v>
      </c>
      <c r="DB14" t="e">
        <f>AND(#REF!,"AAAAAG3+f2k=")</f>
        <v>#REF!</v>
      </c>
      <c r="DC14" t="e">
        <f>AND(#REF!,"AAAAAG3+f2o=")</f>
        <v>#REF!</v>
      </c>
      <c r="DD14" t="e">
        <f>AND(#REF!,"AAAAAG3+f2s=")</f>
        <v>#REF!</v>
      </c>
      <c r="DE14" t="e">
        <f>AND(#REF!,"AAAAAG3+f2w=")</f>
        <v>#REF!</v>
      </c>
      <c r="DF14" t="e">
        <f>AND(#REF!,"AAAAAG3+f20=")</f>
        <v>#REF!</v>
      </c>
      <c r="DG14" t="e">
        <f>AND(#REF!,"AAAAAG3+f24=")</f>
        <v>#REF!</v>
      </c>
      <c r="DH14" t="e">
        <f>AND(#REF!,"AAAAAG3+f28=")</f>
        <v>#REF!</v>
      </c>
      <c r="DI14" t="e">
        <f>AND(#REF!,"AAAAAG3+f3A=")</f>
        <v>#REF!</v>
      </c>
      <c r="DJ14" t="e">
        <f>AND(#REF!,"AAAAAG3+f3E=")</f>
        <v>#REF!</v>
      </c>
      <c r="DK14" t="e">
        <f>AND(#REF!,"AAAAAG3+f3I=")</f>
        <v>#REF!</v>
      </c>
      <c r="DL14" t="e">
        <f>AND(#REF!,"AAAAAG3+f3M=")</f>
        <v>#REF!</v>
      </c>
      <c r="DM14" t="e">
        <f>AND(#REF!,"AAAAAG3+f3Q=")</f>
        <v>#REF!</v>
      </c>
      <c r="DN14" t="e">
        <f>AND(#REF!,"AAAAAG3+f3U=")</f>
        <v>#REF!</v>
      </c>
      <c r="DO14" t="e">
        <f>AND(#REF!,"AAAAAG3+f3Y=")</f>
        <v>#REF!</v>
      </c>
      <c r="DP14" t="e">
        <f>AND(#REF!,"AAAAAG3+f3c=")</f>
        <v>#REF!</v>
      </c>
      <c r="DQ14" t="e">
        <f>AND(#REF!,"AAAAAG3+f3g=")</f>
        <v>#REF!</v>
      </c>
      <c r="DR14" t="e">
        <f>AND(#REF!,"AAAAAG3+f3k=")</f>
        <v>#REF!</v>
      </c>
      <c r="DS14" t="e">
        <f>AND(#REF!,"AAAAAG3+f3o=")</f>
        <v>#REF!</v>
      </c>
      <c r="DT14" t="e">
        <f>AND(#REF!,"AAAAAG3+f3s=")</f>
        <v>#REF!</v>
      </c>
      <c r="DU14" t="e">
        <f>AND(#REF!,"AAAAAG3+f3w=")</f>
        <v>#REF!</v>
      </c>
      <c r="DV14" t="e">
        <f>AND(#REF!,"AAAAAG3+f30=")</f>
        <v>#REF!</v>
      </c>
      <c r="DW14" t="e">
        <f>AND(#REF!,"AAAAAG3+f34=")</f>
        <v>#REF!</v>
      </c>
      <c r="DX14" t="e">
        <f>AND(#REF!,"AAAAAG3+f38=")</f>
        <v>#REF!</v>
      </c>
      <c r="DY14" t="e">
        <f>AND(#REF!,"AAAAAG3+f4A=")</f>
        <v>#REF!</v>
      </c>
      <c r="DZ14" t="e">
        <f>AND(#REF!,"AAAAAG3+f4E=")</f>
        <v>#REF!</v>
      </c>
      <c r="EA14" t="e">
        <f>AND(#REF!,"AAAAAG3+f4I=")</f>
        <v>#REF!</v>
      </c>
      <c r="EB14" t="e">
        <f>AND(#REF!,"AAAAAG3+f4M=")</f>
        <v>#REF!</v>
      </c>
      <c r="EC14" t="e">
        <f>AND(#REF!,"AAAAAG3+f4Q=")</f>
        <v>#REF!</v>
      </c>
      <c r="ED14" t="e">
        <f>AND(#REF!,"AAAAAG3+f4U=")</f>
        <v>#REF!</v>
      </c>
      <c r="EE14" t="e">
        <f>AND(#REF!,"AAAAAG3+f4Y=")</f>
        <v>#REF!</v>
      </c>
      <c r="EF14" t="e">
        <f>AND(#REF!,"AAAAAG3+f4c=")</f>
        <v>#REF!</v>
      </c>
      <c r="EG14" t="e">
        <f>AND(#REF!,"AAAAAG3+f4g=")</f>
        <v>#REF!</v>
      </c>
      <c r="EH14" t="e">
        <f>AND(#REF!,"AAAAAG3+f4k=")</f>
        <v>#REF!</v>
      </c>
      <c r="EI14" t="e">
        <f>AND(#REF!,"AAAAAG3+f4o=")</f>
        <v>#REF!</v>
      </c>
      <c r="EJ14" t="e">
        <f>AND(#REF!,"AAAAAG3+f4s=")</f>
        <v>#REF!</v>
      </c>
      <c r="EK14" t="e">
        <f>AND(#REF!,"AAAAAG3+f4w=")</f>
        <v>#REF!</v>
      </c>
      <c r="EL14" t="e">
        <f>AND(#REF!,"AAAAAG3+f40=")</f>
        <v>#REF!</v>
      </c>
      <c r="EM14" t="e">
        <f>AND(#REF!,"AAAAAG3+f44=")</f>
        <v>#REF!</v>
      </c>
      <c r="EN14" t="e">
        <f>AND(#REF!,"AAAAAG3+f48=")</f>
        <v>#REF!</v>
      </c>
      <c r="EO14" t="e">
        <f>AND(#REF!,"AAAAAG3+f5A=")</f>
        <v>#REF!</v>
      </c>
      <c r="EP14" t="e">
        <f>AND(#REF!,"AAAAAG3+f5E=")</f>
        <v>#REF!</v>
      </c>
      <c r="EQ14" t="e">
        <f>AND(#REF!,"AAAAAG3+f5I=")</f>
        <v>#REF!</v>
      </c>
      <c r="ER14" t="e">
        <f>AND(#REF!,"AAAAAG3+f5M=")</f>
        <v>#REF!</v>
      </c>
      <c r="ES14" t="e">
        <f>AND(#REF!,"AAAAAG3+f5Q=")</f>
        <v>#REF!</v>
      </c>
      <c r="ET14" t="e">
        <f>AND(#REF!,"AAAAAG3+f5U=")</f>
        <v>#REF!</v>
      </c>
      <c r="EU14" t="e">
        <f>AND(#REF!,"AAAAAG3+f5Y=")</f>
        <v>#REF!</v>
      </c>
      <c r="EV14" t="e">
        <f>AND(#REF!,"AAAAAG3+f5c=")</f>
        <v>#REF!</v>
      </c>
      <c r="EW14" t="e">
        <f>AND(#REF!,"AAAAAG3+f5g=")</f>
        <v>#REF!</v>
      </c>
      <c r="EX14" t="e">
        <f>AND(#REF!,"AAAAAG3+f5k=")</f>
        <v>#REF!</v>
      </c>
      <c r="EY14" t="e">
        <f>AND(#REF!,"AAAAAG3+f5o=")</f>
        <v>#REF!</v>
      </c>
      <c r="EZ14" t="e">
        <f>AND(#REF!,"AAAAAG3+f5s=")</f>
        <v>#REF!</v>
      </c>
      <c r="FA14" t="e">
        <f>AND(#REF!,"AAAAAG3+f5w=")</f>
        <v>#REF!</v>
      </c>
      <c r="FB14" t="e">
        <f>AND(#REF!,"AAAAAG3+f50=")</f>
        <v>#REF!</v>
      </c>
      <c r="FC14" t="e">
        <f>AND(#REF!,"AAAAAG3+f54=")</f>
        <v>#REF!</v>
      </c>
      <c r="FD14" t="e">
        <f>AND(#REF!,"AAAAAG3+f58=")</f>
        <v>#REF!</v>
      </c>
      <c r="FE14" t="e">
        <f>AND(#REF!,"AAAAAG3+f6A=")</f>
        <v>#REF!</v>
      </c>
      <c r="FF14" t="e">
        <f>AND(#REF!,"AAAAAG3+f6E=")</f>
        <v>#REF!</v>
      </c>
      <c r="FG14" t="e">
        <f>AND(#REF!,"AAAAAG3+f6I=")</f>
        <v>#REF!</v>
      </c>
      <c r="FH14" t="e">
        <f>AND(#REF!,"AAAAAG3+f6M=")</f>
        <v>#REF!</v>
      </c>
      <c r="FI14" t="e">
        <f>AND(#REF!,"AAAAAG3+f6Q=")</f>
        <v>#REF!</v>
      </c>
      <c r="FJ14" t="e">
        <f>AND(#REF!,"AAAAAG3+f6U=")</f>
        <v>#REF!</v>
      </c>
      <c r="FK14" t="e">
        <f>AND(#REF!,"AAAAAG3+f6Y=")</f>
        <v>#REF!</v>
      </c>
      <c r="FL14" t="e">
        <f>AND(#REF!,"AAAAAG3+f6c=")</f>
        <v>#REF!</v>
      </c>
      <c r="FM14" t="e">
        <f>AND(#REF!,"AAAAAG3+f6g=")</f>
        <v>#REF!</v>
      </c>
      <c r="FN14" t="e">
        <f>AND(#REF!,"AAAAAG3+f6k=")</f>
        <v>#REF!</v>
      </c>
      <c r="FO14" t="e">
        <f>AND(#REF!,"AAAAAG3+f6o=")</f>
        <v>#REF!</v>
      </c>
      <c r="FP14" t="e">
        <f>AND(#REF!,"AAAAAG3+f6s=")</f>
        <v>#REF!</v>
      </c>
      <c r="FQ14" t="e">
        <f>AND(#REF!,"AAAAAG3+f6w=")</f>
        <v>#REF!</v>
      </c>
      <c r="FR14" t="e">
        <f>AND(#REF!,"AAAAAG3+f60=")</f>
        <v>#REF!</v>
      </c>
      <c r="FS14" t="e">
        <f>AND(#REF!,"AAAAAG3+f64=")</f>
        <v>#REF!</v>
      </c>
      <c r="FT14" t="e">
        <f>AND(#REF!,"AAAAAG3+f68=")</f>
        <v>#REF!</v>
      </c>
      <c r="FU14" t="e">
        <f>AND(#REF!,"AAAAAG3+f7A=")</f>
        <v>#REF!</v>
      </c>
      <c r="FV14" t="e">
        <f>AND(#REF!,"AAAAAG3+f7E=")</f>
        <v>#REF!</v>
      </c>
      <c r="FW14" t="e">
        <f>AND(#REF!,"AAAAAG3+f7I=")</f>
        <v>#REF!</v>
      </c>
      <c r="FX14" t="e">
        <f>AND(#REF!,"AAAAAG3+f7M=")</f>
        <v>#REF!</v>
      </c>
      <c r="FY14" t="e">
        <f>AND(#REF!,"AAAAAG3+f7Q=")</f>
        <v>#REF!</v>
      </c>
      <c r="FZ14" t="e">
        <f>AND(#REF!,"AAAAAG3+f7U=")</f>
        <v>#REF!</v>
      </c>
      <c r="GA14" t="e">
        <f>AND(#REF!,"AAAAAG3+f7Y=")</f>
        <v>#REF!</v>
      </c>
      <c r="GB14" t="e">
        <f>AND(#REF!,"AAAAAG3+f7c=")</f>
        <v>#REF!</v>
      </c>
      <c r="GC14" t="e">
        <f>AND(#REF!,"AAAAAG3+f7g=")</f>
        <v>#REF!</v>
      </c>
      <c r="GD14" t="e">
        <f>AND(#REF!,"AAAAAG3+f7k=")</f>
        <v>#REF!</v>
      </c>
      <c r="GE14" t="e">
        <f>AND(#REF!,"AAAAAG3+f7o=")</f>
        <v>#REF!</v>
      </c>
      <c r="GF14" t="e">
        <f>AND(#REF!,"AAAAAG3+f7s=")</f>
        <v>#REF!</v>
      </c>
      <c r="GG14" t="e">
        <f>AND(#REF!,"AAAAAG3+f7w=")</f>
        <v>#REF!</v>
      </c>
      <c r="GH14" t="e">
        <f>AND(#REF!,"AAAAAG3+f70=")</f>
        <v>#REF!</v>
      </c>
      <c r="GI14" t="e">
        <f>AND(#REF!,"AAAAAG3+f74=")</f>
        <v>#REF!</v>
      </c>
      <c r="GJ14" t="e">
        <f>AND(#REF!,"AAAAAG3+f78=")</f>
        <v>#REF!</v>
      </c>
      <c r="GK14" t="e">
        <f>AND(#REF!,"AAAAAG3+f8A=")</f>
        <v>#REF!</v>
      </c>
      <c r="GL14" t="e">
        <f>AND(#REF!,"AAAAAG3+f8E=")</f>
        <v>#REF!</v>
      </c>
      <c r="GM14" t="e">
        <f>AND(#REF!,"AAAAAG3+f8I=")</f>
        <v>#REF!</v>
      </c>
      <c r="GN14" t="e">
        <f>AND(#REF!,"AAAAAG3+f8M=")</f>
        <v>#REF!</v>
      </c>
      <c r="GO14" t="e">
        <f>AND(#REF!,"AAAAAG3+f8Q=")</f>
        <v>#REF!</v>
      </c>
      <c r="GP14" t="e">
        <f>AND(#REF!,"AAAAAG3+f8U=")</f>
        <v>#REF!</v>
      </c>
      <c r="GQ14" t="e">
        <f>AND(#REF!,"AAAAAG3+f8Y=")</f>
        <v>#REF!</v>
      </c>
      <c r="GR14" t="e">
        <f>AND(#REF!,"AAAAAG3+f8c=")</f>
        <v>#REF!</v>
      </c>
      <c r="GS14" t="e">
        <f>AND(#REF!,"AAAAAG3+f8g=")</f>
        <v>#REF!</v>
      </c>
      <c r="GT14" t="e">
        <f>AND(#REF!,"AAAAAG3+f8k=")</f>
        <v>#REF!</v>
      </c>
      <c r="GU14" t="e">
        <f>AND(#REF!,"AAAAAG3+f8o=")</f>
        <v>#REF!</v>
      </c>
      <c r="GV14" t="e">
        <f>AND(#REF!,"AAAAAG3+f8s=")</f>
        <v>#REF!</v>
      </c>
      <c r="GW14" t="e">
        <f>AND(#REF!,"AAAAAG3+f8w=")</f>
        <v>#REF!</v>
      </c>
      <c r="GX14" t="e">
        <f>AND(#REF!,"AAAAAG3+f80=")</f>
        <v>#REF!</v>
      </c>
      <c r="GY14" t="e">
        <f>AND(#REF!,"AAAAAG3+f84=")</f>
        <v>#REF!</v>
      </c>
      <c r="GZ14" t="e">
        <f>AND(#REF!,"AAAAAG3+f88=")</f>
        <v>#REF!</v>
      </c>
      <c r="HA14" t="e">
        <f>AND(#REF!,"AAAAAG3+f9A=")</f>
        <v>#REF!</v>
      </c>
      <c r="HB14" t="e">
        <f>AND(#REF!,"AAAAAG3+f9E=")</f>
        <v>#REF!</v>
      </c>
      <c r="HC14" t="e">
        <f>AND(#REF!,"AAAAAG3+f9I=")</f>
        <v>#REF!</v>
      </c>
      <c r="HD14" t="e">
        <f>AND(#REF!,"AAAAAG3+f9M=")</f>
        <v>#REF!</v>
      </c>
      <c r="HE14" t="e">
        <f>AND(#REF!,"AAAAAG3+f9Q=")</f>
        <v>#REF!</v>
      </c>
      <c r="HF14" t="e">
        <f>AND(#REF!,"AAAAAG3+f9U=")</f>
        <v>#REF!</v>
      </c>
      <c r="HG14" t="e">
        <f>AND(#REF!,"AAAAAG3+f9Y=")</f>
        <v>#REF!</v>
      </c>
      <c r="HH14" t="e">
        <f>AND(#REF!,"AAAAAG3+f9c=")</f>
        <v>#REF!</v>
      </c>
      <c r="HI14" t="e">
        <f>AND(#REF!,"AAAAAG3+f9g=")</f>
        <v>#REF!</v>
      </c>
      <c r="HJ14" t="e">
        <f>AND(#REF!,"AAAAAG3+f9k=")</f>
        <v>#REF!</v>
      </c>
      <c r="HK14" t="e">
        <f>AND(#REF!,"AAAAAG3+f9o=")</f>
        <v>#REF!</v>
      </c>
      <c r="HL14" t="e">
        <f>AND(#REF!,"AAAAAG3+f9s=")</f>
        <v>#REF!</v>
      </c>
      <c r="HM14" t="e">
        <f>AND(#REF!,"AAAAAG3+f9w=")</f>
        <v>#REF!</v>
      </c>
      <c r="HN14" t="e">
        <f>AND(#REF!,"AAAAAG3+f90=")</f>
        <v>#REF!</v>
      </c>
      <c r="HO14" t="e">
        <f>AND(#REF!,"AAAAAG3+f94=")</f>
        <v>#REF!</v>
      </c>
      <c r="HP14" t="e">
        <f>AND(#REF!,"AAAAAG3+f98=")</f>
        <v>#REF!</v>
      </c>
      <c r="HQ14" t="e">
        <f>AND(#REF!,"AAAAAG3+f+A=")</f>
        <v>#REF!</v>
      </c>
      <c r="HR14" t="e">
        <f>AND(#REF!,"AAAAAG3+f+E=")</f>
        <v>#REF!</v>
      </c>
      <c r="HS14" t="e">
        <f>AND(#REF!,"AAAAAG3+f+I=")</f>
        <v>#REF!</v>
      </c>
      <c r="HT14" t="e">
        <f>AND(#REF!,"AAAAAG3+f+M=")</f>
        <v>#REF!</v>
      </c>
      <c r="HU14" t="e">
        <f>AND(#REF!,"AAAAAG3+f+Q=")</f>
        <v>#REF!</v>
      </c>
      <c r="HV14" t="e">
        <f>AND(#REF!,"AAAAAG3+f+U=")</f>
        <v>#REF!</v>
      </c>
      <c r="HW14" t="e">
        <f>AND(#REF!,"AAAAAG3+f+Y=")</f>
        <v>#REF!</v>
      </c>
      <c r="HX14" t="e">
        <f>AND(#REF!,"AAAAAG3+f+c=")</f>
        <v>#REF!</v>
      </c>
      <c r="HY14" t="e">
        <f>AND(#REF!,"AAAAAG3+f+g=")</f>
        <v>#REF!</v>
      </c>
      <c r="HZ14" t="e">
        <f>AND(#REF!,"AAAAAG3+f+k=")</f>
        <v>#REF!</v>
      </c>
      <c r="IA14" t="e">
        <f>AND(#REF!,"AAAAAG3+f+o=")</f>
        <v>#REF!</v>
      </c>
      <c r="IB14" t="e">
        <f>AND(#REF!,"AAAAAG3+f+s=")</f>
        <v>#REF!</v>
      </c>
      <c r="IC14" t="e">
        <f>AND(#REF!,"AAAAAG3+f+w=")</f>
        <v>#REF!</v>
      </c>
      <c r="ID14" t="e">
        <f>AND(#REF!,"AAAAAG3+f+0=")</f>
        <v>#REF!</v>
      </c>
      <c r="IE14" t="e">
        <f>AND(#REF!,"AAAAAG3+f+4=")</f>
        <v>#REF!</v>
      </c>
      <c r="IF14" t="e">
        <f>AND(#REF!,"AAAAAG3+f+8=")</f>
        <v>#REF!</v>
      </c>
      <c r="IG14" t="e">
        <f>AND(#REF!,"AAAAAG3+f/A=")</f>
        <v>#REF!</v>
      </c>
      <c r="IH14" t="e">
        <f>AND(#REF!,"AAAAAG3+f/E=")</f>
        <v>#REF!</v>
      </c>
      <c r="II14" t="e">
        <f>AND(#REF!,"AAAAAG3+f/I=")</f>
        <v>#REF!</v>
      </c>
      <c r="IJ14" t="e">
        <f>AND(#REF!,"AAAAAG3+f/M=")</f>
        <v>#REF!</v>
      </c>
      <c r="IK14" t="e">
        <f>AND(#REF!,"AAAAAG3+f/Q=")</f>
        <v>#REF!</v>
      </c>
      <c r="IL14" t="e">
        <f>AND(#REF!,"AAAAAG3+f/U=")</f>
        <v>#REF!</v>
      </c>
      <c r="IM14" t="e">
        <f>AND(#REF!,"AAAAAG3+f/Y=")</f>
        <v>#REF!</v>
      </c>
      <c r="IN14" t="e">
        <f>AND(#REF!,"AAAAAG3+f/c=")</f>
        <v>#REF!</v>
      </c>
      <c r="IO14" t="e">
        <f>AND(#REF!,"AAAAAG3+f/g=")</f>
        <v>#REF!</v>
      </c>
      <c r="IP14" t="e">
        <f>AND(#REF!,"AAAAAG3+f/k=")</f>
        <v>#REF!</v>
      </c>
      <c r="IQ14" t="e">
        <f>AND(#REF!,"AAAAAG3+f/o=")</f>
        <v>#REF!</v>
      </c>
      <c r="IR14" t="e">
        <f>AND(#REF!,"AAAAAG3+f/s=")</f>
        <v>#REF!</v>
      </c>
      <c r="IS14" t="e">
        <f>AND(#REF!,"AAAAAG3+f/w=")</f>
        <v>#REF!</v>
      </c>
      <c r="IT14" t="e">
        <f>AND(#REF!,"AAAAAG3+f/0=")</f>
        <v>#REF!</v>
      </c>
      <c r="IU14" t="e">
        <f>AND(#REF!,"AAAAAG3+f/4=")</f>
        <v>#REF!</v>
      </c>
      <c r="IV14" t="e">
        <f>AND(#REF!,"AAAAAG3+f/8=")</f>
        <v>#REF!</v>
      </c>
    </row>
    <row r="15" spans="1:256">
      <c r="A15" t="e">
        <f>AND(#REF!,"AAAAAHiz/AA=")</f>
        <v>#REF!</v>
      </c>
      <c r="B15" t="e">
        <f>AND(#REF!,"AAAAAHiz/AE=")</f>
        <v>#REF!</v>
      </c>
      <c r="C15" t="e">
        <f>AND(#REF!,"AAAAAHiz/AI=")</f>
        <v>#REF!</v>
      </c>
      <c r="D15" t="e">
        <f>AND(#REF!,"AAAAAHiz/AM=")</f>
        <v>#REF!</v>
      </c>
      <c r="E15" t="e">
        <f>AND(#REF!,"AAAAAHiz/AQ=")</f>
        <v>#REF!</v>
      </c>
      <c r="F15" t="e">
        <f>AND(#REF!,"AAAAAHiz/AU=")</f>
        <v>#REF!</v>
      </c>
      <c r="G15" t="e">
        <f>AND(#REF!,"AAAAAHiz/AY=")</f>
        <v>#REF!</v>
      </c>
      <c r="H15" t="e">
        <f>AND(#REF!,"AAAAAHiz/Ac=")</f>
        <v>#REF!</v>
      </c>
      <c r="I15" t="e">
        <f>AND(#REF!,"AAAAAHiz/Ag=")</f>
        <v>#REF!</v>
      </c>
      <c r="J15" t="e">
        <f>AND(#REF!,"AAAAAHiz/Ak=")</f>
        <v>#REF!</v>
      </c>
      <c r="K15" t="e">
        <f>AND(#REF!,"AAAAAHiz/Ao=")</f>
        <v>#REF!</v>
      </c>
      <c r="L15" t="e">
        <f>AND(#REF!,"AAAAAHiz/As=")</f>
        <v>#REF!</v>
      </c>
      <c r="M15" t="e">
        <f>AND(#REF!,"AAAAAHiz/Aw=")</f>
        <v>#REF!</v>
      </c>
      <c r="N15" t="e">
        <f>AND(#REF!,"AAAAAHiz/A0=")</f>
        <v>#REF!</v>
      </c>
      <c r="O15" t="e">
        <f>AND(#REF!,"AAAAAHiz/A4=")</f>
        <v>#REF!</v>
      </c>
      <c r="P15" t="e">
        <f>AND(#REF!,"AAAAAHiz/A8=")</f>
        <v>#REF!</v>
      </c>
      <c r="Q15" t="e">
        <f>AND(#REF!,"AAAAAHiz/BA=")</f>
        <v>#REF!</v>
      </c>
      <c r="R15" t="e">
        <f>AND(#REF!,"AAAAAHiz/BE=")</f>
        <v>#REF!</v>
      </c>
      <c r="S15" t="e">
        <f>AND(#REF!,"AAAAAHiz/BI=")</f>
        <v>#REF!</v>
      </c>
      <c r="T15" t="e">
        <f>AND(#REF!,"AAAAAHiz/BM=")</f>
        <v>#REF!</v>
      </c>
      <c r="U15" t="e">
        <f>AND(#REF!,"AAAAAHiz/BQ=")</f>
        <v>#REF!</v>
      </c>
      <c r="V15" t="e">
        <f>AND(#REF!,"AAAAAHiz/BU=")</f>
        <v>#REF!</v>
      </c>
      <c r="W15" t="e">
        <f>AND(#REF!,"AAAAAHiz/BY=")</f>
        <v>#REF!</v>
      </c>
      <c r="X15" t="e">
        <f>AND(#REF!,"AAAAAHiz/Bc=")</f>
        <v>#REF!</v>
      </c>
      <c r="Y15" t="e">
        <f>AND(#REF!,"AAAAAHiz/Bg=")</f>
        <v>#REF!</v>
      </c>
      <c r="Z15" t="e">
        <f>AND(#REF!,"AAAAAHiz/Bk=")</f>
        <v>#REF!</v>
      </c>
      <c r="AA15" t="e">
        <f>AND(#REF!,"AAAAAHiz/Bo=")</f>
        <v>#REF!</v>
      </c>
      <c r="AB15" t="e">
        <f>AND(#REF!,"AAAAAHiz/Bs=")</f>
        <v>#REF!</v>
      </c>
      <c r="AC15" t="e">
        <f>AND(#REF!,"AAAAAHiz/Bw=")</f>
        <v>#REF!</v>
      </c>
      <c r="AD15" t="e">
        <f>AND(#REF!,"AAAAAHiz/B0=")</f>
        <v>#REF!</v>
      </c>
      <c r="AE15" t="e">
        <f>AND(#REF!,"AAAAAHiz/B4=")</f>
        <v>#REF!</v>
      </c>
      <c r="AF15" t="e">
        <f>AND(#REF!,"AAAAAHiz/B8=")</f>
        <v>#REF!</v>
      </c>
      <c r="AG15" t="e">
        <f>AND(#REF!,"AAAAAHiz/CA=")</f>
        <v>#REF!</v>
      </c>
      <c r="AH15" t="e">
        <f>AND(#REF!,"AAAAAHiz/CE=")</f>
        <v>#REF!</v>
      </c>
      <c r="AI15" t="e">
        <f>AND(#REF!,"AAAAAHiz/CI=")</f>
        <v>#REF!</v>
      </c>
      <c r="AJ15" t="e">
        <f>AND(#REF!,"AAAAAHiz/CM=")</f>
        <v>#REF!</v>
      </c>
      <c r="AK15" t="e">
        <f>AND(#REF!,"AAAAAHiz/CQ=")</f>
        <v>#REF!</v>
      </c>
      <c r="AL15" t="e">
        <f>AND(#REF!,"AAAAAHiz/CU=")</f>
        <v>#REF!</v>
      </c>
      <c r="AM15" t="e">
        <f>AND(#REF!,"AAAAAHiz/CY=")</f>
        <v>#REF!</v>
      </c>
      <c r="AN15" t="e">
        <f>AND(#REF!,"AAAAAHiz/Cc=")</f>
        <v>#REF!</v>
      </c>
      <c r="AO15" t="e">
        <f>AND(#REF!,"AAAAAHiz/Cg=")</f>
        <v>#REF!</v>
      </c>
      <c r="AP15" t="e">
        <f>AND(#REF!,"AAAAAHiz/Ck=")</f>
        <v>#REF!</v>
      </c>
      <c r="AQ15" t="e">
        <f>AND(#REF!,"AAAAAHiz/Co=")</f>
        <v>#REF!</v>
      </c>
      <c r="AR15" t="e">
        <f>AND(#REF!,"AAAAAHiz/Cs=")</f>
        <v>#REF!</v>
      </c>
      <c r="AS15" t="e">
        <f>AND(#REF!,"AAAAAHiz/Cw=")</f>
        <v>#REF!</v>
      </c>
      <c r="AT15" t="e">
        <f>AND(#REF!,"AAAAAHiz/C0=")</f>
        <v>#REF!</v>
      </c>
      <c r="AU15" t="e">
        <f>AND(#REF!,"AAAAAHiz/C4=")</f>
        <v>#REF!</v>
      </c>
      <c r="AV15" t="e">
        <f>AND(#REF!,"AAAAAHiz/C8=")</f>
        <v>#REF!</v>
      </c>
      <c r="AW15" t="e">
        <f>AND(#REF!,"AAAAAHiz/DA=")</f>
        <v>#REF!</v>
      </c>
      <c r="AX15" t="e">
        <f>AND(#REF!,"AAAAAHiz/DE=")</f>
        <v>#REF!</v>
      </c>
      <c r="AY15" t="e">
        <f>AND(#REF!,"AAAAAHiz/DI=")</f>
        <v>#REF!</v>
      </c>
      <c r="AZ15" t="e">
        <f>AND(#REF!,"AAAAAHiz/DM=")</f>
        <v>#REF!</v>
      </c>
      <c r="BA15" t="e">
        <f>AND(#REF!,"AAAAAHiz/DQ=")</f>
        <v>#REF!</v>
      </c>
      <c r="BB15" t="e">
        <f>AND(#REF!,"AAAAAHiz/DU=")</f>
        <v>#REF!</v>
      </c>
      <c r="BC15" t="e">
        <f>AND(#REF!,"AAAAAHiz/DY=")</f>
        <v>#REF!</v>
      </c>
      <c r="BD15" t="e">
        <f>AND(#REF!,"AAAAAHiz/Dc=")</f>
        <v>#REF!</v>
      </c>
      <c r="BE15" t="e">
        <f>AND(#REF!,"AAAAAHiz/Dg=")</f>
        <v>#REF!</v>
      </c>
      <c r="BF15" t="e">
        <f>AND(#REF!,"AAAAAHiz/Dk=")</f>
        <v>#REF!</v>
      </c>
      <c r="BG15" t="e">
        <f>AND(#REF!,"AAAAAHiz/Do=")</f>
        <v>#REF!</v>
      </c>
      <c r="BH15" t="e">
        <f>AND(#REF!,"AAAAAHiz/Ds=")</f>
        <v>#REF!</v>
      </c>
      <c r="BI15" t="e">
        <f>AND(#REF!,"AAAAAHiz/Dw=")</f>
        <v>#REF!</v>
      </c>
      <c r="BJ15" t="e">
        <f>AND(#REF!,"AAAAAHiz/D0=")</f>
        <v>#REF!</v>
      </c>
      <c r="BK15" t="e">
        <f>AND(#REF!,"AAAAAHiz/D4=")</f>
        <v>#REF!</v>
      </c>
      <c r="BL15" t="e">
        <f>AND(#REF!,"AAAAAHiz/D8=")</f>
        <v>#REF!</v>
      </c>
      <c r="BM15" t="e">
        <f>AND(#REF!,"AAAAAHiz/EA=")</f>
        <v>#REF!</v>
      </c>
      <c r="BN15" t="e">
        <f>AND(#REF!,"AAAAAHiz/EE=")</f>
        <v>#REF!</v>
      </c>
      <c r="BO15" t="e">
        <f>AND(#REF!,"AAAAAHiz/EI=")</f>
        <v>#REF!</v>
      </c>
      <c r="BP15" t="e">
        <f>AND(#REF!,"AAAAAHiz/EM=")</f>
        <v>#REF!</v>
      </c>
      <c r="BQ15" t="e">
        <f>AND(#REF!,"AAAAAHiz/EQ=")</f>
        <v>#REF!</v>
      </c>
      <c r="BR15" t="e">
        <f>AND(#REF!,"AAAAAHiz/EU=")</f>
        <v>#REF!</v>
      </c>
      <c r="BS15" t="e">
        <f>AND(#REF!,"AAAAAHiz/EY=")</f>
        <v>#REF!</v>
      </c>
      <c r="BT15" t="e">
        <f>AND(#REF!,"AAAAAHiz/Ec=")</f>
        <v>#REF!</v>
      </c>
      <c r="BU15" t="e">
        <f>AND(#REF!,"AAAAAHiz/Eg=")</f>
        <v>#REF!</v>
      </c>
      <c r="BV15" t="e">
        <f>AND(#REF!,"AAAAAHiz/Ek=")</f>
        <v>#REF!</v>
      </c>
      <c r="BW15" t="e">
        <f>AND(#REF!,"AAAAAHiz/Eo=")</f>
        <v>#REF!</v>
      </c>
      <c r="BX15" t="e">
        <f>AND(#REF!,"AAAAAHiz/Es=")</f>
        <v>#REF!</v>
      </c>
      <c r="BY15" t="e">
        <f>AND(#REF!,"AAAAAHiz/Ew=")</f>
        <v>#REF!</v>
      </c>
      <c r="BZ15" t="e">
        <f>AND(#REF!,"AAAAAHiz/E0=")</f>
        <v>#REF!</v>
      </c>
      <c r="CA15" t="e">
        <f>AND(#REF!,"AAAAAHiz/E4=")</f>
        <v>#REF!</v>
      </c>
      <c r="CB15" t="e">
        <f>AND(#REF!,"AAAAAHiz/E8=")</f>
        <v>#REF!</v>
      </c>
      <c r="CC15" t="e">
        <f>AND(#REF!,"AAAAAHiz/FA=")</f>
        <v>#REF!</v>
      </c>
      <c r="CD15" t="e">
        <f>AND(#REF!,"AAAAAHiz/FE=")</f>
        <v>#REF!</v>
      </c>
      <c r="CE15" t="e">
        <f>AND(#REF!,"AAAAAHiz/FI=")</f>
        <v>#REF!</v>
      </c>
      <c r="CF15" t="e">
        <f>AND(#REF!,"AAAAAHiz/FM=")</f>
        <v>#REF!</v>
      </c>
      <c r="CG15" t="e">
        <f>AND(#REF!,"AAAAAHiz/FQ=")</f>
        <v>#REF!</v>
      </c>
      <c r="CH15" t="e">
        <f>AND(#REF!,"AAAAAHiz/FU=")</f>
        <v>#REF!</v>
      </c>
      <c r="CI15" t="e">
        <f>AND(#REF!,"AAAAAHiz/FY=")</f>
        <v>#REF!</v>
      </c>
      <c r="CJ15" t="e">
        <f>AND(#REF!,"AAAAAHiz/Fc=")</f>
        <v>#REF!</v>
      </c>
      <c r="CK15" t="e">
        <f>AND(#REF!,"AAAAAHiz/Fg=")</f>
        <v>#REF!</v>
      </c>
      <c r="CL15" t="e">
        <f>AND(#REF!,"AAAAAHiz/Fk=")</f>
        <v>#REF!</v>
      </c>
      <c r="CM15" t="e">
        <f>AND(#REF!,"AAAAAHiz/Fo=")</f>
        <v>#REF!</v>
      </c>
      <c r="CN15" t="e">
        <f>AND(#REF!,"AAAAAHiz/Fs=")</f>
        <v>#REF!</v>
      </c>
      <c r="CO15" t="e">
        <f>AND(#REF!,"AAAAAHiz/Fw=")</f>
        <v>#REF!</v>
      </c>
      <c r="CP15" t="e">
        <f>AND(#REF!,"AAAAAHiz/F0=")</f>
        <v>#REF!</v>
      </c>
      <c r="CQ15" t="e">
        <f>AND(#REF!,"AAAAAHiz/F4=")</f>
        <v>#REF!</v>
      </c>
      <c r="CR15" t="e">
        <f>AND(#REF!,"AAAAAHiz/F8=")</f>
        <v>#REF!</v>
      </c>
      <c r="CS15" t="e">
        <f>AND(#REF!,"AAAAAHiz/GA=")</f>
        <v>#REF!</v>
      </c>
      <c r="CT15" t="e">
        <f>AND(#REF!,"AAAAAHiz/GE=")</f>
        <v>#REF!</v>
      </c>
      <c r="CU15" t="e">
        <f>AND(#REF!,"AAAAAHiz/GI=")</f>
        <v>#REF!</v>
      </c>
      <c r="CV15" t="e">
        <f>AND(#REF!,"AAAAAHiz/GM=")</f>
        <v>#REF!</v>
      </c>
      <c r="CW15" t="e">
        <f>AND(#REF!,"AAAAAHiz/GQ=")</f>
        <v>#REF!</v>
      </c>
      <c r="CX15" t="e">
        <f>AND(#REF!,"AAAAAHiz/GU=")</f>
        <v>#REF!</v>
      </c>
      <c r="CY15" t="e">
        <f>AND(#REF!,"AAAAAHiz/GY=")</f>
        <v>#REF!</v>
      </c>
      <c r="CZ15" t="e">
        <f>AND(#REF!,"AAAAAHiz/Gc=")</f>
        <v>#REF!</v>
      </c>
      <c r="DA15" t="e">
        <f>AND(#REF!,"AAAAAHiz/Gg=")</f>
        <v>#REF!</v>
      </c>
      <c r="DB15" t="e">
        <f>AND(#REF!,"AAAAAHiz/Gk=")</f>
        <v>#REF!</v>
      </c>
      <c r="DC15" t="e">
        <f>AND(#REF!,"AAAAAHiz/Go=")</f>
        <v>#REF!</v>
      </c>
      <c r="DD15" t="e">
        <f>AND(#REF!,"AAAAAHiz/Gs=")</f>
        <v>#REF!</v>
      </c>
      <c r="DE15" t="e">
        <f>AND(#REF!,"AAAAAHiz/Gw=")</f>
        <v>#REF!</v>
      </c>
      <c r="DF15" t="e">
        <f>AND(#REF!,"AAAAAHiz/G0=")</f>
        <v>#REF!</v>
      </c>
      <c r="DG15" t="e">
        <f>AND(#REF!,"AAAAAHiz/G4=")</f>
        <v>#REF!</v>
      </c>
      <c r="DH15" t="e">
        <f>AND(#REF!,"AAAAAHiz/G8=")</f>
        <v>#REF!</v>
      </c>
      <c r="DI15" t="e">
        <f>AND(#REF!,"AAAAAHiz/HA=")</f>
        <v>#REF!</v>
      </c>
      <c r="DJ15" t="e">
        <f>AND(#REF!,"AAAAAHiz/HE=")</f>
        <v>#REF!</v>
      </c>
      <c r="DK15" t="e">
        <f>AND(#REF!,"AAAAAHiz/HI=")</f>
        <v>#REF!</v>
      </c>
      <c r="DL15" t="e">
        <f>AND(#REF!,"AAAAAHiz/HM=")</f>
        <v>#REF!</v>
      </c>
      <c r="DM15" t="e">
        <f>AND(#REF!,"AAAAAHiz/HQ=")</f>
        <v>#REF!</v>
      </c>
      <c r="DN15" t="e">
        <f>AND(#REF!,"AAAAAHiz/HU=")</f>
        <v>#REF!</v>
      </c>
      <c r="DO15" t="e">
        <f>AND(#REF!,"AAAAAHiz/HY=")</f>
        <v>#REF!</v>
      </c>
      <c r="DP15" t="e">
        <f>AND(#REF!,"AAAAAHiz/Hc=")</f>
        <v>#REF!</v>
      </c>
      <c r="DQ15" t="e">
        <f>AND(#REF!,"AAAAAHiz/Hg=")</f>
        <v>#REF!</v>
      </c>
      <c r="DR15" t="e">
        <f>AND(#REF!,"AAAAAHiz/Hk=")</f>
        <v>#REF!</v>
      </c>
      <c r="DS15" t="e">
        <f>AND(#REF!,"AAAAAHiz/Ho=")</f>
        <v>#REF!</v>
      </c>
      <c r="DT15" t="e">
        <f>AND(#REF!,"AAAAAHiz/Hs=")</f>
        <v>#REF!</v>
      </c>
      <c r="DU15" t="e">
        <f>AND(#REF!,"AAAAAHiz/Hw=")</f>
        <v>#REF!</v>
      </c>
      <c r="DV15" t="e">
        <f>AND(#REF!,"AAAAAHiz/H0=")</f>
        <v>#REF!</v>
      </c>
      <c r="DW15" t="e">
        <f>AND(#REF!,"AAAAAHiz/H4=")</f>
        <v>#REF!</v>
      </c>
      <c r="DX15" t="e">
        <f>AND(#REF!,"AAAAAHiz/H8=")</f>
        <v>#REF!</v>
      </c>
      <c r="DY15" t="e">
        <f>AND(#REF!,"AAAAAHiz/IA=")</f>
        <v>#REF!</v>
      </c>
      <c r="DZ15" t="e">
        <f>AND(#REF!,"AAAAAHiz/IE=")</f>
        <v>#REF!</v>
      </c>
      <c r="EA15" t="e">
        <f>AND(#REF!,"AAAAAHiz/II=")</f>
        <v>#REF!</v>
      </c>
      <c r="EB15" t="e">
        <f>AND(#REF!,"AAAAAHiz/IM=")</f>
        <v>#REF!</v>
      </c>
      <c r="EC15" t="e">
        <f>AND(#REF!,"AAAAAHiz/IQ=")</f>
        <v>#REF!</v>
      </c>
      <c r="ED15" t="e">
        <f>AND(#REF!,"AAAAAHiz/IU=")</f>
        <v>#REF!</v>
      </c>
      <c r="EE15" t="e">
        <f>AND(#REF!,"AAAAAHiz/IY=")</f>
        <v>#REF!</v>
      </c>
      <c r="EF15" t="e">
        <f>AND(#REF!,"AAAAAHiz/Ic=")</f>
        <v>#REF!</v>
      </c>
      <c r="EG15" t="e">
        <f>AND(#REF!,"AAAAAHiz/Ig=")</f>
        <v>#REF!</v>
      </c>
      <c r="EH15" t="e">
        <f>AND(#REF!,"AAAAAHiz/Ik=")</f>
        <v>#REF!</v>
      </c>
      <c r="EI15" t="e">
        <f>AND(#REF!,"AAAAAHiz/Io=")</f>
        <v>#REF!</v>
      </c>
      <c r="EJ15" t="e">
        <f>AND(#REF!,"AAAAAHiz/Is=")</f>
        <v>#REF!</v>
      </c>
      <c r="EK15" t="e">
        <f>AND(#REF!,"AAAAAHiz/Iw=")</f>
        <v>#REF!</v>
      </c>
      <c r="EL15" t="e">
        <f>AND(#REF!,"AAAAAHiz/I0=")</f>
        <v>#REF!</v>
      </c>
      <c r="EM15" t="e">
        <f>AND(#REF!,"AAAAAHiz/I4=")</f>
        <v>#REF!</v>
      </c>
      <c r="EN15" t="e">
        <f>AND(#REF!,"AAAAAHiz/I8=")</f>
        <v>#REF!</v>
      </c>
      <c r="EO15" t="e">
        <f>AND(#REF!,"AAAAAHiz/JA=")</f>
        <v>#REF!</v>
      </c>
      <c r="EP15" t="e">
        <f>AND(#REF!,"AAAAAHiz/JE=")</f>
        <v>#REF!</v>
      </c>
      <c r="EQ15" t="e">
        <f>AND(#REF!,"AAAAAHiz/JI=")</f>
        <v>#REF!</v>
      </c>
      <c r="ER15" t="e">
        <f>AND(#REF!,"AAAAAHiz/JM=")</f>
        <v>#REF!</v>
      </c>
      <c r="ES15" t="e">
        <f>AND(#REF!,"AAAAAHiz/JQ=")</f>
        <v>#REF!</v>
      </c>
      <c r="ET15" t="e">
        <f>AND(#REF!,"AAAAAHiz/JU=")</f>
        <v>#REF!</v>
      </c>
      <c r="EU15" t="e">
        <f>AND(#REF!,"AAAAAHiz/JY=")</f>
        <v>#REF!</v>
      </c>
      <c r="EV15" t="e">
        <f>AND(#REF!,"AAAAAHiz/Jc=")</f>
        <v>#REF!</v>
      </c>
      <c r="EW15" t="e">
        <f>AND(#REF!,"AAAAAHiz/Jg=")</f>
        <v>#REF!</v>
      </c>
      <c r="EX15" t="e">
        <f>AND(#REF!,"AAAAAHiz/Jk=")</f>
        <v>#REF!</v>
      </c>
      <c r="EY15" t="e">
        <f>AND(#REF!,"AAAAAHiz/Jo=")</f>
        <v>#REF!</v>
      </c>
      <c r="EZ15" t="e">
        <f>AND(#REF!,"AAAAAHiz/Js=")</f>
        <v>#REF!</v>
      </c>
      <c r="FA15" t="e">
        <f>AND(#REF!,"AAAAAHiz/Jw=")</f>
        <v>#REF!</v>
      </c>
      <c r="FB15" t="e">
        <f>AND(#REF!,"AAAAAHiz/J0=")</f>
        <v>#REF!</v>
      </c>
      <c r="FC15" t="e">
        <f>AND(#REF!,"AAAAAHiz/J4=")</f>
        <v>#REF!</v>
      </c>
      <c r="FD15" t="e">
        <f>AND(#REF!,"AAAAAHiz/J8=")</f>
        <v>#REF!</v>
      </c>
      <c r="FE15" t="e">
        <f>AND(#REF!,"AAAAAHiz/KA=")</f>
        <v>#REF!</v>
      </c>
      <c r="FF15" t="e">
        <f>AND(#REF!,"AAAAAHiz/KE=")</f>
        <v>#REF!</v>
      </c>
      <c r="FG15" t="e">
        <f>AND(#REF!,"AAAAAHiz/KI=")</f>
        <v>#REF!</v>
      </c>
      <c r="FH15" t="e">
        <f>AND(#REF!,"AAAAAHiz/KM=")</f>
        <v>#REF!</v>
      </c>
      <c r="FI15" t="e">
        <f>AND(#REF!,"AAAAAHiz/KQ=")</f>
        <v>#REF!</v>
      </c>
      <c r="FJ15" t="e">
        <f>AND(#REF!,"AAAAAHiz/KU=")</f>
        <v>#REF!</v>
      </c>
      <c r="FK15" t="e">
        <f>AND(#REF!,"AAAAAHiz/KY=")</f>
        <v>#REF!</v>
      </c>
      <c r="FL15" t="e">
        <f>AND(#REF!,"AAAAAHiz/Kc=")</f>
        <v>#REF!</v>
      </c>
      <c r="FM15" t="e">
        <f>AND(#REF!,"AAAAAHiz/Kg=")</f>
        <v>#REF!</v>
      </c>
      <c r="FN15" t="e">
        <f>AND(#REF!,"AAAAAHiz/Kk=")</f>
        <v>#REF!</v>
      </c>
      <c r="FO15" t="e">
        <f>AND(#REF!,"AAAAAHiz/Ko=")</f>
        <v>#REF!</v>
      </c>
      <c r="FP15" t="e">
        <f>AND(#REF!,"AAAAAHiz/Ks=")</f>
        <v>#REF!</v>
      </c>
      <c r="FQ15" t="e">
        <f>AND(#REF!,"AAAAAHiz/Kw=")</f>
        <v>#REF!</v>
      </c>
      <c r="FR15" t="e">
        <f>AND(#REF!,"AAAAAHiz/K0=")</f>
        <v>#REF!</v>
      </c>
      <c r="FS15" t="e">
        <f>AND(#REF!,"AAAAAHiz/K4=")</f>
        <v>#REF!</v>
      </c>
      <c r="FT15" t="e">
        <f>AND(#REF!,"AAAAAHiz/K8=")</f>
        <v>#REF!</v>
      </c>
      <c r="FU15" t="e">
        <f>AND(#REF!,"AAAAAHiz/LA=")</f>
        <v>#REF!</v>
      </c>
      <c r="FV15" t="e">
        <f>AND(#REF!,"AAAAAHiz/LE=")</f>
        <v>#REF!</v>
      </c>
      <c r="FW15" t="e">
        <f>AND(#REF!,"AAAAAHiz/LI=")</f>
        <v>#REF!</v>
      </c>
      <c r="FX15" t="e">
        <f>AND(#REF!,"AAAAAHiz/LM=")</f>
        <v>#REF!</v>
      </c>
      <c r="FY15" t="e">
        <f>AND(#REF!,"AAAAAHiz/LQ=")</f>
        <v>#REF!</v>
      </c>
      <c r="FZ15" t="e">
        <f>AND(#REF!,"AAAAAHiz/LU=")</f>
        <v>#REF!</v>
      </c>
      <c r="GA15" t="e">
        <f>AND(#REF!,"AAAAAHiz/LY=")</f>
        <v>#REF!</v>
      </c>
      <c r="GB15" t="e">
        <f>AND(#REF!,"AAAAAHiz/Lc=")</f>
        <v>#REF!</v>
      </c>
      <c r="GC15" t="e">
        <f>AND(#REF!,"AAAAAHiz/Lg=")</f>
        <v>#REF!</v>
      </c>
      <c r="GD15" t="e">
        <f>AND(#REF!,"AAAAAHiz/Lk=")</f>
        <v>#REF!</v>
      </c>
      <c r="GE15" t="e">
        <f>AND(#REF!,"AAAAAHiz/Lo=")</f>
        <v>#REF!</v>
      </c>
      <c r="GF15" t="e">
        <f>AND(#REF!,"AAAAAHiz/Ls=")</f>
        <v>#REF!</v>
      </c>
      <c r="GG15" t="e">
        <f>AND(#REF!,"AAAAAHiz/Lw=")</f>
        <v>#REF!</v>
      </c>
      <c r="GH15" t="e">
        <f>AND(#REF!,"AAAAAHiz/L0=")</f>
        <v>#REF!</v>
      </c>
      <c r="GI15" t="e">
        <f>AND(#REF!,"AAAAAHiz/L4=")</f>
        <v>#REF!</v>
      </c>
      <c r="GJ15" t="e">
        <f>AND(#REF!,"AAAAAHiz/L8=")</f>
        <v>#REF!</v>
      </c>
      <c r="GK15" t="e">
        <f>AND(#REF!,"AAAAAHiz/MA=")</f>
        <v>#REF!</v>
      </c>
      <c r="GL15" t="e">
        <f>AND(#REF!,"AAAAAHiz/ME=")</f>
        <v>#REF!</v>
      </c>
      <c r="GM15" t="e">
        <f>AND(#REF!,"AAAAAHiz/MI=")</f>
        <v>#REF!</v>
      </c>
      <c r="GN15" t="e">
        <f>AND(#REF!,"AAAAAHiz/MM=")</f>
        <v>#REF!</v>
      </c>
      <c r="GO15" t="e">
        <f>AND(#REF!,"AAAAAHiz/MQ=")</f>
        <v>#REF!</v>
      </c>
      <c r="GP15" t="e">
        <f>AND(#REF!,"AAAAAHiz/MU=")</f>
        <v>#REF!</v>
      </c>
      <c r="GQ15" t="e">
        <f>AND(#REF!,"AAAAAHiz/MY=")</f>
        <v>#REF!</v>
      </c>
      <c r="GR15" t="e">
        <f>AND(#REF!,"AAAAAHiz/Mc=")</f>
        <v>#REF!</v>
      </c>
      <c r="GS15" t="e">
        <f>AND(#REF!,"AAAAAHiz/Mg=")</f>
        <v>#REF!</v>
      </c>
      <c r="GT15" t="e">
        <f>AND(#REF!,"AAAAAHiz/Mk=")</f>
        <v>#REF!</v>
      </c>
      <c r="GU15" t="e">
        <f>AND(#REF!,"AAAAAHiz/Mo=")</f>
        <v>#REF!</v>
      </c>
      <c r="GV15" t="e">
        <f>AND(#REF!,"AAAAAHiz/Ms=")</f>
        <v>#REF!</v>
      </c>
      <c r="GW15" t="e">
        <f>AND(#REF!,"AAAAAHiz/Mw=")</f>
        <v>#REF!</v>
      </c>
      <c r="GX15" t="e">
        <f>AND(#REF!,"AAAAAHiz/M0=")</f>
        <v>#REF!</v>
      </c>
      <c r="GY15" t="e">
        <f>AND(#REF!,"AAAAAHiz/M4=")</f>
        <v>#REF!</v>
      </c>
      <c r="GZ15" t="e">
        <f>AND(#REF!,"AAAAAHiz/M8=")</f>
        <v>#REF!</v>
      </c>
      <c r="HA15" t="e">
        <f>AND(#REF!,"AAAAAHiz/NA=")</f>
        <v>#REF!</v>
      </c>
      <c r="HB15" t="e">
        <f>AND(#REF!,"AAAAAHiz/NE=")</f>
        <v>#REF!</v>
      </c>
      <c r="HC15" t="e">
        <f>AND(#REF!,"AAAAAHiz/NI=")</f>
        <v>#REF!</v>
      </c>
      <c r="HD15" t="e">
        <f>AND(#REF!,"AAAAAHiz/NM=")</f>
        <v>#REF!</v>
      </c>
      <c r="HE15" t="e">
        <f>AND(#REF!,"AAAAAHiz/NQ=")</f>
        <v>#REF!</v>
      </c>
      <c r="HF15" t="e">
        <f>AND(#REF!,"AAAAAHiz/NU=")</f>
        <v>#REF!</v>
      </c>
      <c r="HG15" t="e">
        <f>AND(#REF!,"AAAAAHiz/NY=")</f>
        <v>#REF!</v>
      </c>
      <c r="HH15" t="e">
        <f>AND(#REF!,"AAAAAHiz/Nc=")</f>
        <v>#REF!</v>
      </c>
      <c r="HI15" t="e">
        <f>AND(#REF!,"AAAAAHiz/Ng=")</f>
        <v>#REF!</v>
      </c>
      <c r="HJ15" t="e">
        <f>AND(#REF!,"AAAAAHiz/Nk=")</f>
        <v>#REF!</v>
      </c>
      <c r="HK15" t="e">
        <f>AND(#REF!,"AAAAAHiz/No=")</f>
        <v>#REF!</v>
      </c>
      <c r="HL15" t="e">
        <f>AND(#REF!,"AAAAAHiz/Ns=")</f>
        <v>#REF!</v>
      </c>
      <c r="HM15" t="e">
        <f>AND(#REF!,"AAAAAHiz/Nw=")</f>
        <v>#REF!</v>
      </c>
      <c r="HN15" t="e">
        <f>AND(#REF!,"AAAAAHiz/N0=")</f>
        <v>#REF!</v>
      </c>
      <c r="HO15" t="e">
        <f>AND(#REF!,"AAAAAHiz/N4=")</f>
        <v>#REF!</v>
      </c>
      <c r="HP15" t="e">
        <f>AND(#REF!,"AAAAAHiz/N8=")</f>
        <v>#REF!</v>
      </c>
      <c r="HQ15" t="e">
        <f>AND(#REF!,"AAAAAHiz/OA=")</f>
        <v>#REF!</v>
      </c>
      <c r="HR15" t="e">
        <f>AND(#REF!,"AAAAAHiz/OE=")</f>
        <v>#REF!</v>
      </c>
      <c r="HS15" t="e">
        <f>AND(#REF!,"AAAAAHiz/OI=")</f>
        <v>#REF!</v>
      </c>
      <c r="HT15" t="e">
        <f>AND(#REF!,"AAAAAHiz/OM=")</f>
        <v>#REF!</v>
      </c>
      <c r="HU15" t="e">
        <f>AND(#REF!,"AAAAAHiz/OQ=")</f>
        <v>#REF!</v>
      </c>
      <c r="HV15" t="e">
        <f>AND(#REF!,"AAAAAHiz/OU=")</f>
        <v>#REF!</v>
      </c>
      <c r="HW15" t="e">
        <f>AND(#REF!,"AAAAAHiz/OY=")</f>
        <v>#REF!</v>
      </c>
      <c r="HX15" t="e">
        <f>AND(#REF!,"AAAAAHiz/Oc=")</f>
        <v>#REF!</v>
      </c>
      <c r="HY15" t="e">
        <f>AND(#REF!,"AAAAAHiz/Og=")</f>
        <v>#REF!</v>
      </c>
      <c r="HZ15" t="e">
        <f>AND(#REF!,"AAAAAHiz/Ok=")</f>
        <v>#REF!</v>
      </c>
      <c r="IA15" t="e">
        <f>AND(#REF!,"AAAAAHiz/Oo=")</f>
        <v>#REF!</v>
      </c>
      <c r="IB15" t="e">
        <f>AND(#REF!,"AAAAAHiz/Os=")</f>
        <v>#REF!</v>
      </c>
      <c r="IC15" t="e">
        <f>AND(#REF!,"AAAAAHiz/Ow=")</f>
        <v>#REF!</v>
      </c>
      <c r="ID15" t="e">
        <f>AND(#REF!,"AAAAAHiz/O0=")</f>
        <v>#REF!</v>
      </c>
      <c r="IE15" t="e">
        <f>AND(#REF!,"AAAAAHiz/O4=")</f>
        <v>#REF!</v>
      </c>
      <c r="IF15" t="e">
        <f>AND(#REF!,"AAAAAHiz/O8=")</f>
        <v>#REF!</v>
      </c>
      <c r="IG15" t="e">
        <f>AND(#REF!,"AAAAAHiz/PA=")</f>
        <v>#REF!</v>
      </c>
      <c r="IH15" t="e">
        <f>AND(#REF!,"AAAAAHiz/PE=")</f>
        <v>#REF!</v>
      </c>
      <c r="II15" t="e">
        <f>AND(#REF!,"AAAAAHiz/PI=")</f>
        <v>#REF!</v>
      </c>
      <c r="IJ15" t="e">
        <f>AND(#REF!,"AAAAAHiz/PM=")</f>
        <v>#REF!</v>
      </c>
      <c r="IK15" t="e">
        <f>AND(#REF!,"AAAAAHiz/PQ=")</f>
        <v>#REF!</v>
      </c>
      <c r="IL15" t="e">
        <f>AND(#REF!,"AAAAAHiz/PU=")</f>
        <v>#REF!</v>
      </c>
      <c r="IM15" t="e">
        <f>AND(#REF!,"AAAAAHiz/PY=")</f>
        <v>#REF!</v>
      </c>
      <c r="IN15" t="e">
        <f>AND(#REF!,"AAAAAHiz/Pc=")</f>
        <v>#REF!</v>
      </c>
      <c r="IO15" t="e">
        <f>AND(#REF!,"AAAAAHiz/Pg=")</f>
        <v>#REF!</v>
      </c>
      <c r="IP15" t="e">
        <f>AND(#REF!,"AAAAAHiz/Pk=")</f>
        <v>#REF!</v>
      </c>
      <c r="IQ15" t="e">
        <f>AND(#REF!,"AAAAAHiz/Po=")</f>
        <v>#REF!</v>
      </c>
      <c r="IR15" t="e">
        <f>AND(#REF!,"AAAAAHiz/Ps=")</f>
        <v>#REF!</v>
      </c>
      <c r="IS15" t="e">
        <f>AND(#REF!,"AAAAAHiz/Pw=")</f>
        <v>#REF!</v>
      </c>
      <c r="IT15" t="e">
        <f>AND(#REF!,"AAAAAHiz/P0=")</f>
        <v>#REF!</v>
      </c>
      <c r="IU15" t="e">
        <f>AND(#REF!,"AAAAAHiz/P4=")</f>
        <v>#REF!</v>
      </c>
      <c r="IV15" t="e">
        <f>AND(#REF!,"AAAAAHiz/P8=")</f>
        <v>#REF!</v>
      </c>
    </row>
    <row r="16" spans="1:256">
      <c r="A16" t="e">
        <f>AND(#REF!,"AAAAAFer5wA=")</f>
        <v>#REF!</v>
      </c>
      <c r="B16" t="e">
        <f>AND(#REF!,"AAAAAFer5wE=")</f>
        <v>#REF!</v>
      </c>
      <c r="C16" t="e">
        <f>AND(#REF!,"AAAAAFer5wI=")</f>
        <v>#REF!</v>
      </c>
      <c r="D16" t="e">
        <f>AND(#REF!,"AAAAAFer5wM=")</f>
        <v>#REF!</v>
      </c>
      <c r="E16" t="e">
        <f>AND(#REF!,"AAAAAFer5wQ=")</f>
        <v>#REF!</v>
      </c>
      <c r="F16" t="e">
        <f>AND(#REF!,"AAAAAFer5wU=")</f>
        <v>#REF!</v>
      </c>
      <c r="G16" t="e">
        <f>AND(#REF!,"AAAAAFer5wY=")</f>
        <v>#REF!</v>
      </c>
      <c r="H16" t="e">
        <f>AND(#REF!,"AAAAAFer5wc=")</f>
        <v>#REF!</v>
      </c>
      <c r="I16" t="e">
        <f>AND(#REF!,"AAAAAFer5wg=")</f>
        <v>#REF!</v>
      </c>
      <c r="J16" t="e">
        <f>AND(#REF!,"AAAAAFer5wk=")</f>
        <v>#REF!</v>
      </c>
      <c r="K16" t="e">
        <f>AND(#REF!,"AAAAAFer5wo=")</f>
        <v>#REF!</v>
      </c>
      <c r="L16" t="e">
        <f>AND(#REF!,"AAAAAFer5ws=")</f>
        <v>#REF!</v>
      </c>
      <c r="M16" t="e">
        <f>AND(#REF!,"AAAAAFer5ww=")</f>
        <v>#REF!</v>
      </c>
      <c r="N16" t="e">
        <f>AND(#REF!,"AAAAAFer5w0=")</f>
        <v>#REF!</v>
      </c>
      <c r="O16" t="e">
        <f>AND(#REF!,"AAAAAFer5w4=")</f>
        <v>#REF!</v>
      </c>
      <c r="P16" t="e">
        <f>AND(#REF!,"AAAAAFer5w8=")</f>
        <v>#REF!</v>
      </c>
      <c r="Q16" t="e">
        <f>AND(#REF!,"AAAAAFer5xA=")</f>
        <v>#REF!</v>
      </c>
      <c r="R16" t="e">
        <f>AND(#REF!,"AAAAAFer5xE=")</f>
        <v>#REF!</v>
      </c>
      <c r="S16" t="e">
        <f>AND(#REF!,"AAAAAFer5xI=")</f>
        <v>#REF!</v>
      </c>
      <c r="T16" t="e">
        <f>AND(#REF!,"AAAAAFer5xM=")</f>
        <v>#REF!</v>
      </c>
      <c r="U16" t="e">
        <f>AND(#REF!,"AAAAAFer5xQ=")</f>
        <v>#REF!</v>
      </c>
      <c r="V16" t="e">
        <f>AND(#REF!,"AAAAAFer5xU=")</f>
        <v>#REF!</v>
      </c>
      <c r="W16" t="e">
        <f>AND(#REF!,"AAAAAFer5xY=")</f>
        <v>#REF!</v>
      </c>
      <c r="X16" t="e">
        <f>AND(#REF!,"AAAAAFer5xc=")</f>
        <v>#REF!</v>
      </c>
      <c r="Y16" t="e">
        <f>AND(#REF!,"AAAAAFer5xg=")</f>
        <v>#REF!</v>
      </c>
      <c r="Z16" t="e">
        <f>AND(#REF!,"AAAAAFer5xk=")</f>
        <v>#REF!</v>
      </c>
      <c r="AA16" t="e">
        <f>AND(#REF!,"AAAAAFer5xo=")</f>
        <v>#REF!</v>
      </c>
      <c r="AB16" t="e">
        <f>AND(#REF!,"AAAAAFer5xs=")</f>
        <v>#REF!</v>
      </c>
      <c r="AC16" t="e">
        <f>AND(#REF!,"AAAAAFer5xw=")</f>
        <v>#REF!</v>
      </c>
      <c r="AD16" t="e">
        <f>AND(#REF!,"AAAAAFer5x0=")</f>
        <v>#REF!</v>
      </c>
      <c r="AE16" t="e">
        <f>AND(#REF!,"AAAAAFer5x4=")</f>
        <v>#REF!</v>
      </c>
      <c r="AF16" t="e">
        <f>AND(#REF!,"AAAAAFer5x8=")</f>
        <v>#REF!</v>
      </c>
      <c r="AG16" t="e">
        <f>AND(#REF!,"AAAAAFer5yA=")</f>
        <v>#REF!</v>
      </c>
      <c r="AH16" t="e">
        <f>AND(#REF!,"AAAAAFer5yE=")</f>
        <v>#REF!</v>
      </c>
      <c r="AI16" t="e">
        <f>AND(#REF!,"AAAAAFer5yI=")</f>
        <v>#REF!</v>
      </c>
      <c r="AJ16" t="e">
        <f>AND(#REF!,"AAAAAFer5yM=")</f>
        <v>#REF!</v>
      </c>
      <c r="AK16" t="e">
        <f>AND(#REF!,"AAAAAFer5yQ=")</f>
        <v>#REF!</v>
      </c>
      <c r="AL16" t="e">
        <f>AND(#REF!,"AAAAAFer5yU=")</f>
        <v>#REF!</v>
      </c>
      <c r="AM16" t="e">
        <f>AND(#REF!,"AAAAAFer5yY=")</f>
        <v>#REF!</v>
      </c>
      <c r="AN16" t="e">
        <f>AND(#REF!,"AAAAAFer5yc=")</f>
        <v>#REF!</v>
      </c>
      <c r="AO16" t="e">
        <f>AND(#REF!,"AAAAAFer5yg=")</f>
        <v>#REF!</v>
      </c>
      <c r="AP16" t="e">
        <f>AND(#REF!,"AAAAAFer5yk=")</f>
        <v>#REF!</v>
      </c>
      <c r="AQ16" t="e">
        <f>AND(#REF!,"AAAAAFer5yo=")</f>
        <v>#REF!</v>
      </c>
      <c r="AR16" t="e">
        <f>AND(#REF!,"AAAAAFer5ys=")</f>
        <v>#REF!</v>
      </c>
      <c r="AS16" t="e">
        <f>AND(#REF!,"AAAAAFer5yw=")</f>
        <v>#REF!</v>
      </c>
      <c r="AT16" t="e">
        <f>AND(#REF!,"AAAAAFer5y0=")</f>
        <v>#REF!</v>
      </c>
      <c r="AU16" t="e">
        <f>AND(#REF!,"AAAAAFer5y4=")</f>
        <v>#REF!</v>
      </c>
      <c r="AV16" t="e">
        <f>AND(#REF!,"AAAAAFer5y8=")</f>
        <v>#REF!</v>
      </c>
      <c r="AW16" t="e">
        <f>AND(#REF!,"AAAAAFer5zA=")</f>
        <v>#REF!</v>
      </c>
      <c r="AX16" t="e">
        <f>AND(#REF!,"AAAAAFer5zE=")</f>
        <v>#REF!</v>
      </c>
      <c r="AY16" t="e">
        <f>AND(#REF!,"AAAAAFer5zI=")</f>
        <v>#REF!</v>
      </c>
      <c r="AZ16" t="e">
        <f>AND(#REF!,"AAAAAFer5zM=")</f>
        <v>#REF!</v>
      </c>
      <c r="BA16" t="e">
        <f>AND(#REF!,"AAAAAFer5zQ=")</f>
        <v>#REF!</v>
      </c>
      <c r="BB16" t="e">
        <f>AND(#REF!,"AAAAAFer5zU=")</f>
        <v>#REF!</v>
      </c>
      <c r="BC16" t="e">
        <f>AND(#REF!,"AAAAAFer5zY=")</f>
        <v>#REF!</v>
      </c>
      <c r="BD16" t="e">
        <f>AND(#REF!,"AAAAAFer5zc=")</f>
        <v>#REF!</v>
      </c>
      <c r="BE16" t="e">
        <f>AND(#REF!,"AAAAAFer5zg=")</f>
        <v>#REF!</v>
      </c>
      <c r="BF16" t="e">
        <f>AND(#REF!,"AAAAAFer5zk=")</f>
        <v>#REF!</v>
      </c>
      <c r="BG16" t="e">
        <f>AND(#REF!,"AAAAAFer5zo=")</f>
        <v>#REF!</v>
      </c>
      <c r="BH16" t="e">
        <f>AND(#REF!,"AAAAAFer5zs=")</f>
        <v>#REF!</v>
      </c>
      <c r="BI16" t="e">
        <f>AND(#REF!,"AAAAAFer5zw=")</f>
        <v>#REF!</v>
      </c>
      <c r="BJ16" t="e">
        <f>AND(#REF!,"AAAAAFer5z0=")</f>
        <v>#REF!</v>
      </c>
      <c r="BK16" t="e">
        <f>AND(#REF!,"AAAAAFer5z4=")</f>
        <v>#REF!</v>
      </c>
      <c r="BL16" t="e">
        <f>AND(#REF!,"AAAAAFer5z8=")</f>
        <v>#REF!</v>
      </c>
      <c r="BM16" t="e">
        <f>AND(#REF!,"AAAAAFer50A=")</f>
        <v>#REF!</v>
      </c>
      <c r="BN16" t="e">
        <f>AND(#REF!,"AAAAAFer50E=")</f>
        <v>#REF!</v>
      </c>
      <c r="BO16" t="e">
        <f>AND(#REF!,"AAAAAFer50I=")</f>
        <v>#REF!</v>
      </c>
      <c r="BP16" t="e">
        <f>AND(#REF!,"AAAAAFer50M=")</f>
        <v>#REF!</v>
      </c>
      <c r="BQ16" t="e">
        <f>AND(#REF!,"AAAAAFer50Q=")</f>
        <v>#REF!</v>
      </c>
      <c r="BR16" t="e">
        <f>AND(#REF!,"AAAAAFer50U=")</f>
        <v>#REF!</v>
      </c>
      <c r="BS16" t="e">
        <f>AND(#REF!,"AAAAAFer50Y=")</f>
        <v>#REF!</v>
      </c>
      <c r="BT16" t="e">
        <f>AND(#REF!,"AAAAAFer50c=")</f>
        <v>#REF!</v>
      </c>
      <c r="BU16" t="e">
        <f>AND(#REF!,"AAAAAFer50g=")</f>
        <v>#REF!</v>
      </c>
      <c r="BV16" t="e">
        <f>AND(#REF!,"AAAAAFer50k=")</f>
        <v>#REF!</v>
      </c>
      <c r="BW16" t="e">
        <f>AND(#REF!,"AAAAAFer50o=")</f>
        <v>#REF!</v>
      </c>
      <c r="BX16" t="e">
        <f>AND(#REF!,"AAAAAFer50s=")</f>
        <v>#REF!</v>
      </c>
      <c r="BY16" t="e">
        <f>AND(#REF!,"AAAAAFer50w=")</f>
        <v>#REF!</v>
      </c>
      <c r="BZ16" t="e">
        <f>AND(#REF!,"AAAAAFer500=")</f>
        <v>#REF!</v>
      </c>
      <c r="CA16" t="e">
        <f>AND(#REF!,"AAAAAFer504=")</f>
        <v>#REF!</v>
      </c>
      <c r="CB16" t="e">
        <f>AND(#REF!,"AAAAAFer508=")</f>
        <v>#REF!</v>
      </c>
      <c r="CC16" t="e">
        <f>AND(#REF!,"AAAAAFer51A=")</f>
        <v>#REF!</v>
      </c>
      <c r="CD16" t="e">
        <f>AND(#REF!,"AAAAAFer51E=")</f>
        <v>#REF!</v>
      </c>
      <c r="CE16" t="e">
        <f>AND(#REF!,"AAAAAFer51I=")</f>
        <v>#REF!</v>
      </c>
      <c r="CF16" t="e">
        <f>AND(#REF!,"AAAAAFer51M=")</f>
        <v>#REF!</v>
      </c>
      <c r="CG16" t="e">
        <f>AND(#REF!,"AAAAAFer51Q=")</f>
        <v>#REF!</v>
      </c>
      <c r="CH16" t="e">
        <f>AND(#REF!,"AAAAAFer51U=")</f>
        <v>#REF!</v>
      </c>
      <c r="CI16" t="e">
        <f>AND(#REF!,"AAAAAFer51Y=")</f>
        <v>#REF!</v>
      </c>
      <c r="CJ16" t="e">
        <f>AND(#REF!,"AAAAAFer51c=")</f>
        <v>#REF!</v>
      </c>
      <c r="CK16" t="e">
        <f>AND(#REF!,"AAAAAFer51g=")</f>
        <v>#REF!</v>
      </c>
      <c r="CL16" t="e">
        <f>AND(#REF!,"AAAAAFer51k=")</f>
        <v>#REF!</v>
      </c>
      <c r="CM16" t="e">
        <f>AND(#REF!,"AAAAAFer51o=")</f>
        <v>#REF!</v>
      </c>
      <c r="CN16" t="e">
        <f>AND(#REF!,"AAAAAFer51s=")</f>
        <v>#REF!</v>
      </c>
      <c r="CO16" t="e">
        <f>AND(#REF!,"AAAAAFer51w=")</f>
        <v>#REF!</v>
      </c>
      <c r="CP16" t="e">
        <f>AND(#REF!,"AAAAAFer510=")</f>
        <v>#REF!</v>
      </c>
      <c r="CQ16" t="e">
        <f>AND(#REF!,"AAAAAFer514=")</f>
        <v>#REF!</v>
      </c>
      <c r="CR16" t="e">
        <f>AND(#REF!,"AAAAAFer518=")</f>
        <v>#REF!</v>
      </c>
      <c r="CS16" t="e">
        <f>AND(#REF!,"AAAAAFer52A=")</f>
        <v>#REF!</v>
      </c>
      <c r="CT16" t="e">
        <f>AND(#REF!,"AAAAAFer52E=")</f>
        <v>#REF!</v>
      </c>
      <c r="CU16" t="e">
        <f>AND(#REF!,"AAAAAFer52I=")</f>
        <v>#REF!</v>
      </c>
      <c r="CV16" t="e">
        <f>AND(#REF!,"AAAAAFer52M=")</f>
        <v>#REF!</v>
      </c>
      <c r="CW16" t="e">
        <f>AND(#REF!,"AAAAAFer52Q=")</f>
        <v>#REF!</v>
      </c>
      <c r="CX16" t="e">
        <f>AND(#REF!,"AAAAAFer52U=")</f>
        <v>#REF!</v>
      </c>
      <c r="CY16" t="e">
        <f>AND(#REF!,"AAAAAFer52Y=")</f>
        <v>#REF!</v>
      </c>
      <c r="CZ16" t="e">
        <f>AND(#REF!,"AAAAAFer52c=")</f>
        <v>#REF!</v>
      </c>
      <c r="DA16" t="e">
        <f>AND(#REF!,"AAAAAFer52g=")</f>
        <v>#REF!</v>
      </c>
      <c r="DB16" t="e">
        <f>AND(#REF!,"AAAAAFer52k=")</f>
        <v>#REF!</v>
      </c>
      <c r="DC16" t="e">
        <f>AND(#REF!,"AAAAAFer52o=")</f>
        <v>#REF!</v>
      </c>
      <c r="DD16" t="e">
        <f>AND(#REF!,"AAAAAFer52s=")</f>
        <v>#REF!</v>
      </c>
      <c r="DE16" t="e">
        <f>AND(#REF!,"AAAAAFer52w=")</f>
        <v>#REF!</v>
      </c>
      <c r="DF16" t="e">
        <f>AND(#REF!,"AAAAAFer520=")</f>
        <v>#REF!</v>
      </c>
      <c r="DG16" t="e">
        <f>AND(#REF!,"AAAAAFer524=")</f>
        <v>#REF!</v>
      </c>
      <c r="DH16" t="e">
        <f>AND(#REF!,"AAAAAFer528=")</f>
        <v>#REF!</v>
      </c>
      <c r="DI16" t="e">
        <f>AND(#REF!,"AAAAAFer53A=")</f>
        <v>#REF!</v>
      </c>
      <c r="DJ16" t="e">
        <f>AND(#REF!,"AAAAAFer53E=")</f>
        <v>#REF!</v>
      </c>
      <c r="DK16" t="e">
        <f>AND(#REF!,"AAAAAFer53I=")</f>
        <v>#REF!</v>
      </c>
      <c r="DL16" t="e">
        <f>AND(#REF!,"AAAAAFer53M=")</f>
        <v>#REF!</v>
      </c>
      <c r="DM16" t="e">
        <f>AND(#REF!,"AAAAAFer53Q=")</f>
        <v>#REF!</v>
      </c>
      <c r="DN16" t="e">
        <f>AND(#REF!,"AAAAAFer53U=")</f>
        <v>#REF!</v>
      </c>
      <c r="DO16" t="e">
        <f>AND(#REF!,"AAAAAFer53Y=")</f>
        <v>#REF!</v>
      </c>
      <c r="DP16" t="e">
        <f>AND(#REF!,"AAAAAFer53c=")</f>
        <v>#REF!</v>
      </c>
      <c r="DQ16" t="e">
        <f>AND(#REF!,"AAAAAFer53g=")</f>
        <v>#REF!</v>
      </c>
      <c r="DR16" t="e">
        <f>AND(#REF!,"AAAAAFer53k=")</f>
        <v>#REF!</v>
      </c>
      <c r="DS16" t="e">
        <f>AND(#REF!,"AAAAAFer53o=")</f>
        <v>#REF!</v>
      </c>
      <c r="DT16" t="e">
        <f>AND(#REF!,"AAAAAFer53s=")</f>
        <v>#REF!</v>
      </c>
      <c r="DU16" t="e">
        <f>AND(#REF!,"AAAAAFer53w=")</f>
        <v>#REF!</v>
      </c>
      <c r="DV16" t="e">
        <f>AND(#REF!,"AAAAAFer530=")</f>
        <v>#REF!</v>
      </c>
      <c r="DW16" t="e">
        <f>AND(#REF!,"AAAAAFer534=")</f>
        <v>#REF!</v>
      </c>
      <c r="DX16" t="e">
        <f>AND(#REF!,"AAAAAFer538=")</f>
        <v>#REF!</v>
      </c>
      <c r="DY16" t="e">
        <f>AND(#REF!,"AAAAAFer54A=")</f>
        <v>#REF!</v>
      </c>
      <c r="DZ16" t="e">
        <f>AND(#REF!,"AAAAAFer54E=")</f>
        <v>#REF!</v>
      </c>
      <c r="EA16" t="e">
        <f>AND(#REF!,"AAAAAFer54I=")</f>
        <v>#REF!</v>
      </c>
      <c r="EB16" t="e">
        <f>AND(#REF!,"AAAAAFer54M=")</f>
        <v>#REF!</v>
      </c>
      <c r="EC16" t="e">
        <f>AND(#REF!,"AAAAAFer54Q=")</f>
        <v>#REF!</v>
      </c>
      <c r="ED16" t="e">
        <f>AND(#REF!,"AAAAAFer54U=")</f>
        <v>#REF!</v>
      </c>
      <c r="EE16" t="e">
        <f>AND(#REF!,"AAAAAFer54Y=")</f>
        <v>#REF!</v>
      </c>
      <c r="EF16" t="e">
        <f>AND(#REF!,"AAAAAFer54c=")</f>
        <v>#REF!</v>
      </c>
      <c r="EG16" t="e">
        <f>AND(#REF!,"AAAAAFer54g=")</f>
        <v>#REF!</v>
      </c>
      <c r="EH16" t="e">
        <f>AND(#REF!,"AAAAAFer54k=")</f>
        <v>#REF!</v>
      </c>
      <c r="EI16" t="e">
        <f>AND(#REF!,"AAAAAFer54o=")</f>
        <v>#REF!</v>
      </c>
      <c r="EJ16" t="e">
        <f>AND(#REF!,"AAAAAFer54s=")</f>
        <v>#REF!</v>
      </c>
      <c r="EK16" t="e">
        <f>AND(#REF!,"AAAAAFer54w=")</f>
        <v>#REF!</v>
      </c>
      <c r="EL16" t="e">
        <f>AND(#REF!,"AAAAAFer540=")</f>
        <v>#REF!</v>
      </c>
      <c r="EM16" t="e">
        <f>AND(#REF!,"AAAAAFer544=")</f>
        <v>#REF!</v>
      </c>
      <c r="EN16" t="e">
        <f>AND(#REF!,"AAAAAFer548=")</f>
        <v>#REF!</v>
      </c>
      <c r="EO16" t="e">
        <f>AND(#REF!,"AAAAAFer55A=")</f>
        <v>#REF!</v>
      </c>
      <c r="EP16" t="e">
        <f>AND(#REF!,"AAAAAFer55E=")</f>
        <v>#REF!</v>
      </c>
      <c r="EQ16" t="e">
        <f>AND(#REF!,"AAAAAFer55I=")</f>
        <v>#REF!</v>
      </c>
      <c r="ER16" t="e">
        <f>AND(#REF!,"AAAAAFer55M=")</f>
        <v>#REF!</v>
      </c>
      <c r="ES16" t="e">
        <f>AND(#REF!,"AAAAAFer55Q=")</f>
        <v>#REF!</v>
      </c>
      <c r="ET16" t="e">
        <f>AND(#REF!,"AAAAAFer55U=")</f>
        <v>#REF!</v>
      </c>
      <c r="EU16" t="e">
        <f>AND(#REF!,"AAAAAFer55Y=")</f>
        <v>#REF!</v>
      </c>
      <c r="EV16" t="e">
        <f>AND(#REF!,"AAAAAFer55c=")</f>
        <v>#REF!</v>
      </c>
      <c r="EW16" t="e">
        <f>AND(#REF!,"AAAAAFer55g=")</f>
        <v>#REF!</v>
      </c>
      <c r="EX16" t="e">
        <f>AND(#REF!,"AAAAAFer55k=")</f>
        <v>#REF!</v>
      </c>
      <c r="EY16" t="e">
        <f>AND(#REF!,"AAAAAFer55o=")</f>
        <v>#REF!</v>
      </c>
      <c r="EZ16" t="e">
        <f>AND(#REF!,"AAAAAFer55s=")</f>
        <v>#REF!</v>
      </c>
      <c r="FA16" t="e">
        <f>AND(#REF!,"AAAAAFer55w=")</f>
        <v>#REF!</v>
      </c>
      <c r="FB16" t="e">
        <f>AND(#REF!,"AAAAAFer550=")</f>
        <v>#REF!</v>
      </c>
      <c r="FC16" t="e">
        <f>AND(#REF!,"AAAAAFer554=")</f>
        <v>#REF!</v>
      </c>
      <c r="FD16" t="e">
        <f>AND(#REF!,"AAAAAFer558=")</f>
        <v>#REF!</v>
      </c>
      <c r="FE16" t="e">
        <f>AND(#REF!,"AAAAAFer56A=")</f>
        <v>#REF!</v>
      </c>
      <c r="FF16" t="e">
        <f>AND(#REF!,"AAAAAFer56E=")</f>
        <v>#REF!</v>
      </c>
      <c r="FG16" t="e">
        <f>AND(#REF!,"AAAAAFer56I=")</f>
        <v>#REF!</v>
      </c>
      <c r="FH16" t="e">
        <f>AND(#REF!,"AAAAAFer56M=")</f>
        <v>#REF!</v>
      </c>
      <c r="FI16" t="e">
        <f>AND(#REF!,"AAAAAFer56Q=")</f>
        <v>#REF!</v>
      </c>
      <c r="FJ16" t="e">
        <f>AND(#REF!,"AAAAAFer56U=")</f>
        <v>#REF!</v>
      </c>
      <c r="FK16" t="e">
        <f>AND(#REF!,"AAAAAFer56Y=")</f>
        <v>#REF!</v>
      </c>
      <c r="FL16" t="e">
        <f>AND(#REF!,"AAAAAFer56c=")</f>
        <v>#REF!</v>
      </c>
      <c r="FM16" t="e">
        <f>AND(#REF!,"AAAAAFer56g=")</f>
        <v>#REF!</v>
      </c>
      <c r="FN16" t="e">
        <f>AND(#REF!,"AAAAAFer56k=")</f>
        <v>#REF!</v>
      </c>
      <c r="FO16" t="e">
        <f>AND(#REF!,"AAAAAFer56o=")</f>
        <v>#REF!</v>
      </c>
      <c r="FP16" t="e">
        <f>AND(#REF!,"AAAAAFer56s=")</f>
        <v>#REF!</v>
      </c>
      <c r="FQ16" t="e">
        <f>AND(#REF!,"AAAAAFer56w=")</f>
        <v>#REF!</v>
      </c>
      <c r="FR16" t="e">
        <f>AND(#REF!,"AAAAAFer560=")</f>
        <v>#REF!</v>
      </c>
      <c r="FS16" t="e">
        <f>AND(#REF!,"AAAAAFer564=")</f>
        <v>#REF!</v>
      </c>
      <c r="FT16" t="e">
        <f>AND(#REF!,"AAAAAFer568=")</f>
        <v>#REF!</v>
      </c>
      <c r="FU16" t="e">
        <f>AND(#REF!,"AAAAAFer57A=")</f>
        <v>#REF!</v>
      </c>
      <c r="FV16" t="e">
        <f>AND(#REF!,"AAAAAFer57E=")</f>
        <v>#REF!</v>
      </c>
      <c r="FW16" t="e">
        <f>AND(#REF!,"AAAAAFer57I=")</f>
        <v>#REF!</v>
      </c>
      <c r="FX16" t="e">
        <f>AND(#REF!,"AAAAAFer57M=")</f>
        <v>#REF!</v>
      </c>
      <c r="FY16" t="e">
        <f>AND(#REF!,"AAAAAFer57Q=")</f>
        <v>#REF!</v>
      </c>
      <c r="FZ16" t="e">
        <f>AND(#REF!,"AAAAAFer57U=")</f>
        <v>#REF!</v>
      </c>
      <c r="GA16" t="e">
        <f>AND(#REF!,"AAAAAFer57Y=")</f>
        <v>#REF!</v>
      </c>
      <c r="GB16" t="e">
        <f>AND(#REF!,"AAAAAFer57c=")</f>
        <v>#REF!</v>
      </c>
      <c r="GC16" t="e">
        <f>AND(#REF!,"AAAAAFer57g=")</f>
        <v>#REF!</v>
      </c>
      <c r="GD16" t="e">
        <f>AND(#REF!,"AAAAAFer57k=")</f>
        <v>#REF!</v>
      </c>
      <c r="GE16" t="e">
        <f>AND(#REF!,"AAAAAFer57o=")</f>
        <v>#REF!</v>
      </c>
      <c r="GF16" t="e">
        <f>AND(#REF!,"AAAAAFer57s=")</f>
        <v>#REF!</v>
      </c>
      <c r="GG16" t="e">
        <f>AND(#REF!,"AAAAAFer57w=")</f>
        <v>#REF!</v>
      </c>
      <c r="GH16" t="e">
        <f>AND(#REF!,"AAAAAFer570=")</f>
        <v>#REF!</v>
      </c>
      <c r="GI16" t="e">
        <f>AND(#REF!,"AAAAAFer574=")</f>
        <v>#REF!</v>
      </c>
      <c r="GJ16" t="e">
        <f>AND(#REF!,"AAAAAFer578=")</f>
        <v>#REF!</v>
      </c>
      <c r="GK16" t="e">
        <f>AND(#REF!,"AAAAAFer58A=")</f>
        <v>#REF!</v>
      </c>
      <c r="GL16" t="e">
        <f>AND(#REF!,"AAAAAFer58E=")</f>
        <v>#REF!</v>
      </c>
      <c r="GM16" t="e">
        <f>AND(#REF!,"AAAAAFer58I=")</f>
        <v>#REF!</v>
      </c>
      <c r="GN16" t="e">
        <f>AND(#REF!,"AAAAAFer58M=")</f>
        <v>#REF!</v>
      </c>
      <c r="GO16" t="e">
        <f>AND(#REF!,"AAAAAFer58Q=")</f>
        <v>#REF!</v>
      </c>
      <c r="GP16" t="e">
        <f>AND(#REF!,"AAAAAFer58U=")</f>
        <v>#REF!</v>
      </c>
      <c r="GQ16" t="e">
        <f>AND(#REF!,"AAAAAFer58Y=")</f>
        <v>#REF!</v>
      </c>
      <c r="GR16" t="e">
        <f>AND(#REF!,"AAAAAFer58c=")</f>
        <v>#REF!</v>
      </c>
      <c r="GS16" t="e">
        <f>AND(#REF!,"AAAAAFer58g=")</f>
        <v>#REF!</v>
      </c>
      <c r="GT16" t="e">
        <f>AND(#REF!,"AAAAAFer58k=")</f>
        <v>#REF!</v>
      </c>
      <c r="GU16" t="e">
        <f>AND(#REF!,"AAAAAFer58o=")</f>
        <v>#REF!</v>
      </c>
      <c r="GV16" t="e">
        <f>AND(#REF!,"AAAAAFer58s=")</f>
        <v>#REF!</v>
      </c>
      <c r="GW16" t="e">
        <f>AND(#REF!,"AAAAAFer58w=")</f>
        <v>#REF!</v>
      </c>
      <c r="GX16" t="e">
        <f>AND(#REF!,"AAAAAFer580=")</f>
        <v>#REF!</v>
      </c>
      <c r="GY16" t="e">
        <f>AND(#REF!,"AAAAAFer584=")</f>
        <v>#REF!</v>
      </c>
      <c r="GZ16" t="e">
        <f>AND(#REF!,"AAAAAFer588=")</f>
        <v>#REF!</v>
      </c>
      <c r="HA16" t="e">
        <f>AND(#REF!,"AAAAAFer59A=")</f>
        <v>#REF!</v>
      </c>
      <c r="HB16" t="e">
        <f>AND(#REF!,"AAAAAFer59E=")</f>
        <v>#REF!</v>
      </c>
      <c r="HC16" t="e">
        <f>AND(#REF!,"AAAAAFer59I=")</f>
        <v>#REF!</v>
      </c>
      <c r="HD16" t="e">
        <f>AND(#REF!,"AAAAAFer59M=")</f>
        <v>#REF!</v>
      </c>
      <c r="HE16" t="e">
        <f>AND(#REF!,"AAAAAFer59Q=")</f>
        <v>#REF!</v>
      </c>
      <c r="HF16" t="e">
        <f>AND(#REF!,"AAAAAFer59U=")</f>
        <v>#REF!</v>
      </c>
      <c r="HG16" t="e">
        <f>AND(#REF!,"AAAAAFer59Y=")</f>
        <v>#REF!</v>
      </c>
      <c r="HH16" t="e">
        <f>AND(#REF!,"AAAAAFer59c=")</f>
        <v>#REF!</v>
      </c>
      <c r="HI16" t="e">
        <f>AND(#REF!,"AAAAAFer59g=")</f>
        <v>#REF!</v>
      </c>
      <c r="HJ16" t="e">
        <f>AND(#REF!,"AAAAAFer59k=")</f>
        <v>#REF!</v>
      </c>
      <c r="HK16" t="e">
        <f>AND(#REF!,"AAAAAFer59o=")</f>
        <v>#REF!</v>
      </c>
      <c r="HL16" t="e">
        <f>AND(#REF!,"AAAAAFer59s=")</f>
        <v>#REF!</v>
      </c>
      <c r="HM16" t="e">
        <f>AND(#REF!,"AAAAAFer59w=")</f>
        <v>#REF!</v>
      </c>
      <c r="HN16" t="e">
        <f>AND(#REF!,"AAAAAFer590=")</f>
        <v>#REF!</v>
      </c>
      <c r="HO16" t="e">
        <f>AND(#REF!,"AAAAAFer594=")</f>
        <v>#REF!</v>
      </c>
      <c r="HP16" t="e">
        <f>AND(#REF!,"AAAAAFer598=")</f>
        <v>#REF!</v>
      </c>
      <c r="HQ16" t="e">
        <f>AND(#REF!,"AAAAAFer5+A=")</f>
        <v>#REF!</v>
      </c>
      <c r="HR16" t="e">
        <f>AND(#REF!,"AAAAAFer5+E=")</f>
        <v>#REF!</v>
      </c>
      <c r="HS16" t="e">
        <f>AND(#REF!,"AAAAAFer5+I=")</f>
        <v>#REF!</v>
      </c>
      <c r="HT16" t="e">
        <f>AND(#REF!,"AAAAAFer5+M=")</f>
        <v>#REF!</v>
      </c>
      <c r="HU16" t="e">
        <f>AND(#REF!,"AAAAAFer5+Q=")</f>
        <v>#REF!</v>
      </c>
      <c r="HV16" t="e">
        <f>AND(#REF!,"AAAAAFer5+U=")</f>
        <v>#REF!</v>
      </c>
      <c r="HW16" t="e">
        <f>AND(#REF!,"AAAAAFer5+Y=")</f>
        <v>#REF!</v>
      </c>
      <c r="HX16" t="e">
        <f>AND(#REF!,"AAAAAFer5+c=")</f>
        <v>#REF!</v>
      </c>
      <c r="HY16" t="e">
        <f>AND(#REF!,"AAAAAFer5+g=")</f>
        <v>#REF!</v>
      </c>
      <c r="HZ16" t="e">
        <f>AND(#REF!,"AAAAAFer5+k=")</f>
        <v>#REF!</v>
      </c>
      <c r="IA16" t="e">
        <f>AND(#REF!,"AAAAAFer5+o=")</f>
        <v>#REF!</v>
      </c>
      <c r="IB16" t="e">
        <f>AND(#REF!,"AAAAAFer5+s=")</f>
        <v>#REF!</v>
      </c>
      <c r="IC16" t="e">
        <f>AND(#REF!,"AAAAAFer5+w=")</f>
        <v>#REF!</v>
      </c>
      <c r="ID16" t="e">
        <f>AND(#REF!,"AAAAAFer5+0=")</f>
        <v>#REF!</v>
      </c>
      <c r="IE16" t="e">
        <f>AND(#REF!,"AAAAAFer5+4=")</f>
        <v>#REF!</v>
      </c>
      <c r="IF16" t="e">
        <f>AND(#REF!,"AAAAAFer5+8=")</f>
        <v>#REF!</v>
      </c>
      <c r="IG16" t="e">
        <f>AND(#REF!,"AAAAAFer5/A=")</f>
        <v>#REF!</v>
      </c>
      <c r="IH16" t="e">
        <f>AND(#REF!,"AAAAAFer5/E=")</f>
        <v>#REF!</v>
      </c>
      <c r="II16" t="e">
        <f>AND(#REF!,"AAAAAFer5/I=")</f>
        <v>#REF!</v>
      </c>
      <c r="IJ16" t="e">
        <f>AND(#REF!,"AAAAAFer5/M=")</f>
        <v>#REF!</v>
      </c>
      <c r="IK16" t="e">
        <f>AND(#REF!,"AAAAAFer5/Q=")</f>
        <v>#REF!</v>
      </c>
      <c r="IL16" t="e">
        <f>AND(#REF!,"AAAAAFer5/U=")</f>
        <v>#REF!</v>
      </c>
      <c r="IM16" t="e">
        <f>AND(#REF!,"AAAAAFer5/Y=")</f>
        <v>#REF!</v>
      </c>
      <c r="IN16" t="e">
        <f>AND(#REF!,"AAAAAFer5/c=")</f>
        <v>#REF!</v>
      </c>
      <c r="IO16" t="e">
        <f>AND(#REF!,"AAAAAFer5/g=")</f>
        <v>#REF!</v>
      </c>
      <c r="IP16" t="e">
        <f>AND(#REF!,"AAAAAFer5/k=")</f>
        <v>#REF!</v>
      </c>
      <c r="IQ16" t="e">
        <f>AND(#REF!,"AAAAAFer5/o=")</f>
        <v>#REF!</v>
      </c>
      <c r="IR16" t="e">
        <f>AND(#REF!,"AAAAAFer5/s=")</f>
        <v>#REF!</v>
      </c>
      <c r="IS16" t="e">
        <f>AND(#REF!,"AAAAAFer5/w=")</f>
        <v>#REF!</v>
      </c>
      <c r="IT16" t="e">
        <f>AND(#REF!,"AAAAAFer5/0=")</f>
        <v>#REF!</v>
      </c>
      <c r="IU16" t="e">
        <f>AND(#REF!,"AAAAAFer5/4=")</f>
        <v>#REF!</v>
      </c>
      <c r="IV16" t="e">
        <f>AND(#REF!,"AAAAAFer5/8=")</f>
        <v>#REF!</v>
      </c>
    </row>
    <row r="17" spans="1:256">
      <c r="A17" t="e">
        <f>AND(#REF!,"AAAAAG78PwA=")</f>
        <v>#REF!</v>
      </c>
      <c r="B17" t="e">
        <f>AND(#REF!,"AAAAAG78PwE=")</f>
        <v>#REF!</v>
      </c>
      <c r="C17" t="e">
        <f>AND(#REF!,"AAAAAG78PwI=")</f>
        <v>#REF!</v>
      </c>
      <c r="D17" t="e">
        <f>AND(#REF!,"AAAAAG78PwM=")</f>
        <v>#REF!</v>
      </c>
      <c r="E17" t="e">
        <f>AND(#REF!,"AAAAAG78PwQ=")</f>
        <v>#REF!</v>
      </c>
      <c r="F17" t="e">
        <f>AND(#REF!,"AAAAAG78PwU=")</f>
        <v>#REF!</v>
      </c>
      <c r="G17" t="e">
        <f>AND(#REF!,"AAAAAG78PwY=")</f>
        <v>#REF!</v>
      </c>
      <c r="H17" t="e">
        <f>AND(#REF!,"AAAAAG78Pwc=")</f>
        <v>#REF!</v>
      </c>
      <c r="I17" t="e">
        <f>AND(#REF!,"AAAAAG78Pwg=")</f>
        <v>#REF!</v>
      </c>
      <c r="J17" t="e">
        <f>AND(#REF!,"AAAAAG78Pwk=")</f>
        <v>#REF!</v>
      </c>
      <c r="K17" t="e">
        <f>AND(#REF!,"AAAAAG78Pwo=")</f>
        <v>#REF!</v>
      </c>
      <c r="L17" t="e">
        <f>AND(#REF!,"AAAAAG78Pws=")</f>
        <v>#REF!</v>
      </c>
      <c r="M17" t="e">
        <f>AND(#REF!,"AAAAAG78Pww=")</f>
        <v>#REF!</v>
      </c>
      <c r="N17" t="e">
        <f>AND(#REF!,"AAAAAG78Pw0=")</f>
        <v>#REF!</v>
      </c>
      <c r="O17" t="e">
        <f>AND(#REF!,"AAAAAG78Pw4=")</f>
        <v>#REF!</v>
      </c>
      <c r="P17" t="e">
        <f>AND(#REF!,"AAAAAG78Pw8=")</f>
        <v>#REF!</v>
      </c>
      <c r="Q17" t="e">
        <f>AND(#REF!,"AAAAAG78PxA=")</f>
        <v>#REF!</v>
      </c>
      <c r="R17" t="e">
        <f>AND(#REF!,"AAAAAG78PxE=")</f>
        <v>#REF!</v>
      </c>
      <c r="S17" t="e">
        <f>AND(#REF!,"AAAAAG78PxI=")</f>
        <v>#REF!</v>
      </c>
      <c r="T17" t="e">
        <f>AND(#REF!,"AAAAAG78PxM=")</f>
        <v>#REF!</v>
      </c>
      <c r="U17" t="e">
        <f>AND(#REF!,"AAAAAG78PxQ=")</f>
        <v>#REF!</v>
      </c>
      <c r="V17" t="e">
        <f>AND(#REF!,"AAAAAG78PxU=")</f>
        <v>#REF!</v>
      </c>
      <c r="W17" t="e">
        <f>AND(#REF!,"AAAAAG78PxY=")</f>
        <v>#REF!</v>
      </c>
      <c r="X17" t="e">
        <f>AND(#REF!,"AAAAAG78Pxc=")</f>
        <v>#REF!</v>
      </c>
      <c r="Y17" t="e">
        <f>AND(#REF!,"AAAAAG78Pxg=")</f>
        <v>#REF!</v>
      </c>
      <c r="Z17" t="e">
        <f>AND(#REF!,"AAAAAG78Pxk=")</f>
        <v>#REF!</v>
      </c>
      <c r="AA17" t="e">
        <f>AND(#REF!,"AAAAAG78Pxo=")</f>
        <v>#REF!</v>
      </c>
      <c r="AB17" t="e">
        <f>AND(#REF!,"AAAAAG78Pxs=")</f>
        <v>#REF!</v>
      </c>
      <c r="AC17" t="e">
        <f>AND(#REF!,"AAAAAG78Pxw=")</f>
        <v>#REF!</v>
      </c>
      <c r="AD17" t="e">
        <f>AND(#REF!,"AAAAAG78Px0=")</f>
        <v>#REF!</v>
      </c>
      <c r="AE17" t="e">
        <f>AND(#REF!,"AAAAAG78Px4=")</f>
        <v>#REF!</v>
      </c>
      <c r="AF17" t="e">
        <f>AND(#REF!,"AAAAAG78Px8=")</f>
        <v>#REF!</v>
      </c>
      <c r="AG17" t="e">
        <f>AND(#REF!,"AAAAAG78PyA=")</f>
        <v>#REF!</v>
      </c>
      <c r="AH17" t="e">
        <f>AND(#REF!,"AAAAAG78PyE=")</f>
        <v>#REF!</v>
      </c>
      <c r="AI17" t="e">
        <f>AND(#REF!,"AAAAAG78PyI=")</f>
        <v>#REF!</v>
      </c>
      <c r="AJ17" t="e">
        <f>AND(#REF!,"AAAAAG78PyM=")</f>
        <v>#REF!</v>
      </c>
      <c r="AK17" t="e">
        <f>AND(#REF!,"AAAAAG78PyQ=")</f>
        <v>#REF!</v>
      </c>
      <c r="AL17" t="e">
        <f>AND(#REF!,"AAAAAG78PyU=")</f>
        <v>#REF!</v>
      </c>
      <c r="AM17" t="e">
        <f>AND(#REF!,"AAAAAG78PyY=")</f>
        <v>#REF!</v>
      </c>
      <c r="AN17" t="e">
        <f>AND(#REF!,"AAAAAG78Pyc=")</f>
        <v>#REF!</v>
      </c>
      <c r="AO17" t="e">
        <f>AND(#REF!,"AAAAAG78Pyg=")</f>
        <v>#REF!</v>
      </c>
      <c r="AP17" t="e">
        <f>AND(#REF!,"AAAAAG78Pyk=")</f>
        <v>#REF!</v>
      </c>
      <c r="AQ17" t="e">
        <f>AND(#REF!,"AAAAAG78Pyo=")</f>
        <v>#REF!</v>
      </c>
      <c r="AR17" t="e">
        <f>AND(#REF!,"AAAAAG78Pys=")</f>
        <v>#REF!</v>
      </c>
      <c r="AS17" t="e">
        <f>AND(#REF!,"AAAAAG78Pyw=")</f>
        <v>#REF!</v>
      </c>
      <c r="AT17" t="e">
        <f>AND(#REF!,"AAAAAG78Py0=")</f>
        <v>#REF!</v>
      </c>
      <c r="AU17" t="e">
        <f>AND(#REF!,"AAAAAG78Py4=")</f>
        <v>#REF!</v>
      </c>
      <c r="AV17" t="e">
        <f>AND(#REF!,"AAAAAG78Py8=")</f>
        <v>#REF!</v>
      </c>
      <c r="AW17" t="e">
        <f>AND(#REF!,"AAAAAG78PzA=")</f>
        <v>#REF!</v>
      </c>
      <c r="AX17" t="e">
        <f>AND(#REF!,"AAAAAG78PzE=")</f>
        <v>#REF!</v>
      </c>
      <c r="AY17" t="e">
        <f>AND(#REF!,"AAAAAG78PzI=")</f>
        <v>#REF!</v>
      </c>
      <c r="AZ17" t="e">
        <f>AND(#REF!,"AAAAAG78PzM=")</f>
        <v>#REF!</v>
      </c>
      <c r="BA17" t="e">
        <f>AND(#REF!,"AAAAAG78PzQ=")</f>
        <v>#REF!</v>
      </c>
      <c r="BB17" t="e">
        <f>AND(#REF!,"AAAAAG78PzU=")</f>
        <v>#REF!</v>
      </c>
      <c r="BC17" t="e">
        <f>AND(#REF!,"AAAAAG78PzY=")</f>
        <v>#REF!</v>
      </c>
      <c r="BD17" t="e">
        <f>AND(#REF!,"AAAAAG78Pzc=")</f>
        <v>#REF!</v>
      </c>
      <c r="BE17" t="e">
        <f>AND(#REF!,"AAAAAG78Pzg=")</f>
        <v>#REF!</v>
      </c>
      <c r="BF17" t="e">
        <f>AND(#REF!,"AAAAAG78Pzk=")</f>
        <v>#REF!</v>
      </c>
      <c r="BG17" t="e">
        <f>AND(#REF!,"AAAAAG78Pzo=")</f>
        <v>#REF!</v>
      </c>
      <c r="BH17" t="e">
        <f>AND(#REF!,"AAAAAG78Pzs=")</f>
        <v>#REF!</v>
      </c>
      <c r="BI17" t="e">
        <f>AND(#REF!,"AAAAAG78Pzw=")</f>
        <v>#REF!</v>
      </c>
      <c r="BJ17" t="e">
        <f>AND(#REF!,"AAAAAG78Pz0=")</f>
        <v>#REF!</v>
      </c>
      <c r="BK17" t="e">
        <f>AND(#REF!,"AAAAAG78Pz4=")</f>
        <v>#REF!</v>
      </c>
      <c r="BL17" t="e">
        <f>AND(#REF!,"AAAAAG78Pz8=")</f>
        <v>#REF!</v>
      </c>
      <c r="BM17" t="e">
        <f>AND(#REF!,"AAAAAG78P0A=")</f>
        <v>#REF!</v>
      </c>
      <c r="BN17" t="e">
        <f>AND(#REF!,"AAAAAG78P0E=")</f>
        <v>#REF!</v>
      </c>
      <c r="BO17" t="e">
        <f>AND(#REF!,"AAAAAG78P0I=")</f>
        <v>#REF!</v>
      </c>
      <c r="BP17" t="e">
        <f>AND(#REF!,"AAAAAG78P0M=")</f>
        <v>#REF!</v>
      </c>
      <c r="BQ17" t="e">
        <f>AND(#REF!,"AAAAAG78P0Q=")</f>
        <v>#REF!</v>
      </c>
      <c r="BR17" t="e">
        <f>AND(#REF!,"AAAAAG78P0U=")</f>
        <v>#REF!</v>
      </c>
      <c r="BS17" t="e">
        <f>AND(#REF!,"AAAAAG78P0Y=")</f>
        <v>#REF!</v>
      </c>
      <c r="BT17" t="e">
        <f>AND(#REF!,"AAAAAG78P0c=")</f>
        <v>#REF!</v>
      </c>
      <c r="BU17" t="e">
        <f>AND(#REF!,"AAAAAG78P0g=")</f>
        <v>#REF!</v>
      </c>
      <c r="BV17" t="e">
        <f>AND(#REF!,"AAAAAG78P0k=")</f>
        <v>#REF!</v>
      </c>
      <c r="BW17" t="e">
        <f>AND(#REF!,"AAAAAG78P0o=")</f>
        <v>#REF!</v>
      </c>
      <c r="BX17" t="e">
        <f>AND(#REF!,"AAAAAG78P0s=")</f>
        <v>#REF!</v>
      </c>
      <c r="BY17" t="e">
        <f>AND(#REF!,"AAAAAG78P0w=")</f>
        <v>#REF!</v>
      </c>
      <c r="BZ17" t="e">
        <f>AND(#REF!,"AAAAAG78P00=")</f>
        <v>#REF!</v>
      </c>
      <c r="CA17" t="e">
        <f>AND(#REF!,"AAAAAG78P04=")</f>
        <v>#REF!</v>
      </c>
      <c r="CB17" t="e">
        <f>AND(#REF!,"AAAAAG78P08=")</f>
        <v>#REF!</v>
      </c>
      <c r="CC17" t="e">
        <f>AND(#REF!,"AAAAAG78P1A=")</f>
        <v>#REF!</v>
      </c>
      <c r="CD17" t="e">
        <f>AND(#REF!,"AAAAAG78P1E=")</f>
        <v>#REF!</v>
      </c>
      <c r="CE17" t="e">
        <f>AND(#REF!,"AAAAAG78P1I=")</f>
        <v>#REF!</v>
      </c>
      <c r="CF17" t="e">
        <f>AND(#REF!,"AAAAAG78P1M=")</f>
        <v>#REF!</v>
      </c>
      <c r="CG17" t="e">
        <f>AND(#REF!,"AAAAAG78P1Q=")</f>
        <v>#REF!</v>
      </c>
      <c r="CH17" t="e">
        <f>AND(#REF!,"AAAAAG78P1U=")</f>
        <v>#REF!</v>
      </c>
      <c r="CI17" t="e">
        <f>AND(#REF!,"AAAAAG78P1Y=")</f>
        <v>#REF!</v>
      </c>
      <c r="CJ17" t="e">
        <f>AND(#REF!,"AAAAAG78P1c=")</f>
        <v>#REF!</v>
      </c>
      <c r="CK17" t="e">
        <f>AND(#REF!,"AAAAAG78P1g=")</f>
        <v>#REF!</v>
      </c>
      <c r="CL17" t="e">
        <f>AND(#REF!,"AAAAAG78P1k=")</f>
        <v>#REF!</v>
      </c>
      <c r="CM17" t="e">
        <f>AND(#REF!,"AAAAAG78P1o=")</f>
        <v>#REF!</v>
      </c>
      <c r="CN17" t="e">
        <f>AND(#REF!,"AAAAAG78P1s=")</f>
        <v>#REF!</v>
      </c>
      <c r="CO17" t="e">
        <f>AND(#REF!,"AAAAAG78P1w=")</f>
        <v>#REF!</v>
      </c>
      <c r="CP17" t="e">
        <f>AND(#REF!,"AAAAAG78P10=")</f>
        <v>#REF!</v>
      </c>
      <c r="CQ17" t="e">
        <f>AND(#REF!,"AAAAAG78P14=")</f>
        <v>#REF!</v>
      </c>
      <c r="CR17" t="e">
        <f>AND(#REF!,"AAAAAG78P18=")</f>
        <v>#REF!</v>
      </c>
      <c r="CS17" t="e">
        <f>AND(#REF!,"AAAAAG78P2A=")</f>
        <v>#REF!</v>
      </c>
      <c r="CT17" t="e">
        <f>AND(#REF!,"AAAAAG78P2E=")</f>
        <v>#REF!</v>
      </c>
      <c r="CU17" t="e">
        <f>AND(#REF!,"AAAAAG78P2I=")</f>
        <v>#REF!</v>
      </c>
      <c r="CV17" t="e">
        <f>AND(#REF!,"AAAAAG78P2M=")</f>
        <v>#REF!</v>
      </c>
      <c r="CW17" t="e">
        <f>AND(#REF!,"AAAAAG78P2Q=")</f>
        <v>#REF!</v>
      </c>
      <c r="CX17" t="e">
        <f>AND(#REF!,"AAAAAG78P2U=")</f>
        <v>#REF!</v>
      </c>
      <c r="CY17" t="e">
        <f>AND(#REF!,"AAAAAG78P2Y=")</f>
        <v>#REF!</v>
      </c>
      <c r="CZ17" t="e">
        <f>AND(#REF!,"AAAAAG78P2c=")</f>
        <v>#REF!</v>
      </c>
      <c r="DA17" t="e">
        <f>AND(#REF!,"AAAAAG78P2g=")</f>
        <v>#REF!</v>
      </c>
      <c r="DB17" t="e">
        <f>AND(#REF!,"AAAAAG78P2k=")</f>
        <v>#REF!</v>
      </c>
      <c r="DC17" t="e">
        <f>AND(#REF!,"AAAAAG78P2o=")</f>
        <v>#REF!</v>
      </c>
      <c r="DD17" t="e">
        <f>AND(#REF!,"AAAAAG78P2s=")</f>
        <v>#REF!</v>
      </c>
      <c r="DE17" t="e">
        <f>AND(#REF!,"AAAAAG78P2w=")</f>
        <v>#REF!</v>
      </c>
      <c r="DF17" t="e">
        <f>AND(#REF!,"AAAAAG78P20=")</f>
        <v>#REF!</v>
      </c>
      <c r="DG17" t="e">
        <f>AND(#REF!,"AAAAAG78P24=")</f>
        <v>#REF!</v>
      </c>
      <c r="DH17" t="e">
        <f>AND(#REF!,"AAAAAG78P28=")</f>
        <v>#REF!</v>
      </c>
      <c r="DI17" t="e">
        <f>AND(#REF!,"AAAAAG78P3A=")</f>
        <v>#REF!</v>
      </c>
      <c r="DJ17" t="e">
        <f>AND(#REF!,"AAAAAG78P3E=")</f>
        <v>#REF!</v>
      </c>
      <c r="DK17" t="e">
        <f>AND(#REF!,"AAAAAG78P3I=")</f>
        <v>#REF!</v>
      </c>
      <c r="DL17" t="e">
        <f>AND(#REF!,"AAAAAG78P3M=")</f>
        <v>#REF!</v>
      </c>
      <c r="DM17" t="e">
        <f>AND(#REF!,"AAAAAG78P3Q=")</f>
        <v>#REF!</v>
      </c>
      <c r="DN17" t="e">
        <f>AND(#REF!,"AAAAAG78P3U=")</f>
        <v>#REF!</v>
      </c>
      <c r="DO17" t="e">
        <f>AND(#REF!,"AAAAAG78P3Y=")</f>
        <v>#REF!</v>
      </c>
      <c r="DP17" t="e">
        <f>AND(#REF!,"AAAAAG78P3c=")</f>
        <v>#REF!</v>
      </c>
      <c r="DQ17" t="e">
        <f>AND(#REF!,"AAAAAG78P3g=")</f>
        <v>#REF!</v>
      </c>
      <c r="DR17" t="e">
        <f>AND(#REF!,"AAAAAG78P3k=")</f>
        <v>#REF!</v>
      </c>
      <c r="DS17" t="e">
        <f>AND(#REF!,"AAAAAG78P3o=")</f>
        <v>#REF!</v>
      </c>
      <c r="DT17" t="e">
        <f>AND(#REF!,"AAAAAG78P3s=")</f>
        <v>#REF!</v>
      </c>
      <c r="DU17" t="e">
        <f>AND(#REF!,"AAAAAG78P3w=")</f>
        <v>#REF!</v>
      </c>
      <c r="DV17" t="e">
        <f>AND(#REF!,"AAAAAG78P30=")</f>
        <v>#REF!</v>
      </c>
      <c r="DW17" t="e">
        <f>AND(#REF!,"AAAAAG78P34=")</f>
        <v>#REF!</v>
      </c>
      <c r="DX17" t="e">
        <f>AND(#REF!,"AAAAAG78P38=")</f>
        <v>#REF!</v>
      </c>
      <c r="DY17" t="e">
        <f>AND(#REF!,"AAAAAG78P4A=")</f>
        <v>#REF!</v>
      </c>
      <c r="DZ17" t="e">
        <f>AND(#REF!,"AAAAAG78P4E=")</f>
        <v>#REF!</v>
      </c>
      <c r="EA17" t="e">
        <f>AND(#REF!,"AAAAAG78P4I=")</f>
        <v>#REF!</v>
      </c>
      <c r="EB17" t="e">
        <f>AND(#REF!,"AAAAAG78P4M=")</f>
        <v>#REF!</v>
      </c>
      <c r="EC17" t="e">
        <f>AND(#REF!,"AAAAAG78P4Q=")</f>
        <v>#REF!</v>
      </c>
      <c r="ED17" t="e">
        <f>AND(#REF!,"AAAAAG78P4U=")</f>
        <v>#REF!</v>
      </c>
      <c r="EE17" t="e">
        <f>AND(#REF!,"AAAAAG78P4Y=")</f>
        <v>#REF!</v>
      </c>
      <c r="EF17" t="e">
        <f>AND(#REF!,"AAAAAG78P4c=")</f>
        <v>#REF!</v>
      </c>
      <c r="EG17" t="e">
        <f>AND(#REF!,"AAAAAG78P4g=")</f>
        <v>#REF!</v>
      </c>
      <c r="EH17" t="e">
        <f>AND(#REF!,"AAAAAG78P4k=")</f>
        <v>#REF!</v>
      </c>
      <c r="EI17" t="e">
        <f>AND(#REF!,"AAAAAG78P4o=")</f>
        <v>#REF!</v>
      </c>
      <c r="EJ17" t="e">
        <f>AND(#REF!,"AAAAAG78P4s=")</f>
        <v>#REF!</v>
      </c>
      <c r="EK17" t="e">
        <f>AND(#REF!,"AAAAAG78P4w=")</f>
        <v>#REF!</v>
      </c>
      <c r="EL17" t="e">
        <f>AND(#REF!,"AAAAAG78P40=")</f>
        <v>#REF!</v>
      </c>
      <c r="EM17" t="e">
        <f>AND(#REF!,"AAAAAG78P44=")</f>
        <v>#REF!</v>
      </c>
      <c r="EN17" t="e">
        <f>AND(#REF!,"AAAAAG78P48=")</f>
        <v>#REF!</v>
      </c>
      <c r="EO17" t="e">
        <f>AND(#REF!,"AAAAAG78P5A=")</f>
        <v>#REF!</v>
      </c>
      <c r="EP17" t="e">
        <f>AND(#REF!,"AAAAAG78P5E=")</f>
        <v>#REF!</v>
      </c>
      <c r="EQ17" t="e">
        <f>AND(#REF!,"AAAAAG78P5I=")</f>
        <v>#REF!</v>
      </c>
      <c r="ER17" t="e">
        <f>AND(#REF!,"AAAAAG78P5M=")</f>
        <v>#REF!</v>
      </c>
      <c r="ES17" t="e">
        <f>AND(#REF!,"AAAAAG78P5Q=")</f>
        <v>#REF!</v>
      </c>
      <c r="ET17" t="e">
        <f>AND(#REF!,"AAAAAG78P5U=")</f>
        <v>#REF!</v>
      </c>
      <c r="EU17" t="e">
        <f>AND(#REF!,"AAAAAG78P5Y=")</f>
        <v>#REF!</v>
      </c>
      <c r="EV17" t="e">
        <f>AND(#REF!,"AAAAAG78P5c=")</f>
        <v>#REF!</v>
      </c>
      <c r="EW17" t="e">
        <f>AND(#REF!,"AAAAAG78P5g=")</f>
        <v>#REF!</v>
      </c>
      <c r="EX17" t="e">
        <f>AND(#REF!,"AAAAAG78P5k=")</f>
        <v>#REF!</v>
      </c>
      <c r="EY17" t="e">
        <f>AND(#REF!,"AAAAAG78P5o=")</f>
        <v>#REF!</v>
      </c>
      <c r="EZ17" t="e">
        <f>AND(#REF!,"AAAAAG78P5s=")</f>
        <v>#REF!</v>
      </c>
      <c r="FA17" t="e">
        <f>AND(#REF!,"AAAAAG78P5w=")</f>
        <v>#REF!</v>
      </c>
      <c r="FB17" t="e">
        <f>AND(#REF!,"AAAAAG78P50=")</f>
        <v>#REF!</v>
      </c>
      <c r="FC17" t="e">
        <f>AND(#REF!,"AAAAAG78P54=")</f>
        <v>#REF!</v>
      </c>
      <c r="FD17" t="e">
        <f>AND(#REF!,"AAAAAG78P58=")</f>
        <v>#REF!</v>
      </c>
      <c r="FE17" t="e">
        <f>AND(#REF!,"AAAAAG78P6A=")</f>
        <v>#REF!</v>
      </c>
      <c r="FF17" t="e">
        <f>AND(#REF!,"AAAAAG78P6E=")</f>
        <v>#REF!</v>
      </c>
      <c r="FG17" t="e">
        <f>AND(#REF!,"AAAAAG78P6I=")</f>
        <v>#REF!</v>
      </c>
      <c r="FH17" t="e">
        <f>AND(#REF!,"AAAAAG78P6M=")</f>
        <v>#REF!</v>
      </c>
      <c r="FI17" t="e">
        <f>AND(#REF!,"AAAAAG78P6Q=")</f>
        <v>#REF!</v>
      </c>
      <c r="FJ17" t="e">
        <f>AND(#REF!,"AAAAAG78P6U=")</f>
        <v>#REF!</v>
      </c>
      <c r="FK17" t="e">
        <f>AND(#REF!,"AAAAAG78P6Y=")</f>
        <v>#REF!</v>
      </c>
      <c r="FL17" t="e">
        <f>AND(#REF!,"AAAAAG78P6c=")</f>
        <v>#REF!</v>
      </c>
      <c r="FM17" t="e">
        <f>AND(#REF!,"AAAAAG78P6g=")</f>
        <v>#REF!</v>
      </c>
      <c r="FN17" t="e">
        <f>AND(#REF!,"AAAAAG78P6k=")</f>
        <v>#REF!</v>
      </c>
      <c r="FO17" t="e">
        <f>AND(#REF!,"AAAAAG78P6o=")</f>
        <v>#REF!</v>
      </c>
      <c r="FP17" t="e">
        <f>AND(#REF!,"AAAAAG78P6s=")</f>
        <v>#REF!</v>
      </c>
      <c r="FQ17" t="e">
        <f>AND(#REF!,"AAAAAG78P6w=")</f>
        <v>#REF!</v>
      </c>
      <c r="FR17" t="e">
        <f>AND(#REF!,"AAAAAG78P60=")</f>
        <v>#REF!</v>
      </c>
      <c r="FS17" t="e">
        <f>AND(#REF!,"AAAAAG78P64=")</f>
        <v>#REF!</v>
      </c>
      <c r="FT17" t="e">
        <f>AND(#REF!,"AAAAAG78P68=")</f>
        <v>#REF!</v>
      </c>
      <c r="FU17" t="e">
        <f>AND(#REF!,"AAAAAG78P7A=")</f>
        <v>#REF!</v>
      </c>
      <c r="FV17" t="e">
        <f>AND(#REF!,"AAAAAG78P7E=")</f>
        <v>#REF!</v>
      </c>
      <c r="FW17" t="e">
        <f>AND(#REF!,"AAAAAG78P7I=")</f>
        <v>#REF!</v>
      </c>
      <c r="FX17" t="e">
        <f>AND(#REF!,"AAAAAG78P7M=")</f>
        <v>#REF!</v>
      </c>
      <c r="FY17" t="e">
        <f>AND(#REF!,"AAAAAG78P7Q=")</f>
        <v>#REF!</v>
      </c>
      <c r="FZ17" t="e">
        <f>AND(#REF!,"AAAAAG78P7U=")</f>
        <v>#REF!</v>
      </c>
      <c r="GA17" t="e">
        <f>AND(#REF!,"AAAAAG78P7Y=")</f>
        <v>#REF!</v>
      </c>
      <c r="GB17" t="e">
        <f>AND(#REF!,"AAAAAG78P7c=")</f>
        <v>#REF!</v>
      </c>
      <c r="GC17" t="e">
        <f>AND(#REF!,"AAAAAG78P7g=")</f>
        <v>#REF!</v>
      </c>
      <c r="GD17" t="e">
        <f>AND(#REF!,"AAAAAG78P7k=")</f>
        <v>#REF!</v>
      </c>
      <c r="GE17" t="e">
        <f>AND(#REF!,"AAAAAG78P7o=")</f>
        <v>#REF!</v>
      </c>
      <c r="GF17" t="e">
        <f>AND(#REF!,"AAAAAG78P7s=")</f>
        <v>#REF!</v>
      </c>
      <c r="GG17" t="e">
        <f>AND(#REF!,"AAAAAG78P7w=")</f>
        <v>#REF!</v>
      </c>
      <c r="GH17" t="e">
        <f>AND(#REF!,"AAAAAG78P70=")</f>
        <v>#REF!</v>
      </c>
      <c r="GI17" t="e">
        <f>AND(#REF!,"AAAAAG78P74=")</f>
        <v>#REF!</v>
      </c>
      <c r="GJ17" t="e">
        <f>AND(#REF!,"AAAAAG78P78=")</f>
        <v>#REF!</v>
      </c>
      <c r="GK17" t="e">
        <f>AND(#REF!,"AAAAAG78P8A=")</f>
        <v>#REF!</v>
      </c>
      <c r="GL17" t="e">
        <f>AND(#REF!,"AAAAAG78P8E=")</f>
        <v>#REF!</v>
      </c>
      <c r="GM17" t="e">
        <f>AND(#REF!,"AAAAAG78P8I=")</f>
        <v>#REF!</v>
      </c>
      <c r="GN17" t="e">
        <f>AND(#REF!,"AAAAAG78P8M=")</f>
        <v>#REF!</v>
      </c>
      <c r="GO17" t="e">
        <f>AND(#REF!,"AAAAAG78P8Q=")</f>
        <v>#REF!</v>
      </c>
      <c r="GP17" t="e">
        <f>AND(#REF!,"AAAAAG78P8U=")</f>
        <v>#REF!</v>
      </c>
      <c r="GQ17" t="e">
        <f>AND(#REF!,"AAAAAG78P8Y=")</f>
        <v>#REF!</v>
      </c>
      <c r="GR17" t="e">
        <f>AND(#REF!,"AAAAAG78P8c=")</f>
        <v>#REF!</v>
      </c>
      <c r="GS17" t="e">
        <f>AND(#REF!,"AAAAAG78P8g=")</f>
        <v>#REF!</v>
      </c>
      <c r="GT17" t="e">
        <f>AND(#REF!,"AAAAAG78P8k=")</f>
        <v>#REF!</v>
      </c>
      <c r="GU17" t="e">
        <f>AND(#REF!,"AAAAAG78P8o=")</f>
        <v>#REF!</v>
      </c>
      <c r="GV17" t="e">
        <f>AND(#REF!,"AAAAAG78P8s=")</f>
        <v>#REF!</v>
      </c>
      <c r="GW17" t="e">
        <f>AND(#REF!,"AAAAAG78P8w=")</f>
        <v>#REF!</v>
      </c>
      <c r="GX17" t="e">
        <f>AND(#REF!,"AAAAAG78P80=")</f>
        <v>#REF!</v>
      </c>
      <c r="GY17" t="e">
        <f>AND(#REF!,"AAAAAG78P84=")</f>
        <v>#REF!</v>
      </c>
      <c r="GZ17" t="e">
        <f>AND(#REF!,"AAAAAG78P88=")</f>
        <v>#REF!</v>
      </c>
      <c r="HA17" t="e">
        <f>AND(#REF!,"AAAAAG78P9A=")</f>
        <v>#REF!</v>
      </c>
      <c r="HB17" t="e">
        <f>AND(#REF!,"AAAAAG78P9E=")</f>
        <v>#REF!</v>
      </c>
      <c r="HC17" t="e">
        <f>AND(#REF!,"AAAAAG78P9I=")</f>
        <v>#REF!</v>
      </c>
      <c r="HD17" t="e">
        <f>AND(#REF!,"AAAAAG78P9M=")</f>
        <v>#REF!</v>
      </c>
      <c r="HE17" t="e">
        <f>AND(#REF!,"AAAAAG78P9Q=")</f>
        <v>#REF!</v>
      </c>
      <c r="HF17" t="e">
        <f>AND(#REF!,"AAAAAG78P9U=")</f>
        <v>#REF!</v>
      </c>
      <c r="HG17" t="e">
        <f>AND(#REF!,"AAAAAG78P9Y=")</f>
        <v>#REF!</v>
      </c>
      <c r="HH17" t="e">
        <f>AND(#REF!,"AAAAAG78P9c=")</f>
        <v>#REF!</v>
      </c>
      <c r="HI17" t="e">
        <f>AND(#REF!,"AAAAAG78P9g=")</f>
        <v>#REF!</v>
      </c>
      <c r="HJ17" t="e">
        <f>AND(#REF!,"AAAAAG78P9k=")</f>
        <v>#REF!</v>
      </c>
      <c r="HK17" t="e">
        <f>AND(#REF!,"AAAAAG78P9o=")</f>
        <v>#REF!</v>
      </c>
      <c r="HL17" t="e">
        <f>AND(#REF!,"AAAAAG78P9s=")</f>
        <v>#REF!</v>
      </c>
      <c r="HM17" t="e">
        <f>AND(#REF!,"AAAAAG78P9w=")</f>
        <v>#REF!</v>
      </c>
      <c r="HN17" t="e">
        <f>AND(#REF!,"AAAAAG78P90=")</f>
        <v>#REF!</v>
      </c>
      <c r="HO17" t="e">
        <f>AND(#REF!,"AAAAAG78P94=")</f>
        <v>#REF!</v>
      </c>
      <c r="HP17" t="e">
        <f>AND(#REF!,"AAAAAG78P98=")</f>
        <v>#REF!</v>
      </c>
      <c r="HQ17" t="e">
        <f>AND(#REF!,"AAAAAG78P+A=")</f>
        <v>#REF!</v>
      </c>
      <c r="HR17" t="e">
        <f>AND(#REF!,"AAAAAG78P+E=")</f>
        <v>#REF!</v>
      </c>
      <c r="HS17" t="e">
        <f>AND(#REF!,"AAAAAG78P+I=")</f>
        <v>#REF!</v>
      </c>
      <c r="HT17" t="e">
        <f>AND(#REF!,"AAAAAG78P+M=")</f>
        <v>#REF!</v>
      </c>
      <c r="HU17" t="e">
        <f>AND(#REF!,"AAAAAG78P+Q=")</f>
        <v>#REF!</v>
      </c>
      <c r="HV17" t="e">
        <f>AND(#REF!,"AAAAAG78P+U=")</f>
        <v>#REF!</v>
      </c>
      <c r="HW17" t="e">
        <f>AND(#REF!,"AAAAAG78P+Y=")</f>
        <v>#REF!</v>
      </c>
      <c r="HX17" t="e">
        <f>AND(#REF!,"AAAAAG78P+c=")</f>
        <v>#REF!</v>
      </c>
      <c r="HY17" t="e">
        <f>AND(#REF!,"AAAAAG78P+g=")</f>
        <v>#REF!</v>
      </c>
      <c r="HZ17" t="e">
        <f>AND(#REF!,"AAAAAG78P+k=")</f>
        <v>#REF!</v>
      </c>
      <c r="IA17" t="e">
        <f>AND(#REF!,"AAAAAG78P+o=")</f>
        <v>#REF!</v>
      </c>
      <c r="IB17" t="e">
        <f>AND(#REF!,"AAAAAG78P+s=")</f>
        <v>#REF!</v>
      </c>
      <c r="IC17" t="e">
        <f>AND(#REF!,"AAAAAG78P+w=")</f>
        <v>#REF!</v>
      </c>
      <c r="ID17" t="e">
        <f>AND(#REF!,"AAAAAG78P+0=")</f>
        <v>#REF!</v>
      </c>
      <c r="IE17" t="e">
        <f>AND(#REF!,"AAAAAG78P+4=")</f>
        <v>#REF!</v>
      </c>
      <c r="IF17" t="e">
        <f>AND(#REF!,"AAAAAG78P+8=")</f>
        <v>#REF!</v>
      </c>
      <c r="IG17" t="e">
        <f>AND(#REF!,"AAAAAG78P/A=")</f>
        <v>#REF!</v>
      </c>
      <c r="IH17" t="e">
        <f>AND(#REF!,"AAAAAG78P/E=")</f>
        <v>#REF!</v>
      </c>
      <c r="II17" t="e">
        <f>AND(#REF!,"AAAAAG78P/I=")</f>
        <v>#REF!</v>
      </c>
      <c r="IJ17" t="e">
        <f>AND(#REF!,"AAAAAG78P/M=")</f>
        <v>#REF!</v>
      </c>
      <c r="IK17" t="e">
        <f>AND(#REF!,"AAAAAG78P/Q=")</f>
        <v>#REF!</v>
      </c>
      <c r="IL17" t="e">
        <f>AND(#REF!,"AAAAAG78P/U=")</f>
        <v>#REF!</v>
      </c>
      <c r="IM17" t="e">
        <f>AND(#REF!,"AAAAAG78P/Y=")</f>
        <v>#REF!</v>
      </c>
      <c r="IN17" t="e">
        <f>AND(#REF!,"AAAAAG78P/c=")</f>
        <v>#REF!</v>
      </c>
      <c r="IO17" t="e">
        <f>AND(#REF!,"AAAAAG78P/g=")</f>
        <v>#REF!</v>
      </c>
      <c r="IP17" t="e">
        <f>AND(#REF!,"AAAAAG78P/k=")</f>
        <v>#REF!</v>
      </c>
      <c r="IQ17" t="e">
        <f>AND(#REF!,"AAAAAG78P/o=")</f>
        <v>#REF!</v>
      </c>
      <c r="IR17" t="e">
        <f>AND(#REF!,"AAAAAG78P/s=")</f>
        <v>#REF!</v>
      </c>
      <c r="IS17" t="e">
        <f>AND(#REF!,"AAAAAG78P/w=")</f>
        <v>#REF!</v>
      </c>
      <c r="IT17" t="e">
        <f>AND(#REF!,"AAAAAG78P/0=")</f>
        <v>#REF!</v>
      </c>
      <c r="IU17" t="e">
        <f>AND(#REF!,"AAAAAG78P/4=")</f>
        <v>#REF!</v>
      </c>
      <c r="IV17" t="e">
        <f>AND(#REF!,"AAAAAG78P/8=")</f>
        <v>#REF!</v>
      </c>
    </row>
    <row r="18" spans="1:256">
      <c r="A18" t="e">
        <f>AND(#REF!,"AAAAAG/HrgA=")</f>
        <v>#REF!</v>
      </c>
      <c r="B18" t="e">
        <f>AND(#REF!,"AAAAAG/HrgE=")</f>
        <v>#REF!</v>
      </c>
      <c r="C18" t="e">
        <f>AND(#REF!,"AAAAAG/HrgI=")</f>
        <v>#REF!</v>
      </c>
      <c r="D18" t="e">
        <f>AND(#REF!,"AAAAAG/HrgM=")</f>
        <v>#REF!</v>
      </c>
      <c r="E18" t="e">
        <f>AND(#REF!,"AAAAAG/HrgQ=")</f>
        <v>#REF!</v>
      </c>
      <c r="F18" t="e">
        <f>AND(#REF!,"AAAAAG/HrgU=")</f>
        <v>#REF!</v>
      </c>
      <c r="G18" t="e">
        <f>AND(#REF!,"AAAAAG/HrgY=")</f>
        <v>#REF!</v>
      </c>
      <c r="H18" t="e">
        <f>AND(#REF!,"AAAAAG/Hrgc=")</f>
        <v>#REF!</v>
      </c>
      <c r="I18" t="e">
        <f>AND(#REF!,"AAAAAG/Hrgg=")</f>
        <v>#REF!</v>
      </c>
      <c r="J18" t="e">
        <f>AND(#REF!,"AAAAAG/Hrgk=")</f>
        <v>#REF!</v>
      </c>
      <c r="K18" t="e">
        <f>AND(#REF!,"AAAAAG/Hrgo=")</f>
        <v>#REF!</v>
      </c>
      <c r="L18" t="e">
        <f>AND(#REF!,"AAAAAG/Hrgs=")</f>
        <v>#REF!</v>
      </c>
      <c r="M18" t="e">
        <f>AND(#REF!,"AAAAAG/Hrgw=")</f>
        <v>#REF!</v>
      </c>
      <c r="N18" t="e">
        <f>AND(#REF!,"AAAAAG/Hrg0=")</f>
        <v>#REF!</v>
      </c>
      <c r="O18" t="e">
        <f>AND(#REF!,"AAAAAG/Hrg4=")</f>
        <v>#REF!</v>
      </c>
      <c r="P18" t="e">
        <f>AND(#REF!,"AAAAAG/Hrg8=")</f>
        <v>#REF!</v>
      </c>
      <c r="Q18" t="e">
        <f>AND(#REF!,"AAAAAG/HrhA=")</f>
        <v>#REF!</v>
      </c>
      <c r="R18" t="e">
        <f>AND(#REF!,"AAAAAG/HrhE=")</f>
        <v>#REF!</v>
      </c>
      <c r="S18" t="e">
        <f>AND(#REF!,"AAAAAG/HrhI=")</f>
        <v>#REF!</v>
      </c>
      <c r="T18" t="e">
        <f>AND(#REF!,"AAAAAG/HrhM=")</f>
        <v>#REF!</v>
      </c>
      <c r="U18" t="e">
        <f>AND(#REF!,"AAAAAG/HrhQ=")</f>
        <v>#REF!</v>
      </c>
      <c r="V18" t="e">
        <f>AND(#REF!,"AAAAAG/HrhU=")</f>
        <v>#REF!</v>
      </c>
      <c r="W18" t="e">
        <f>AND(#REF!,"AAAAAG/HrhY=")</f>
        <v>#REF!</v>
      </c>
      <c r="X18" t="e">
        <f>AND(#REF!,"AAAAAG/Hrhc=")</f>
        <v>#REF!</v>
      </c>
      <c r="Y18" t="e">
        <f>AND(#REF!,"AAAAAG/Hrhg=")</f>
        <v>#REF!</v>
      </c>
      <c r="Z18" t="e">
        <f>AND(#REF!,"AAAAAG/Hrhk=")</f>
        <v>#REF!</v>
      </c>
      <c r="AA18" t="e">
        <f>AND(#REF!,"AAAAAG/Hrho=")</f>
        <v>#REF!</v>
      </c>
      <c r="AB18" t="e">
        <f>AND(#REF!,"AAAAAG/Hrhs=")</f>
        <v>#REF!</v>
      </c>
      <c r="AC18" t="e">
        <f>AND(#REF!,"AAAAAG/Hrhw=")</f>
        <v>#REF!</v>
      </c>
      <c r="AD18" t="e">
        <f>AND(#REF!,"AAAAAG/Hrh0=")</f>
        <v>#REF!</v>
      </c>
      <c r="AE18" t="e">
        <f>AND(#REF!,"AAAAAG/Hrh4=")</f>
        <v>#REF!</v>
      </c>
      <c r="AF18" t="e">
        <f>AND(#REF!,"AAAAAG/Hrh8=")</f>
        <v>#REF!</v>
      </c>
      <c r="AG18" t="e">
        <f>AND(#REF!,"AAAAAG/HriA=")</f>
        <v>#REF!</v>
      </c>
      <c r="AH18" t="e">
        <f>AND(#REF!,"AAAAAG/HriE=")</f>
        <v>#REF!</v>
      </c>
      <c r="AI18" t="e">
        <f>AND(#REF!,"AAAAAG/HriI=")</f>
        <v>#REF!</v>
      </c>
      <c r="AJ18" t="e">
        <f>AND(#REF!,"AAAAAG/HriM=")</f>
        <v>#REF!</v>
      </c>
      <c r="AK18" t="e">
        <f>AND(#REF!,"AAAAAG/HriQ=")</f>
        <v>#REF!</v>
      </c>
      <c r="AL18" t="e">
        <f>AND(#REF!,"AAAAAG/HriU=")</f>
        <v>#REF!</v>
      </c>
      <c r="AM18" t="e">
        <f>AND(#REF!,"AAAAAG/HriY=")</f>
        <v>#REF!</v>
      </c>
      <c r="AN18" t="e">
        <f>AND(#REF!,"AAAAAG/Hric=")</f>
        <v>#REF!</v>
      </c>
      <c r="AO18" t="e">
        <f>AND(#REF!,"AAAAAG/Hrig=")</f>
        <v>#REF!</v>
      </c>
      <c r="AP18" t="e">
        <f>AND(#REF!,"AAAAAG/Hrik=")</f>
        <v>#REF!</v>
      </c>
      <c r="AQ18" t="e">
        <f>AND(#REF!,"AAAAAG/Hrio=")</f>
        <v>#REF!</v>
      </c>
      <c r="AR18" t="e">
        <f>AND(#REF!,"AAAAAG/Hris=")</f>
        <v>#REF!</v>
      </c>
      <c r="AS18" t="e">
        <f>AND(#REF!,"AAAAAG/Hriw=")</f>
        <v>#REF!</v>
      </c>
      <c r="AT18" t="e">
        <f>AND(#REF!,"AAAAAG/Hri0=")</f>
        <v>#REF!</v>
      </c>
      <c r="AU18" t="e">
        <f>AND(#REF!,"AAAAAG/Hri4=")</f>
        <v>#REF!</v>
      </c>
      <c r="AV18" t="e">
        <f>AND(#REF!,"AAAAAG/Hri8=")</f>
        <v>#REF!</v>
      </c>
      <c r="AW18" t="e">
        <f>AND(#REF!,"AAAAAG/HrjA=")</f>
        <v>#REF!</v>
      </c>
      <c r="AX18" t="e">
        <f>AND(#REF!,"AAAAAG/HrjE=")</f>
        <v>#REF!</v>
      </c>
      <c r="AY18" t="e">
        <f>AND(#REF!,"AAAAAG/HrjI=")</f>
        <v>#REF!</v>
      </c>
      <c r="AZ18" t="e">
        <f>AND(#REF!,"AAAAAG/HrjM=")</f>
        <v>#REF!</v>
      </c>
      <c r="BA18" t="e">
        <f>AND(#REF!,"AAAAAG/HrjQ=")</f>
        <v>#REF!</v>
      </c>
      <c r="BB18" t="e">
        <f>AND(#REF!,"AAAAAG/HrjU=")</f>
        <v>#REF!</v>
      </c>
      <c r="BC18" t="e">
        <f>AND(#REF!,"AAAAAG/HrjY=")</f>
        <v>#REF!</v>
      </c>
      <c r="BD18" t="e">
        <f>AND(#REF!,"AAAAAG/Hrjc=")</f>
        <v>#REF!</v>
      </c>
      <c r="BE18" t="e">
        <f>AND(#REF!,"AAAAAG/Hrjg=")</f>
        <v>#REF!</v>
      </c>
      <c r="BF18" t="e">
        <f>AND(#REF!,"AAAAAG/Hrjk=")</f>
        <v>#REF!</v>
      </c>
      <c r="BG18" t="e">
        <f>AND(#REF!,"AAAAAG/Hrjo=")</f>
        <v>#REF!</v>
      </c>
      <c r="BH18" t="e">
        <f>AND(#REF!,"AAAAAG/Hrjs=")</f>
        <v>#REF!</v>
      </c>
      <c r="BI18" t="e">
        <f>AND(#REF!,"AAAAAG/Hrjw=")</f>
        <v>#REF!</v>
      </c>
      <c r="BJ18" t="e">
        <f>AND(#REF!,"AAAAAG/Hrj0=")</f>
        <v>#REF!</v>
      </c>
      <c r="BK18" t="e">
        <f>AND(#REF!,"AAAAAG/Hrj4=")</f>
        <v>#REF!</v>
      </c>
      <c r="BL18" t="e">
        <f>AND(#REF!,"AAAAAG/Hrj8=")</f>
        <v>#REF!</v>
      </c>
      <c r="BM18" t="e">
        <f>AND(#REF!,"AAAAAG/HrkA=")</f>
        <v>#REF!</v>
      </c>
      <c r="BN18" t="e">
        <f>AND(#REF!,"AAAAAG/HrkE=")</f>
        <v>#REF!</v>
      </c>
      <c r="BO18" t="e">
        <f>AND(#REF!,"AAAAAG/HrkI=")</f>
        <v>#REF!</v>
      </c>
      <c r="BP18" t="e">
        <f>AND(#REF!,"AAAAAG/HrkM=")</f>
        <v>#REF!</v>
      </c>
      <c r="BQ18" t="e">
        <f>AND(#REF!,"AAAAAG/HrkQ=")</f>
        <v>#REF!</v>
      </c>
      <c r="BR18" t="e">
        <f>AND(#REF!,"AAAAAG/HrkU=")</f>
        <v>#REF!</v>
      </c>
      <c r="BS18" t="e">
        <f>AND(#REF!,"AAAAAG/HrkY=")</f>
        <v>#REF!</v>
      </c>
      <c r="BT18" t="e">
        <f>AND(#REF!,"AAAAAG/Hrkc=")</f>
        <v>#REF!</v>
      </c>
      <c r="BU18" t="e">
        <f>AND(#REF!,"AAAAAG/Hrkg=")</f>
        <v>#REF!</v>
      </c>
      <c r="BV18" t="e">
        <f>AND(#REF!,"AAAAAG/Hrkk=")</f>
        <v>#REF!</v>
      </c>
      <c r="BW18" t="e">
        <f>AND(#REF!,"AAAAAG/Hrko=")</f>
        <v>#REF!</v>
      </c>
      <c r="BX18" t="e">
        <f>AND(#REF!,"AAAAAG/Hrks=")</f>
        <v>#REF!</v>
      </c>
      <c r="BY18" t="e">
        <f>AND(#REF!,"AAAAAG/Hrkw=")</f>
        <v>#REF!</v>
      </c>
      <c r="BZ18" t="e">
        <f>AND(#REF!,"AAAAAG/Hrk0=")</f>
        <v>#REF!</v>
      </c>
      <c r="CA18" t="e">
        <f>AND(#REF!,"AAAAAG/Hrk4=")</f>
        <v>#REF!</v>
      </c>
      <c r="CB18" t="e">
        <f>AND(#REF!,"AAAAAG/Hrk8=")</f>
        <v>#REF!</v>
      </c>
      <c r="CC18" t="e">
        <f>AND(#REF!,"AAAAAG/HrlA=")</f>
        <v>#REF!</v>
      </c>
      <c r="CD18" t="e">
        <f>AND(#REF!,"AAAAAG/HrlE=")</f>
        <v>#REF!</v>
      </c>
      <c r="CE18" t="e">
        <f>AND(#REF!,"AAAAAG/HrlI=")</f>
        <v>#REF!</v>
      </c>
      <c r="CF18" t="e">
        <f>AND(#REF!,"AAAAAG/HrlM=")</f>
        <v>#REF!</v>
      </c>
      <c r="CG18" t="e">
        <f>AND(#REF!,"AAAAAG/HrlQ=")</f>
        <v>#REF!</v>
      </c>
      <c r="CH18" t="e">
        <f>AND(#REF!,"AAAAAG/HrlU=")</f>
        <v>#REF!</v>
      </c>
      <c r="CI18" t="e">
        <f>AND(#REF!,"AAAAAG/HrlY=")</f>
        <v>#REF!</v>
      </c>
      <c r="CJ18" t="e">
        <f>AND(#REF!,"AAAAAG/Hrlc=")</f>
        <v>#REF!</v>
      </c>
      <c r="CK18" t="e">
        <f>AND(#REF!,"AAAAAG/Hrlg=")</f>
        <v>#REF!</v>
      </c>
      <c r="CL18" t="e">
        <f>AND(#REF!,"AAAAAG/Hrlk=")</f>
        <v>#REF!</v>
      </c>
      <c r="CM18" t="e">
        <f>AND(#REF!,"AAAAAG/Hrlo=")</f>
        <v>#REF!</v>
      </c>
      <c r="CN18" t="e">
        <f>AND(#REF!,"AAAAAG/Hrls=")</f>
        <v>#REF!</v>
      </c>
      <c r="CO18" t="e">
        <f>AND(#REF!,"AAAAAG/Hrlw=")</f>
        <v>#REF!</v>
      </c>
      <c r="CP18" t="e">
        <f>AND(#REF!,"AAAAAG/Hrl0=")</f>
        <v>#REF!</v>
      </c>
      <c r="CQ18" t="e">
        <f>AND(#REF!,"AAAAAG/Hrl4=")</f>
        <v>#REF!</v>
      </c>
      <c r="CR18" t="e">
        <f>AND(#REF!,"AAAAAG/Hrl8=")</f>
        <v>#REF!</v>
      </c>
      <c r="CS18" t="e">
        <f>AND(#REF!,"AAAAAG/HrmA=")</f>
        <v>#REF!</v>
      </c>
      <c r="CT18" t="e">
        <f>AND(#REF!,"AAAAAG/HrmE=")</f>
        <v>#REF!</v>
      </c>
      <c r="CU18" t="e">
        <f>AND(#REF!,"AAAAAG/HrmI=")</f>
        <v>#REF!</v>
      </c>
      <c r="CV18" t="e">
        <f>AND(#REF!,"AAAAAG/HrmM=")</f>
        <v>#REF!</v>
      </c>
      <c r="CW18" t="e">
        <f>AND(#REF!,"AAAAAG/HrmQ=")</f>
        <v>#REF!</v>
      </c>
      <c r="CX18" t="e">
        <f>AND(#REF!,"AAAAAG/HrmU=")</f>
        <v>#REF!</v>
      </c>
      <c r="CY18" t="e">
        <f>AND(#REF!,"AAAAAG/HrmY=")</f>
        <v>#REF!</v>
      </c>
      <c r="CZ18" t="e">
        <f>AND(#REF!,"AAAAAG/Hrmc=")</f>
        <v>#REF!</v>
      </c>
      <c r="DA18" t="e">
        <f>AND(#REF!,"AAAAAG/Hrmg=")</f>
        <v>#REF!</v>
      </c>
      <c r="DB18" t="e">
        <f>AND(#REF!,"AAAAAG/Hrmk=")</f>
        <v>#REF!</v>
      </c>
      <c r="DC18" t="e">
        <f>AND(#REF!,"AAAAAG/Hrmo=")</f>
        <v>#REF!</v>
      </c>
      <c r="DD18" t="e">
        <f>AND(#REF!,"AAAAAG/Hrms=")</f>
        <v>#REF!</v>
      </c>
      <c r="DE18" t="e">
        <f>AND(#REF!,"AAAAAG/Hrmw=")</f>
        <v>#REF!</v>
      </c>
      <c r="DF18" t="e">
        <f>AND(#REF!,"AAAAAG/Hrm0=")</f>
        <v>#REF!</v>
      </c>
      <c r="DG18" t="e">
        <f>AND(#REF!,"AAAAAG/Hrm4=")</f>
        <v>#REF!</v>
      </c>
      <c r="DH18" t="e">
        <f>AND(#REF!,"AAAAAG/Hrm8=")</f>
        <v>#REF!</v>
      </c>
      <c r="DI18" t="e">
        <f>AND(#REF!,"AAAAAG/HrnA=")</f>
        <v>#REF!</v>
      </c>
      <c r="DJ18" t="e">
        <f>AND(#REF!,"AAAAAG/HrnE=")</f>
        <v>#REF!</v>
      </c>
      <c r="DK18" t="e">
        <f>AND(#REF!,"AAAAAG/HrnI=")</f>
        <v>#REF!</v>
      </c>
      <c r="DL18" t="e">
        <f>AND(#REF!,"AAAAAG/HrnM=")</f>
        <v>#REF!</v>
      </c>
      <c r="DM18" t="e">
        <f>AND(#REF!,"AAAAAG/HrnQ=")</f>
        <v>#REF!</v>
      </c>
      <c r="DN18" t="e">
        <f>AND(#REF!,"AAAAAG/HrnU=")</f>
        <v>#REF!</v>
      </c>
      <c r="DO18" t="e">
        <f>AND(#REF!,"AAAAAG/HrnY=")</f>
        <v>#REF!</v>
      </c>
      <c r="DP18" t="e">
        <f>AND(#REF!,"AAAAAG/Hrnc=")</f>
        <v>#REF!</v>
      </c>
      <c r="DQ18" t="e">
        <f>AND(#REF!,"AAAAAG/Hrng=")</f>
        <v>#REF!</v>
      </c>
      <c r="DR18" t="e">
        <f>AND(#REF!,"AAAAAG/Hrnk=")</f>
        <v>#REF!</v>
      </c>
      <c r="DS18" t="e">
        <f>AND(#REF!,"AAAAAG/Hrno=")</f>
        <v>#REF!</v>
      </c>
      <c r="DT18" t="e">
        <f>AND(#REF!,"AAAAAG/Hrns=")</f>
        <v>#REF!</v>
      </c>
      <c r="DU18" t="e">
        <f>AND(#REF!,"AAAAAG/Hrnw=")</f>
        <v>#REF!</v>
      </c>
      <c r="DV18" t="e">
        <f>AND(#REF!,"AAAAAG/Hrn0=")</f>
        <v>#REF!</v>
      </c>
      <c r="DW18" t="e">
        <f>AND(#REF!,"AAAAAG/Hrn4=")</f>
        <v>#REF!</v>
      </c>
      <c r="DX18" t="e">
        <f>AND(#REF!,"AAAAAG/Hrn8=")</f>
        <v>#REF!</v>
      </c>
      <c r="DY18" t="e">
        <f>AND(#REF!,"AAAAAG/HroA=")</f>
        <v>#REF!</v>
      </c>
      <c r="DZ18" t="e">
        <f>AND(#REF!,"AAAAAG/HroE=")</f>
        <v>#REF!</v>
      </c>
      <c r="EA18" t="e">
        <f>AND(#REF!,"AAAAAG/HroI=")</f>
        <v>#REF!</v>
      </c>
      <c r="EB18" t="e">
        <f>AND(#REF!,"AAAAAG/HroM=")</f>
        <v>#REF!</v>
      </c>
      <c r="EC18" t="e">
        <f>AND(#REF!,"AAAAAG/HroQ=")</f>
        <v>#REF!</v>
      </c>
      <c r="ED18" t="e">
        <f>AND(#REF!,"AAAAAG/HroU=")</f>
        <v>#REF!</v>
      </c>
      <c r="EE18" t="e">
        <f>AND(#REF!,"AAAAAG/HroY=")</f>
        <v>#REF!</v>
      </c>
      <c r="EF18" t="e">
        <f>AND(#REF!,"AAAAAG/Hroc=")</f>
        <v>#REF!</v>
      </c>
      <c r="EG18" t="e">
        <f>AND(#REF!,"AAAAAG/Hrog=")</f>
        <v>#REF!</v>
      </c>
      <c r="EH18" t="e">
        <f>AND(#REF!,"AAAAAG/Hrok=")</f>
        <v>#REF!</v>
      </c>
      <c r="EI18" t="e">
        <f>AND(#REF!,"AAAAAG/Hroo=")</f>
        <v>#REF!</v>
      </c>
      <c r="EJ18" t="e">
        <f>AND(#REF!,"AAAAAG/Hros=")</f>
        <v>#REF!</v>
      </c>
      <c r="EK18" t="e">
        <f>AND(#REF!,"AAAAAG/Hrow=")</f>
        <v>#REF!</v>
      </c>
      <c r="EL18" t="e">
        <f>AND(#REF!,"AAAAAG/Hro0=")</f>
        <v>#REF!</v>
      </c>
      <c r="EM18" t="e">
        <f>AND(#REF!,"AAAAAG/Hro4=")</f>
        <v>#REF!</v>
      </c>
      <c r="EN18" t="e">
        <f>AND(#REF!,"AAAAAG/Hro8=")</f>
        <v>#REF!</v>
      </c>
      <c r="EO18" t="e">
        <f>AND(#REF!,"AAAAAG/HrpA=")</f>
        <v>#REF!</v>
      </c>
      <c r="EP18" t="e">
        <f>AND(#REF!,"AAAAAG/HrpE=")</f>
        <v>#REF!</v>
      </c>
      <c r="EQ18" t="e">
        <f>AND(#REF!,"AAAAAG/HrpI=")</f>
        <v>#REF!</v>
      </c>
      <c r="ER18" t="e">
        <f>AND(#REF!,"AAAAAG/HrpM=")</f>
        <v>#REF!</v>
      </c>
      <c r="ES18" t="e">
        <f>AND(#REF!,"AAAAAG/HrpQ=")</f>
        <v>#REF!</v>
      </c>
      <c r="ET18" t="e">
        <f>AND(#REF!,"AAAAAG/HrpU=")</f>
        <v>#REF!</v>
      </c>
      <c r="EU18" t="e">
        <f>AND(#REF!,"AAAAAG/HrpY=")</f>
        <v>#REF!</v>
      </c>
      <c r="EV18" t="e">
        <f>AND(#REF!,"AAAAAG/Hrpc=")</f>
        <v>#REF!</v>
      </c>
      <c r="EW18" t="e">
        <f>AND(#REF!,"AAAAAG/Hrpg=")</f>
        <v>#REF!</v>
      </c>
      <c r="EX18" t="e">
        <f>AND(#REF!,"AAAAAG/Hrpk=")</f>
        <v>#REF!</v>
      </c>
      <c r="EY18" t="e">
        <f>AND(#REF!,"AAAAAG/Hrpo=")</f>
        <v>#REF!</v>
      </c>
      <c r="EZ18" t="e">
        <f>AND(#REF!,"AAAAAG/Hrps=")</f>
        <v>#REF!</v>
      </c>
      <c r="FA18" t="e">
        <f>AND(#REF!,"AAAAAG/Hrpw=")</f>
        <v>#REF!</v>
      </c>
      <c r="FB18" t="e">
        <f>AND(#REF!,"AAAAAG/Hrp0=")</f>
        <v>#REF!</v>
      </c>
      <c r="FC18" t="e">
        <f>AND(#REF!,"AAAAAG/Hrp4=")</f>
        <v>#REF!</v>
      </c>
      <c r="FD18" t="e">
        <f>AND(#REF!,"AAAAAG/Hrp8=")</f>
        <v>#REF!</v>
      </c>
      <c r="FE18" t="e">
        <f>AND(#REF!,"AAAAAG/HrqA=")</f>
        <v>#REF!</v>
      </c>
      <c r="FF18" t="e">
        <f>AND(#REF!,"AAAAAG/HrqE=")</f>
        <v>#REF!</v>
      </c>
      <c r="FG18" t="e">
        <f>AND(#REF!,"AAAAAG/HrqI=")</f>
        <v>#REF!</v>
      </c>
      <c r="FH18" t="e">
        <f>AND(#REF!,"AAAAAG/HrqM=")</f>
        <v>#REF!</v>
      </c>
      <c r="FI18" t="e">
        <f>AND(#REF!,"AAAAAG/HrqQ=")</f>
        <v>#REF!</v>
      </c>
      <c r="FJ18" t="e">
        <f>AND(#REF!,"AAAAAG/HrqU=")</f>
        <v>#REF!</v>
      </c>
      <c r="FK18" t="e">
        <f>AND(#REF!,"AAAAAG/HrqY=")</f>
        <v>#REF!</v>
      </c>
      <c r="FL18" t="e">
        <f>AND(#REF!,"AAAAAG/Hrqc=")</f>
        <v>#REF!</v>
      </c>
      <c r="FM18" t="e">
        <f>AND(#REF!,"AAAAAG/Hrqg=")</f>
        <v>#REF!</v>
      </c>
      <c r="FN18" t="e">
        <f>AND(#REF!,"AAAAAG/Hrqk=")</f>
        <v>#REF!</v>
      </c>
      <c r="FO18" t="e">
        <f>AND(#REF!,"AAAAAG/Hrqo=")</f>
        <v>#REF!</v>
      </c>
      <c r="FP18" t="e">
        <f>AND(#REF!,"AAAAAG/Hrqs=")</f>
        <v>#REF!</v>
      </c>
      <c r="FQ18" t="e">
        <f>AND(#REF!,"AAAAAG/Hrqw=")</f>
        <v>#REF!</v>
      </c>
      <c r="FR18" t="e">
        <f>AND(#REF!,"AAAAAG/Hrq0=")</f>
        <v>#REF!</v>
      </c>
      <c r="FS18" t="e">
        <f>AND(#REF!,"AAAAAG/Hrq4=")</f>
        <v>#REF!</v>
      </c>
      <c r="FT18" t="e">
        <f>AND(#REF!,"AAAAAG/Hrq8=")</f>
        <v>#REF!</v>
      </c>
      <c r="FU18" t="e">
        <f>AND(#REF!,"AAAAAG/HrrA=")</f>
        <v>#REF!</v>
      </c>
      <c r="FV18" t="e">
        <f>AND(#REF!,"AAAAAG/HrrE=")</f>
        <v>#REF!</v>
      </c>
      <c r="FW18" t="e">
        <f>AND(#REF!,"AAAAAG/HrrI=")</f>
        <v>#REF!</v>
      </c>
      <c r="FX18" t="e">
        <f>AND(#REF!,"AAAAAG/HrrM=")</f>
        <v>#REF!</v>
      </c>
      <c r="FY18" t="e">
        <f>AND(#REF!,"AAAAAG/HrrQ=")</f>
        <v>#REF!</v>
      </c>
      <c r="FZ18" t="e">
        <f>AND(#REF!,"AAAAAG/HrrU=")</f>
        <v>#REF!</v>
      </c>
      <c r="GA18" t="e">
        <f>AND(#REF!,"AAAAAG/HrrY=")</f>
        <v>#REF!</v>
      </c>
      <c r="GB18" t="e">
        <f>AND(#REF!,"AAAAAG/Hrrc=")</f>
        <v>#REF!</v>
      </c>
      <c r="GC18" t="e">
        <f>AND(#REF!,"AAAAAG/Hrrg=")</f>
        <v>#REF!</v>
      </c>
      <c r="GD18" t="e">
        <f>AND(#REF!,"AAAAAG/Hrrk=")</f>
        <v>#REF!</v>
      </c>
      <c r="GE18" t="e">
        <f>AND(#REF!,"AAAAAG/Hrro=")</f>
        <v>#REF!</v>
      </c>
      <c r="GF18" t="e">
        <f>AND(#REF!,"AAAAAG/Hrrs=")</f>
        <v>#REF!</v>
      </c>
      <c r="GG18" t="e">
        <f>AND(#REF!,"AAAAAG/Hrrw=")</f>
        <v>#REF!</v>
      </c>
      <c r="GH18" t="e">
        <f>AND(#REF!,"AAAAAG/Hrr0=")</f>
        <v>#REF!</v>
      </c>
      <c r="GI18" t="e">
        <f>AND(#REF!,"AAAAAG/Hrr4=")</f>
        <v>#REF!</v>
      </c>
      <c r="GJ18" t="e">
        <f>AND(#REF!,"AAAAAG/Hrr8=")</f>
        <v>#REF!</v>
      </c>
      <c r="GK18" t="e">
        <f>AND(#REF!,"AAAAAG/HrsA=")</f>
        <v>#REF!</v>
      </c>
      <c r="GL18" t="e">
        <f>AND(#REF!,"AAAAAG/HrsE=")</f>
        <v>#REF!</v>
      </c>
      <c r="GM18" t="e">
        <f>AND(#REF!,"AAAAAG/HrsI=")</f>
        <v>#REF!</v>
      </c>
      <c r="GN18" t="e">
        <f>AND(#REF!,"AAAAAG/HrsM=")</f>
        <v>#REF!</v>
      </c>
      <c r="GO18" t="e">
        <f>AND(#REF!,"AAAAAG/HrsQ=")</f>
        <v>#REF!</v>
      </c>
      <c r="GP18" t="e">
        <f>AND(#REF!,"AAAAAG/HrsU=")</f>
        <v>#REF!</v>
      </c>
      <c r="GQ18" t="e">
        <f>AND(#REF!,"AAAAAG/HrsY=")</f>
        <v>#REF!</v>
      </c>
      <c r="GR18" t="e">
        <f>AND(#REF!,"AAAAAG/Hrsc=")</f>
        <v>#REF!</v>
      </c>
      <c r="GS18" t="e">
        <f>AND(#REF!,"AAAAAG/Hrsg=")</f>
        <v>#REF!</v>
      </c>
      <c r="GT18" t="e">
        <f>AND(#REF!,"AAAAAG/Hrsk=")</f>
        <v>#REF!</v>
      </c>
      <c r="GU18" t="e">
        <f>AND(#REF!,"AAAAAG/Hrso=")</f>
        <v>#REF!</v>
      </c>
      <c r="GV18" t="e">
        <f>AND(#REF!,"AAAAAG/Hrss=")</f>
        <v>#REF!</v>
      </c>
      <c r="GW18" t="e">
        <f>AND(#REF!,"AAAAAG/Hrsw=")</f>
        <v>#REF!</v>
      </c>
      <c r="GX18" t="e">
        <f>AND(#REF!,"AAAAAG/Hrs0=")</f>
        <v>#REF!</v>
      </c>
      <c r="GY18" t="e">
        <f>AND(#REF!,"AAAAAG/Hrs4=")</f>
        <v>#REF!</v>
      </c>
      <c r="GZ18" t="e">
        <f>AND(#REF!,"AAAAAG/Hrs8=")</f>
        <v>#REF!</v>
      </c>
      <c r="HA18" t="e">
        <f>AND(#REF!,"AAAAAG/HrtA=")</f>
        <v>#REF!</v>
      </c>
      <c r="HB18" t="e">
        <f>AND(#REF!,"AAAAAG/HrtE=")</f>
        <v>#REF!</v>
      </c>
      <c r="HC18" t="e">
        <f>AND(#REF!,"AAAAAG/HrtI=")</f>
        <v>#REF!</v>
      </c>
      <c r="HD18" t="e">
        <f>AND(#REF!,"AAAAAG/HrtM=")</f>
        <v>#REF!</v>
      </c>
      <c r="HE18" t="e">
        <f>AND(#REF!,"AAAAAG/HrtQ=")</f>
        <v>#REF!</v>
      </c>
      <c r="HF18" t="e">
        <f>AND(#REF!,"AAAAAG/HrtU=")</f>
        <v>#REF!</v>
      </c>
      <c r="HG18" t="e">
        <f>AND(#REF!,"AAAAAG/HrtY=")</f>
        <v>#REF!</v>
      </c>
      <c r="HH18" t="e">
        <f>AND(#REF!,"AAAAAG/Hrtc=")</f>
        <v>#REF!</v>
      </c>
      <c r="HI18" t="e">
        <f>AND(#REF!,"AAAAAG/Hrtg=")</f>
        <v>#REF!</v>
      </c>
      <c r="HJ18" t="e">
        <f>AND(#REF!,"AAAAAG/Hrtk=")</f>
        <v>#REF!</v>
      </c>
      <c r="HK18" t="e">
        <f>AND(#REF!,"AAAAAG/Hrto=")</f>
        <v>#REF!</v>
      </c>
      <c r="HL18" t="e">
        <f>AND(#REF!,"AAAAAG/Hrts=")</f>
        <v>#REF!</v>
      </c>
      <c r="HM18" t="e">
        <f>AND(#REF!,"AAAAAG/Hrtw=")</f>
        <v>#REF!</v>
      </c>
      <c r="HN18" t="e">
        <f>AND(#REF!,"AAAAAG/Hrt0=")</f>
        <v>#REF!</v>
      </c>
      <c r="HO18" t="e">
        <f>AND(#REF!,"AAAAAG/Hrt4=")</f>
        <v>#REF!</v>
      </c>
      <c r="HP18" t="e">
        <f>AND(#REF!,"AAAAAG/Hrt8=")</f>
        <v>#REF!</v>
      </c>
      <c r="HQ18" t="e">
        <f>AND(#REF!,"AAAAAG/HruA=")</f>
        <v>#REF!</v>
      </c>
      <c r="HR18" t="e">
        <f>AND(#REF!,"AAAAAG/HruE=")</f>
        <v>#REF!</v>
      </c>
      <c r="HS18" t="e">
        <f>AND(#REF!,"AAAAAG/HruI=")</f>
        <v>#REF!</v>
      </c>
      <c r="HT18" t="e">
        <f>AND(#REF!,"AAAAAG/HruM=")</f>
        <v>#REF!</v>
      </c>
      <c r="HU18" t="e">
        <f>AND(#REF!,"AAAAAG/HruQ=")</f>
        <v>#REF!</v>
      </c>
      <c r="HV18" t="e">
        <f>AND(#REF!,"AAAAAG/HruU=")</f>
        <v>#REF!</v>
      </c>
      <c r="HW18" t="e">
        <f>AND(#REF!,"AAAAAG/HruY=")</f>
        <v>#REF!</v>
      </c>
      <c r="HX18" t="e">
        <f>AND(#REF!,"AAAAAG/Hruc=")</f>
        <v>#REF!</v>
      </c>
      <c r="HY18" t="e">
        <f>AND(#REF!,"AAAAAG/Hrug=")</f>
        <v>#REF!</v>
      </c>
      <c r="HZ18" t="e">
        <f>AND(#REF!,"AAAAAG/Hruk=")</f>
        <v>#REF!</v>
      </c>
      <c r="IA18" t="e">
        <f>AND(#REF!,"AAAAAG/Hruo=")</f>
        <v>#REF!</v>
      </c>
      <c r="IB18" t="e">
        <f>AND(#REF!,"AAAAAG/Hrus=")</f>
        <v>#REF!</v>
      </c>
      <c r="IC18" t="e">
        <f>AND(#REF!,"AAAAAG/Hruw=")</f>
        <v>#REF!</v>
      </c>
      <c r="ID18" t="e">
        <f>AND(#REF!,"AAAAAG/Hru0=")</f>
        <v>#REF!</v>
      </c>
      <c r="IE18" t="e">
        <f>AND(#REF!,"AAAAAG/Hru4=")</f>
        <v>#REF!</v>
      </c>
      <c r="IF18" t="e">
        <f>AND(#REF!,"AAAAAG/Hru8=")</f>
        <v>#REF!</v>
      </c>
      <c r="IG18" t="e">
        <f>AND(#REF!,"AAAAAG/HrvA=")</f>
        <v>#REF!</v>
      </c>
      <c r="IH18" t="e">
        <f>AND(#REF!,"AAAAAG/HrvE=")</f>
        <v>#REF!</v>
      </c>
      <c r="II18" t="e">
        <f>AND(#REF!,"AAAAAG/HrvI=")</f>
        <v>#REF!</v>
      </c>
      <c r="IJ18" t="e">
        <f>AND(#REF!,"AAAAAG/HrvM=")</f>
        <v>#REF!</v>
      </c>
      <c r="IK18" t="e">
        <f>AND(#REF!,"AAAAAG/HrvQ=")</f>
        <v>#REF!</v>
      </c>
      <c r="IL18" t="e">
        <f>AND(#REF!,"AAAAAG/HrvU=")</f>
        <v>#REF!</v>
      </c>
      <c r="IM18" t="e">
        <f>AND(#REF!,"AAAAAG/HrvY=")</f>
        <v>#REF!</v>
      </c>
      <c r="IN18" t="e">
        <f>AND(#REF!,"AAAAAG/Hrvc=")</f>
        <v>#REF!</v>
      </c>
      <c r="IO18" t="e">
        <f>AND(#REF!,"AAAAAG/Hrvg=")</f>
        <v>#REF!</v>
      </c>
      <c r="IP18" t="e">
        <f>AND(#REF!,"AAAAAG/Hrvk=")</f>
        <v>#REF!</v>
      </c>
      <c r="IQ18" t="e">
        <f>AND(#REF!,"AAAAAG/Hrvo=")</f>
        <v>#REF!</v>
      </c>
      <c r="IR18" t="e">
        <f>AND(#REF!,"AAAAAG/Hrvs=")</f>
        <v>#REF!</v>
      </c>
      <c r="IS18" t="e">
        <f>AND(#REF!,"AAAAAG/Hrvw=")</f>
        <v>#REF!</v>
      </c>
      <c r="IT18" t="e">
        <f>AND(#REF!,"AAAAAG/Hrv0=")</f>
        <v>#REF!</v>
      </c>
      <c r="IU18" t="e">
        <f>AND(#REF!,"AAAAAG/Hrv4=")</f>
        <v>#REF!</v>
      </c>
      <c r="IV18" t="e">
        <f>AND(#REF!,"AAAAAG/Hrv8=")</f>
        <v>#REF!</v>
      </c>
    </row>
    <row r="19" spans="1:256">
      <c r="A19" t="e">
        <f>AND(#REF!,"AAAAAHP/rQA=")</f>
        <v>#REF!</v>
      </c>
      <c r="B19" t="e">
        <f>AND(#REF!,"AAAAAHP/rQE=")</f>
        <v>#REF!</v>
      </c>
      <c r="C19" t="e">
        <f>AND(#REF!,"AAAAAHP/rQI=")</f>
        <v>#REF!</v>
      </c>
      <c r="D19" t="e">
        <f>AND(#REF!,"AAAAAHP/rQM=")</f>
        <v>#REF!</v>
      </c>
      <c r="E19" t="e">
        <f>AND(#REF!,"AAAAAHP/rQQ=")</f>
        <v>#REF!</v>
      </c>
      <c r="F19" t="e">
        <f>AND(#REF!,"AAAAAHP/rQU=")</f>
        <v>#REF!</v>
      </c>
      <c r="G19" t="e">
        <f>AND(#REF!,"AAAAAHP/rQY=")</f>
        <v>#REF!</v>
      </c>
      <c r="H19" t="e">
        <f>AND(#REF!,"AAAAAHP/rQc=")</f>
        <v>#REF!</v>
      </c>
      <c r="I19" t="e">
        <f>AND(#REF!,"AAAAAHP/rQg=")</f>
        <v>#REF!</v>
      </c>
      <c r="J19" t="e">
        <f>AND(#REF!,"AAAAAHP/rQk=")</f>
        <v>#REF!</v>
      </c>
      <c r="K19" t="e">
        <f>AND(#REF!,"AAAAAHP/rQo=")</f>
        <v>#REF!</v>
      </c>
      <c r="L19" t="e">
        <f>AND(#REF!,"AAAAAHP/rQs=")</f>
        <v>#REF!</v>
      </c>
      <c r="M19" t="e">
        <f>AND(#REF!,"AAAAAHP/rQw=")</f>
        <v>#REF!</v>
      </c>
      <c r="N19" t="e">
        <f>AND(#REF!,"AAAAAHP/rQ0=")</f>
        <v>#REF!</v>
      </c>
      <c r="O19" t="e">
        <f>AND(#REF!,"AAAAAHP/rQ4=")</f>
        <v>#REF!</v>
      </c>
      <c r="P19" t="e">
        <f>AND(#REF!,"AAAAAHP/rQ8=")</f>
        <v>#REF!</v>
      </c>
      <c r="Q19" t="e">
        <f>AND(#REF!,"AAAAAHP/rRA=")</f>
        <v>#REF!</v>
      </c>
      <c r="R19" t="e">
        <f>AND(#REF!,"AAAAAHP/rRE=")</f>
        <v>#REF!</v>
      </c>
      <c r="S19" t="e">
        <f>AND(#REF!,"AAAAAHP/rRI=")</f>
        <v>#REF!</v>
      </c>
      <c r="T19" t="e">
        <f>AND(#REF!,"AAAAAHP/rRM=")</f>
        <v>#REF!</v>
      </c>
      <c r="U19" t="e">
        <f>AND(#REF!,"AAAAAHP/rRQ=")</f>
        <v>#REF!</v>
      </c>
      <c r="V19" t="e">
        <f>AND(#REF!,"AAAAAHP/rRU=")</f>
        <v>#REF!</v>
      </c>
      <c r="W19" t="e">
        <f>AND(#REF!,"AAAAAHP/rRY=")</f>
        <v>#REF!</v>
      </c>
      <c r="X19" t="e">
        <f>AND(#REF!,"AAAAAHP/rRc=")</f>
        <v>#REF!</v>
      </c>
      <c r="Y19" t="e">
        <f>AND(#REF!,"AAAAAHP/rRg=")</f>
        <v>#REF!</v>
      </c>
      <c r="Z19" t="e">
        <f>AND(#REF!,"AAAAAHP/rRk=")</f>
        <v>#REF!</v>
      </c>
      <c r="AA19" t="e">
        <f>AND(#REF!,"AAAAAHP/rRo=")</f>
        <v>#REF!</v>
      </c>
      <c r="AB19" t="e">
        <f>AND(#REF!,"AAAAAHP/rRs=")</f>
        <v>#REF!</v>
      </c>
      <c r="AC19" t="e">
        <f>AND(#REF!,"AAAAAHP/rRw=")</f>
        <v>#REF!</v>
      </c>
      <c r="AD19" t="e">
        <f>AND(#REF!,"AAAAAHP/rR0=")</f>
        <v>#REF!</v>
      </c>
      <c r="AE19" t="e">
        <f>AND(#REF!,"AAAAAHP/rR4=")</f>
        <v>#REF!</v>
      </c>
      <c r="AF19" t="e">
        <f>AND(#REF!,"AAAAAHP/rR8=")</f>
        <v>#REF!</v>
      </c>
      <c r="AG19" t="e">
        <f>AND(#REF!,"AAAAAHP/rSA=")</f>
        <v>#REF!</v>
      </c>
      <c r="AH19" t="e">
        <f>AND(#REF!,"AAAAAHP/rSE=")</f>
        <v>#REF!</v>
      </c>
      <c r="AI19" t="e">
        <f>AND(#REF!,"AAAAAHP/rSI=")</f>
        <v>#REF!</v>
      </c>
      <c r="AJ19" t="e">
        <f>AND(#REF!,"AAAAAHP/rSM=")</f>
        <v>#REF!</v>
      </c>
      <c r="AK19" t="e">
        <f>AND(#REF!,"AAAAAHP/rSQ=")</f>
        <v>#REF!</v>
      </c>
      <c r="AL19" t="e">
        <f>AND(#REF!,"AAAAAHP/rSU=")</f>
        <v>#REF!</v>
      </c>
      <c r="AM19" t="e">
        <f>AND(#REF!,"AAAAAHP/rSY=")</f>
        <v>#REF!</v>
      </c>
      <c r="AN19" t="e">
        <f>AND(#REF!,"AAAAAHP/rSc=")</f>
        <v>#REF!</v>
      </c>
      <c r="AO19" t="e">
        <f>AND(#REF!,"AAAAAHP/rSg=")</f>
        <v>#REF!</v>
      </c>
      <c r="AP19" t="e">
        <f>AND(#REF!,"AAAAAHP/rSk=")</f>
        <v>#REF!</v>
      </c>
      <c r="AQ19" t="e">
        <f>AND(#REF!,"AAAAAHP/rSo=")</f>
        <v>#REF!</v>
      </c>
      <c r="AR19" t="e">
        <f>AND(#REF!,"AAAAAHP/rSs=")</f>
        <v>#REF!</v>
      </c>
      <c r="AS19" t="e">
        <f>AND(#REF!,"AAAAAHP/rSw=")</f>
        <v>#REF!</v>
      </c>
      <c r="AT19" t="e">
        <f>AND(#REF!,"AAAAAHP/rS0=")</f>
        <v>#REF!</v>
      </c>
      <c r="AU19" t="e">
        <f>AND(#REF!,"AAAAAHP/rS4=")</f>
        <v>#REF!</v>
      </c>
      <c r="AV19" t="e">
        <f>AND(#REF!,"AAAAAHP/rS8=")</f>
        <v>#REF!</v>
      </c>
      <c r="AW19" t="e">
        <f>AND(#REF!,"AAAAAHP/rTA=")</f>
        <v>#REF!</v>
      </c>
      <c r="AX19" t="e">
        <f>AND(#REF!,"AAAAAHP/rTE=")</f>
        <v>#REF!</v>
      </c>
      <c r="AY19" t="e">
        <f>AND(#REF!,"AAAAAHP/rTI=")</f>
        <v>#REF!</v>
      </c>
      <c r="AZ19" t="e">
        <f>AND(#REF!,"AAAAAHP/rTM=")</f>
        <v>#REF!</v>
      </c>
      <c r="BA19" t="e">
        <f>AND(#REF!,"AAAAAHP/rTQ=")</f>
        <v>#REF!</v>
      </c>
      <c r="BB19" t="e">
        <f>AND(#REF!,"AAAAAHP/rTU=")</f>
        <v>#REF!</v>
      </c>
      <c r="BC19" t="e">
        <f>AND(#REF!,"AAAAAHP/rTY=")</f>
        <v>#REF!</v>
      </c>
      <c r="BD19" t="e">
        <f>AND(#REF!,"AAAAAHP/rTc=")</f>
        <v>#REF!</v>
      </c>
      <c r="BE19" t="e">
        <f>AND(#REF!,"AAAAAHP/rTg=")</f>
        <v>#REF!</v>
      </c>
      <c r="BF19" t="e">
        <f>AND(#REF!,"AAAAAHP/rTk=")</f>
        <v>#REF!</v>
      </c>
      <c r="BG19" t="e">
        <f>AND(#REF!,"AAAAAHP/rTo=")</f>
        <v>#REF!</v>
      </c>
      <c r="BH19" t="e">
        <f>AND(#REF!,"AAAAAHP/rTs=")</f>
        <v>#REF!</v>
      </c>
      <c r="BI19" t="e">
        <f>AND(#REF!,"AAAAAHP/rTw=")</f>
        <v>#REF!</v>
      </c>
      <c r="BJ19" t="e">
        <f>AND(#REF!,"AAAAAHP/rT0=")</f>
        <v>#REF!</v>
      </c>
      <c r="BK19" t="e">
        <f>AND(#REF!,"AAAAAHP/rT4=")</f>
        <v>#REF!</v>
      </c>
      <c r="BL19" t="e">
        <f>AND(#REF!,"AAAAAHP/rT8=")</f>
        <v>#REF!</v>
      </c>
      <c r="BM19" t="e">
        <f>AND(#REF!,"AAAAAHP/rUA=")</f>
        <v>#REF!</v>
      </c>
      <c r="BN19" t="e">
        <f>AND(#REF!,"AAAAAHP/rUE=")</f>
        <v>#REF!</v>
      </c>
      <c r="BO19" t="e">
        <f>AND(#REF!,"AAAAAHP/rUI=")</f>
        <v>#REF!</v>
      </c>
      <c r="BP19" t="e">
        <f>AND(#REF!,"AAAAAHP/rUM=")</f>
        <v>#REF!</v>
      </c>
      <c r="BQ19" t="e">
        <f>AND(#REF!,"AAAAAHP/rUQ=")</f>
        <v>#REF!</v>
      </c>
      <c r="BR19" t="e">
        <f>AND(#REF!,"AAAAAHP/rUU=")</f>
        <v>#REF!</v>
      </c>
      <c r="BS19" t="e">
        <f>AND(#REF!,"AAAAAHP/rUY=")</f>
        <v>#REF!</v>
      </c>
      <c r="BT19" t="e">
        <f>AND(#REF!,"AAAAAHP/rUc=")</f>
        <v>#REF!</v>
      </c>
      <c r="BU19" t="e">
        <f>AND(#REF!,"AAAAAHP/rUg=")</f>
        <v>#REF!</v>
      </c>
      <c r="BV19" t="e">
        <f>AND(#REF!,"AAAAAHP/rUk=")</f>
        <v>#REF!</v>
      </c>
      <c r="BW19" t="e">
        <f>AND(#REF!,"AAAAAHP/rUo=")</f>
        <v>#REF!</v>
      </c>
      <c r="BX19" t="e">
        <f>AND(#REF!,"AAAAAHP/rUs=")</f>
        <v>#REF!</v>
      </c>
      <c r="BY19" t="e">
        <f>AND(#REF!,"AAAAAHP/rUw=")</f>
        <v>#REF!</v>
      </c>
      <c r="BZ19" t="e">
        <f>AND(#REF!,"AAAAAHP/rU0=")</f>
        <v>#REF!</v>
      </c>
      <c r="CA19" t="e">
        <f>AND(#REF!,"AAAAAHP/rU4=")</f>
        <v>#REF!</v>
      </c>
      <c r="CB19" t="e">
        <f>AND(#REF!,"AAAAAHP/rU8=")</f>
        <v>#REF!</v>
      </c>
      <c r="CC19" t="e">
        <f>AND(#REF!,"AAAAAHP/rVA=")</f>
        <v>#REF!</v>
      </c>
      <c r="CD19" t="e">
        <f>AND(#REF!,"AAAAAHP/rVE=")</f>
        <v>#REF!</v>
      </c>
      <c r="CE19" t="e">
        <f>AND(#REF!,"AAAAAHP/rVI=")</f>
        <v>#REF!</v>
      </c>
      <c r="CF19" t="e">
        <f>AND(#REF!,"AAAAAHP/rVM=")</f>
        <v>#REF!</v>
      </c>
      <c r="CG19" t="e">
        <f>AND(#REF!,"AAAAAHP/rVQ=")</f>
        <v>#REF!</v>
      </c>
      <c r="CH19" t="e">
        <f>AND(#REF!,"AAAAAHP/rVU=")</f>
        <v>#REF!</v>
      </c>
      <c r="CI19" t="e">
        <f>AND(#REF!,"AAAAAHP/rVY=")</f>
        <v>#REF!</v>
      </c>
      <c r="CJ19" t="e">
        <f>AND(#REF!,"AAAAAHP/rVc=")</f>
        <v>#REF!</v>
      </c>
      <c r="CK19" t="e">
        <f>AND(#REF!,"AAAAAHP/rVg=")</f>
        <v>#REF!</v>
      </c>
      <c r="CL19" t="e">
        <f>AND(#REF!,"AAAAAHP/rVk=")</f>
        <v>#REF!</v>
      </c>
      <c r="CM19" t="e">
        <f>AND(#REF!,"AAAAAHP/rVo=")</f>
        <v>#REF!</v>
      </c>
      <c r="CN19" t="e">
        <f>AND(#REF!,"AAAAAHP/rVs=")</f>
        <v>#REF!</v>
      </c>
      <c r="CO19" t="e">
        <f>AND(#REF!,"AAAAAHP/rVw=")</f>
        <v>#REF!</v>
      </c>
      <c r="CP19" t="e">
        <f>AND(#REF!,"AAAAAHP/rV0=")</f>
        <v>#REF!</v>
      </c>
      <c r="CQ19" t="e">
        <f>AND(#REF!,"AAAAAHP/rV4=")</f>
        <v>#REF!</v>
      </c>
      <c r="CR19" t="e">
        <f>AND(#REF!,"AAAAAHP/rV8=")</f>
        <v>#REF!</v>
      </c>
      <c r="CS19" t="e">
        <f>AND(#REF!,"AAAAAHP/rWA=")</f>
        <v>#REF!</v>
      </c>
      <c r="CT19" t="e">
        <f>AND(#REF!,"AAAAAHP/rWE=")</f>
        <v>#REF!</v>
      </c>
      <c r="CU19" t="e">
        <f>AND(#REF!,"AAAAAHP/rWI=")</f>
        <v>#REF!</v>
      </c>
      <c r="CV19" t="e">
        <f>AND(#REF!,"AAAAAHP/rWM=")</f>
        <v>#REF!</v>
      </c>
      <c r="CW19" t="e">
        <f>AND(#REF!,"AAAAAHP/rWQ=")</f>
        <v>#REF!</v>
      </c>
      <c r="CX19" t="e">
        <f>AND(#REF!,"AAAAAHP/rWU=")</f>
        <v>#REF!</v>
      </c>
      <c r="CY19" t="e">
        <f>AND(#REF!,"AAAAAHP/rWY=")</f>
        <v>#REF!</v>
      </c>
      <c r="CZ19" t="e">
        <f>AND(#REF!,"AAAAAHP/rWc=")</f>
        <v>#REF!</v>
      </c>
      <c r="DA19" t="e">
        <f>AND(#REF!,"AAAAAHP/rWg=")</f>
        <v>#REF!</v>
      </c>
      <c r="DB19" t="e">
        <f>AND(#REF!,"AAAAAHP/rWk=")</f>
        <v>#REF!</v>
      </c>
      <c r="DC19" t="e">
        <f>AND(#REF!,"AAAAAHP/rWo=")</f>
        <v>#REF!</v>
      </c>
      <c r="DD19" t="e">
        <f>AND(#REF!,"AAAAAHP/rWs=")</f>
        <v>#REF!</v>
      </c>
      <c r="DE19" t="e">
        <f>AND(#REF!,"AAAAAHP/rWw=")</f>
        <v>#REF!</v>
      </c>
      <c r="DF19" t="e">
        <f>AND(#REF!,"AAAAAHP/rW0=")</f>
        <v>#REF!</v>
      </c>
      <c r="DG19" t="e">
        <f>AND(#REF!,"AAAAAHP/rW4=")</f>
        <v>#REF!</v>
      </c>
      <c r="DH19" t="e">
        <f>AND(#REF!,"AAAAAHP/rW8=")</f>
        <v>#REF!</v>
      </c>
      <c r="DI19" t="e">
        <f>AND(#REF!,"AAAAAHP/rXA=")</f>
        <v>#REF!</v>
      </c>
      <c r="DJ19" t="e">
        <f>AND(#REF!,"AAAAAHP/rXE=")</f>
        <v>#REF!</v>
      </c>
      <c r="DK19" t="e">
        <f>AND(#REF!,"AAAAAHP/rXI=")</f>
        <v>#REF!</v>
      </c>
      <c r="DL19" t="e">
        <f>AND(#REF!,"AAAAAHP/rXM=")</f>
        <v>#REF!</v>
      </c>
      <c r="DM19" t="e">
        <f>AND(#REF!,"AAAAAHP/rXQ=")</f>
        <v>#REF!</v>
      </c>
      <c r="DN19" t="e">
        <f>AND(#REF!,"AAAAAHP/rXU=")</f>
        <v>#REF!</v>
      </c>
      <c r="DO19" t="e">
        <f>AND(#REF!,"AAAAAHP/rXY=")</f>
        <v>#REF!</v>
      </c>
      <c r="DP19" t="e">
        <f>AND(#REF!,"AAAAAHP/rXc=")</f>
        <v>#REF!</v>
      </c>
      <c r="DQ19" t="e">
        <f>AND(#REF!,"AAAAAHP/rXg=")</f>
        <v>#REF!</v>
      </c>
      <c r="DR19" t="e">
        <f>AND(#REF!,"AAAAAHP/rXk=")</f>
        <v>#REF!</v>
      </c>
      <c r="DS19" t="e">
        <f>AND(#REF!,"AAAAAHP/rXo=")</f>
        <v>#REF!</v>
      </c>
      <c r="DT19" t="e">
        <f>AND(#REF!,"AAAAAHP/rXs=")</f>
        <v>#REF!</v>
      </c>
      <c r="DU19" t="e">
        <f>AND(#REF!,"AAAAAHP/rXw=")</f>
        <v>#REF!</v>
      </c>
      <c r="DV19" t="e">
        <f>AND(#REF!,"AAAAAHP/rX0=")</f>
        <v>#REF!</v>
      </c>
      <c r="DW19" t="e">
        <f>AND(#REF!,"AAAAAHP/rX4=")</f>
        <v>#REF!</v>
      </c>
      <c r="DX19" t="e">
        <f>AND(#REF!,"AAAAAHP/rX8=")</f>
        <v>#REF!</v>
      </c>
      <c r="DY19" t="e">
        <f>AND(#REF!,"AAAAAHP/rYA=")</f>
        <v>#REF!</v>
      </c>
      <c r="DZ19" t="e">
        <f>AND(#REF!,"AAAAAHP/rYE=")</f>
        <v>#REF!</v>
      </c>
      <c r="EA19" t="e">
        <f>AND(#REF!,"AAAAAHP/rYI=")</f>
        <v>#REF!</v>
      </c>
      <c r="EB19" t="e">
        <f>AND(#REF!,"AAAAAHP/rYM=")</f>
        <v>#REF!</v>
      </c>
      <c r="EC19" t="e">
        <f>AND(#REF!,"AAAAAHP/rYQ=")</f>
        <v>#REF!</v>
      </c>
      <c r="ED19" t="e">
        <f>AND(#REF!,"AAAAAHP/rYU=")</f>
        <v>#REF!</v>
      </c>
      <c r="EE19" t="e">
        <f>AND(#REF!,"AAAAAHP/rYY=")</f>
        <v>#REF!</v>
      </c>
      <c r="EF19" t="e">
        <f>AND(#REF!,"AAAAAHP/rYc=")</f>
        <v>#REF!</v>
      </c>
      <c r="EG19" t="e">
        <f>AND(#REF!,"AAAAAHP/rYg=")</f>
        <v>#REF!</v>
      </c>
      <c r="EH19" t="e">
        <f>AND(#REF!,"AAAAAHP/rYk=")</f>
        <v>#REF!</v>
      </c>
      <c r="EI19" t="e">
        <f>AND(#REF!,"AAAAAHP/rYo=")</f>
        <v>#REF!</v>
      </c>
      <c r="EJ19" t="e">
        <f>AND(#REF!,"AAAAAHP/rYs=")</f>
        <v>#REF!</v>
      </c>
      <c r="EK19" t="e">
        <f>AND(#REF!,"AAAAAHP/rYw=")</f>
        <v>#REF!</v>
      </c>
      <c r="EL19" t="e">
        <f>AND(#REF!,"AAAAAHP/rY0=")</f>
        <v>#REF!</v>
      </c>
      <c r="EM19" t="e">
        <f>AND(#REF!,"AAAAAHP/rY4=")</f>
        <v>#REF!</v>
      </c>
      <c r="EN19" t="e">
        <f>AND(#REF!,"AAAAAHP/rY8=")</f>
        <v>#REF!</v>
      </c>
      <c r="EO19" t="e">
        <f>AND(#REF!,"AAAAAHP/rZA=")</f>
        <v>#REF!</v>
      </c>
      <c r="EP19" t="e">
        <f>AND(#REF!,"AAAAAHP/rZE=")</f>
        <v>#REF!</v>
      </c>
      <c r="EQ19" t="e">
        <f>AND(#REF!,"AAAAAHP/rZI=")</f>
        <v>#REF!</v>
      </c>
      <c r="ER19" t="e">
        <f>AND(#REF!,"AAAAAHP/rZM=")</f>
        <v>#REF!</v>
      </c>
      <c r="ES19" t="e">
        <f>AND(#REF!,"AAAAAHP/rZQ=")</f>
        <v>#REF!</v>
      </c>
      <c r="ET19" t="e">
        <f>AND(#REF!,"AAAAAHP/rZU=")</f>
        <v>#REF!</v>
      </c>
      <c r="EU19" t="e">
        <f>AND(#REF!,"AAAAAHP/rZY=")</f>
        <v>#REF!</v>
      </c>
      <c r="EV19" t="e">
        <f>AND(#REF!,"AAAAAHP/rZc=")</f>
        <v>#REF!</v>
      </c>
      <c r="EW19" t="e">
        <f>AND(#REF!,"AAAAAHP/rZg=")</f>
        <v>#REF!</v>
      </c>
      <c r="EX19" t="e">
        <f>AND(#REF!,"AAAAAHP/rZk=")</f>
        <v>#REF!</v>
      </c>
      <c r="EY19" t="e">
        <f>AND(#REF!,"AAAAAHP/rZo=")</f>
        <v>#REF!</v>
      </c>
      <c r="EZ19" t="e">
        <f>AND(#REF!,"AAAAAHP/rZs=")</f>
        <v>#REF!</v>
      </c>
      <c r="FA19" t="e">
        <f>AND(#REF!,"AAAAAHP/rZw=")</f>
        <v>#REF!</v>
      </c>
      <c r="FB19" t="e">
        <f>AND(#REF!,"AAAAAHP/rZ0=")</f>
        <v>#REF!</v>
      </c>
      <c r="FC19" t="e">
        <f>AND(#REF!,"AAAAAHP/rZ4=")</f>
        <v>#REF!</v>
      </c>
      <c r="FD19" t="e">
        <f>AND(#REF!,"AAAAAHP/rZ8=")</f>
        <v>#REF!</v>
      </c>
      <c r="FE19" t="e">
        <f>AND(#REF!,"AAAAAHP/raA=")</f>
        <v>#REF!</v>
      </c>
      <c r="FF19" t="e">
        <f>AND(#REF!,"AAAAAHP/raE=")</f>
        <v>#REF!</v>
      </c>
      <c r="FG19" t="e">
        <f>AND(#REF!,"AAAAAHP/raI=")</f>
        <v>#REF!</v>
      </c>
      <c r="FH19" t="e">
        <f>AND(#REF!,"AAAAAHP/raM=")</f>
        <v>#REF!</v>
      </c>
      <c r="FI19" t="e">
        <f>AND(#REF!,"AAAAAHP/raQ=")</f>
        <v>#REF!</v>
      </c>
      <c r="FJ19" t="e">
        <f>AND(#REF!,"AAAAAHP/raU=")</f>
        <v>#REF!</v>
      </c>
      <c r="FK19" t="e">
        <f>AND(#REF!,"AAAAAHP/raY=")</f>
        <v>#REF!</v>
      </c>
      <c r="FL19" t="e">
        <f>AND(#REF!,"AAAAAHP/rac=")</f>
        <v>#REF!</v>
      </c>
      <c r="FM19" t="e">
        <f>AND(#REF!,"AAAAAHP/rag=")</f>
        <v>#REF!</v>
      </c>
      <c r="FN19" t="e">
        <f>AND(#REF!,"AAAAAHP/rak=")</f>
        <v>#REF!</v>
      </c>
      <c r="FO19" t="e">
        <f>AND(#REF!,"AAAAAHP/rao=")</f>
        <v>#REF!</v>
      </c>
      <c r="FP19" t="e">
        <f>AND(#REF!,"AAAAAHP/ras=")</f>
        <v>#REF!</v>
      </c>
      <c r="FQ19" t="e">
        <f>AND(#REF!,"AAAAAHP/raw=")</f>
        <v>#REF!</v>
      </c>
      <c r="FR19" t="e">
        <f>AND(#REF!,"AAAAAHP/ra0=")</f>
        <v>#REF!</v>
      </c>
      <c r="FS19" t="e">
        <f>AND(#REF!,"AAAAAHP/ra4=")</f>
        <v>#REF!</v>
      </c>
      <c r="FT19" t="e">
        <f>AND(#REF!,"AAAAAHP/ra8=")</f>
        <v>#REF!</v>
      </c>
      <c r="FU19" t="e">
        <f>AND(#REF!,"AAAAAHP/rbA=")</f>
        <v>#REF!</v>
      </c>
      <c r="FV19" t="e">
        <f>AND(#REF!,"AAAAAHP/rbE=")</f>
        <v>#REF!</v>
      </c>
      <c r="FW19" t="e">
        <f>AND(#REF!,"AAAAAHP/rbI=")</f>
        <v>#REF!</v>
      </c>
      <c r="FX19" t="e">
        <f>AND(#REF!,"AAAAAHP/rbM=")</f>
        <v>#REF!</v>
      </c>
      <c r="FY19" t="e">
        <f>AND(#REF!,"AAAAAHP/rbQ=")</f>
        <v>#REF!</v>
      </c>
      <c r="FZ19" t="e">
        <f>AND(#REF!,"AAAAAHP/rbU=")</f>
        <v>#REF!</v>
      </c>
      <c r="GA19" t="e">
        <f>AND(#REF!,"AAAAAHP/rbY=")</f>
        <v>#REF!</v>
      </c>
      <c r="GB19" t="e">
        <f>AND(#REF!,"AAAAAHP/rbc=")</f>
        <v>#REF!</v>
      </c>
      <c r="GC19" t="e">
        <f>AND(#REF!,"AAAAAHP/rbg=")</f>
        <v>#REF!</v>
      </c>
      <c r="GD19" t="e">
        <f>AND(#REF!,"AAAAAHP/rbk=")</f>
        <v>#REF!</v>
      </c>
      <c r="GE19" t="e">
        <f>AND(#REF!,"AAAAAHP/rbo=")</f>
        <v>#REF!</v>
      </c>
      <c r="GF19" t="e">
        <f>AND(#REF!,"AAAAAHP/rbs=")</f>
        <v>#REF!</v>
      </c>
      <c r="GG19" t="e">
        <f>AND(#REF!,"AAAAAHP/rbw=")</f>
        <v>#REF!</v>
      </c>
      <c r="GH19" t="e">
        <f>AND(#REF!,"AAAAAHP/rb0=")</f>
        <v>#REF!</v>
      </c>
      <c r="GI19" t="e">
        <f>AND(#REF!,"AAAAAHP/rb4=")</f>
        <v>#REF!</v>
      </c>
      <c r="GJ19" t="e">
        <f>AND(#REF!,"AAAAAHP/rb8=")</f>
        <v>#REF!</v>
      </c>
      <c r="GK19" t="e">
        <f>AND(#REF!,"AAAAAHP/rcA=")</f>
        <v>#REF!</v>
      </c>
      <c r="GL19" t="e">
        <f>AND(#REF!,"AAAAAHP/rcE=")</f>
        <v>#REF!</v>
      </c>
      <c r="GM19" t="e">
        <f>AND(#REF!,"AAAAAHP/rcI=")</f>
        <v>#REF!</v>
      </c>
      <c r="GN19" t="e">
        <f>AND(#REF!,"AAAAAHP/rcM=")</f>
        <v>#REF!</v>
      </c>
      <c r="GO19" t="e">
        <f>AND(#REF!,"AAAAAHP/rcQ=")</f>
        <v>#REF!</v>
      </c>
      <c r="GP19" t="e">
        <f>AND(#REF!,"AAAAAHP/rcU=")</f>
        <v>#REF!</v>
      </c>
      <c r="GQ19" t="e">
        <f>AND(#REF!,"AAAAAHP/rcY=")</f>
        <v>#REF!</v>
      </c>
      <c r="GR19" t="e">
        <f>AND(#REF!,"AAAAAHP/rcc=")</f>
        <v>#REF!</v>
      </c>
      <c r="GS19" t="e">
        <f>AND(#REF!,"AAAAAHP/rcg=")</f>
        <v>#REF!</v>
      </c>
      <c r="GT19" t="e">
        <f>AND(#REF!,"AAAAAHP/rck=")</f>
        <v>#REF!</v>
      </c>
      <c r="GU19" t="e">
        <f>AND(#REF!,"AAAAAHP/rco=")</f>
        <v>#REF!</v>
      </c>
      <c r="GV19" t="e">
        <f>AND(#REF!,"AAAAAHP/rcs=")</f>
        <v>#REF!</v>
      </c>
      <c r="GW19" t="e">
        <f>AND(#REF!,"AAAAAHP/rcw=")</f>
        <v>#REF!</v>
      </c>
      <c r="GX19" t="e">
        <f>AND(#REF!,"AAAAAHP/rc0=")</f>
        <v>#REF!</v>
      </c>
      <c r="GY19" t="e">
        <f>AND(#REF!,"AAAAAHP/rc4=")</f>
        <v>#REF!</v>
      </c>
      <c r="GZ19" t="e">
        <f>AND(#REF!,"AAAAAHP/rc8=")</f>
        <v>#REF!</v>
      </c>
      <c r="HA19" t="e">
        <f>AND(#REF!,"AAAAAHP/rdA=")</f>
        <v>#REF!</v>
      </c>
      <c r="HB19" t="e">
        <f>AND(#REF!,"AAAAAHP/rdE=")</f>
        <v>#REF!</v>
      </c>
      <c r="HC19" t="e">
        <f>AND(#REF!,"AAAAAHP/rdI=")</f>
        <v>#REF!</v>
      </c>
      <c r="HD19" t="e">
        <f>AND(#REF!,"AAAAAHP/rdM=")</f>
        <v>#REF!</v>
      </c>
      <c r="HE19" t="e">
        <f>AND(#REF!,"AAAAAHP/rdQ=")</f>
        <v>#REF!</v>
      </c>
      <c r="HF19" t="e">
        <f>AND(#REF!,"AAAAAHP/rdU=")</f>
        <v>#REF!</v>
      </c>
      <c r="HG19" t="e">
        <f>AND(#REF!,"AAAAAHP/rdY=")</f>
        <v>#REF!</v>
      </c>
      <c r="HH19" t="e">
        <f>AND(#REF!,"AAAAAHP/rdc=")</f>
        <v>#REF!</v>
      </c>
      <c r="HI19" t="e">
        <f>AND(#REF!,"AAAAAHP/rdg=")</f>
        <v>#REF!</v>
      </c>
      <c r="HJ19" t="e">
        <f>AND(#REF!,"AAAAAHP/rdk=")</f>
        <v>#REF!</v>
      </c>
      <c r="HK19" t="e">
        <f>AND(#REF!,"AAAAAHP/rdo=")</f>
        <v>#REF!</v>
      </c>
      <c r="HL19" t="e">
        <f>AND(#REF!,"AAAAAHP/rds=")</f>
        <v>#REF!</v>
      </c>
      <c r="HM19" t="e">
        <f>AND(#REF!,"AAAAAHP/rdw=")</f>
        <v>#REF!</v>
      </c>
      <c r="HN19" t="e">
        <f>AND(#REF!,"AAAAAHP/rd0=")</f>
        <v>#REF!</v>
      </c>
      <c r="HO19" t="e">
        <f>AND(#REF!,"AAAAAHP/rd4=")</f>
        <v>#REF!</v>
      </c>
      <c r="HP19" t="e">
        <f>AND(#REF!,"AAAAAHP/rd8=")</f>
        <v>#REF!</v>
      </c>
      <c r="HQ19" t="e">
        <f>AND(#REF!,"AAAAAHP/reA=")</f>
        <v>#REF!</v>
      </c>
      <c r="HR19" t="e">
        <f>AND(#REF!,"AAAAAHP/reE=")</f>
        <v>#REF!</v>
      </c>
      <c r="HS19" t="e">
        <f>AND(#REF!,"AAAAAHP/reI=")</f>
        <v>#REF!</v>
      </c>
      <c r="HT19" t="e">
        <f>AND(#REF!,"AAAAAHP/reM=")</f>
        <v>#REF!</v>
      </c>
      <c r="HU19" t="e">
        <f>AND(#REF!,"AAAAAHP/reQ=")</f>
        <v>#REF!</v>
      </c>
      <c r="HV19" t="e">
        <f>AND(#REF!,"AAAAAHP/reU=")</f>
        <v>#REF!</v>
      </c>
      <c r="HW19" t="e">
        <f>AND(#REF!,"AAAAAHP/reY=")</f>
        <v>#REF!</v>
      </c>
      <c r="HX19" t="e">
        <f>AND(#REF!,"AAAAAHP/rec=")</f>
        <v>#REF!</v>
      </c>
      <c r="HY19" t="e">
        <f>AND(#REF!,"AAAAAHP/reg=")</f>
        <v>#REF!</v>
      </c>
      <c r="HZ19" t="e">
        <f>AND(#REF!,"AAAAAHP/rek=")</f>
        <v>#REF!</v>
      </c>
      <c r="IA19" t="e">
        <f>AND(#REF!,"AAAAAHP/reo=")</f>
        <v>#REF!</v>
      </c>
      <c r="IB19" t="e">
        <f>AND(#REF!,"AAAAAHP/res=")</f>
        <v>#REF!</v>
      </c>
      <c r="IC19" t="e">
        <f>AND(#REF!,"AAAAAHP/rew=")</f>
        <v>#REF!</v>
      </c>
      <c r="ID19" t="e">
        <f>AND(#REF!,"AAAAAHP/re0=")</f>
        <v>#REF!</v>
      </c>
      <c r="IE19" t="e">
        <f>AND(#REF!,"AAAAAHP/re4=")</f>
        <v>#REF!</v>
      </c>
      <c r="IF19" t="e">
        <f>AND(#REF!,"AAAAAHP/re8=")</f>
        <v>#REF!</v>
      </c>
      <c r="IG19" t="e">
        <f>AND(#REF!,"AAAAAHP/rfA=")</f>
        <v>#REF!</v>
      </c>
      <c r="IH19" t="e">
        <f>AND(#REF!,"AAAAAHP/rfE=")</f>
        <v>#REF!</v>
      </c>
      <c r="II19" t="e">
        <f>AND(#REF!,"AAAAAHP/rfI=")</f>
        <v>#REF!</v>
      </c>
      <c r="IJ19" t="e">
        <f>AND(#REF!,"AAAAAHP/rfM=")</f>
        <v>#REF!</v>
      </c>
      <c r="IK19" t="e">
        <f>AND(#REF!,"AAAAAHP/rfQ=")</f>
        <v>#REF!</v>
      </c>
      <c r="IL19" t="e">
        <f>AND(#REF!,"AAAAAHP/rfU=")</f>
        <v>#REF!</v>
      </c>
      <c r="IM19" t="e">
        <f>AND(#REF!,"AAAAAHP/rfY=")</f>
        <v>#REF!</v>
      </c>
      <c r="IN19" t="e">
        <f>AND(#REF!,"AAAAAHP/rfc=")</f>
        <v>#REF!</v>
      </c>
      <c r="IO19" t="e">
        <f>AND(#REF!,"AAAAAHP/rfg=")</f>
        <v>#REF!</v>
      </c>
      <c r="IP19" t="e">
        <f>AND(#REF!,"AAAAAHP/rfk=")</f>
        <v>#REF!</v>
      </c>
      <c r="IQ19" t="e">
        <f>AND(#REF!,"AAAAAHP/rfo=")</f>
        <v>#REF!</v>
      </c>
      <c r="IR19" t="e">
        <f>AND(#REF!,"AAAAAHP/rfs=")</f>
        <v>#REF!</v>
      </c>
      <c r="IS19" t="e">
        <f>AND(#REF!,"AAAAAHP/rfw=")</f>
        <v>#REF!</v>
      </c>
      <c r="IT19" t="e">
        <f>AND(#REF!,"AAAAAHP/rf0=")</f>
        <v>#REF!</v>
      </c>
      <c r="IU19" t="e">
        <f>AND(#REF!,"AAAAAHP/rf4=")</f>
        <v>#REF!</v>
      </c>
      <c r="IV19" t="e">
        <f>AND(#REF!,"AAAAAHP/rf8=")</f>
        <v>#REF!</v>
      </c>
    </row>
    <row r="20" spans="1:256">
      <c r="A20" t="e">
        <f>AND(#REF!,"AAAAAH9O/gA=")</f>
        <v>#REF!</v>
      </c>
      <c r="B20" t="e">
        <f>AND(#REF!,"AAAAAH9O/gE=")</f>
        <v>#REF!</v>
      </c>
      <c r="C20" t="e">
        <f>AND(#REF!,"AAAAAH9O/gI=")</f>
        <v>#REF!</v>
      </c>
      <c r="D20" t="e">
        <f>AND(#REF!,"AAAAAH9O/gM=")</f>
        <v>#REF!</v>
      </c>
      <c r="E20" t="e">
        <f>AND(#REF!,"AAAAAH9O/gQ=")</f>
        <v>#REF!</v>
      </c>
      <c r="F20" t="e">
        <f>AND(#REF!,"AAAAAH9O/gU=")</f>
        <v>#REF!</v>
      </c>
      <c r="G20" t="e">
        <f>AND(#REF!,"AAAAAH9O/gY=")</f>
        <v>#REF!</v>
      </c>
      <c r="H20" t="e">
        <f>AND(#REF!,"AAAAAH9O/gc=")</f>
        <v>#REF!</v>
      </c>
      <c r="I20" t="e">
        <f>AND(#REF!,"AAAAAH9O/gg=")</f>
        <v>#REF!</v>
      </c>
      <c r="J20" t="e">
        <f>AND(#REF!,"AAAAAH9O/gk=")</f>
        <v>#REF!</v>
      </c>
      <c r="K20" t="e">
        <f>AND(#REF!,"AAAAAH9O/go=")</f>
        <v>#REF!</v>
      </c>
      <c r="L20" t="e">
        <f>AND(#REF!,"AAAAAH9O/gs=")</f>
        <v>#REF!</v>
      </c>
      <c r="M20" t="e">
        <f>AND(#REF!,"AAAAAH9O/gw=")</f>
        <v>#REF!</v>
      </c>
      <c r="N20" t="e">
        <f>AND(#REF!,"AAAAAH9O/g0=")</f>
        <v>#REF!</v>
      </c>
      <c r="O20" t="e">
        <f>AND(#REF!,"AAAAAH9O/g4=")</f>
        <v>#REF!</v>
      </c>
      <c r="P20" t="e">
        <f>AND(#REF!,"AAAAAH9O/g8=")</f>
        <v>#REF!</v>
      </c>
      <c r="Q20" t="e">
        <f>AND(#REF!,"AAAAAH9O/hA=")</f>
        <v>#REF!</v>
      </c>
      <c r="R20" t="e">
        <f>AND(#REF!,"AAAAAH9O/hE=")</f>
        <v>#REF!</v>
      </c>
      <c r="S20" t="e">
        <f>AND(#REF!,"AAAAAH9O/hI=")</f>
        <v>#REF!</v>
      </c>
      <c r="T20" t="e">
        <f>AND(#REF!,"AAAAAH9O/hM=")</f>
        <v>#REF!</v>
      </c>
      <c r="U20" t="e">
        <f>AND(#REF!,"AAAAAH9O/hQ=")</f>
        <v>#REF!</v>
      </c>
      <c r="V20" t="e">
        <f>AND(#REF!,"AAAAAH9O/hU=")</f>
        <v>#REF!</v>
      </c>
      <c r="W20" t="e">
        <f>AND(#REF!,"AAAAAH9O/hY=")</f>
        <v>#REF!</v>
      </c>
      <c r="X20" t="e">
        <f>AND(#REF!,"AAAAAH9O/hc=")</f>
        <v>#REF!</v>
      </c>
      <c r="Y20" t="e">
        <f>AND(#REF!,"AAAAAH9O/hg=")</f>
        <v>#REF!</v>
      </c>
      <c r="Z20" t="e">
        <f>AND(#REF!,"AAAAAH9O/hk=")</f>
        <v>#REF!</v>
      </c>
      <c r="AA20" t="e">
        <f>AND(#REF!,"AAAAAH9O/ho=")</f>
        <v>#REF!</v>
      </c>
      <c r="AB20" t="e">
        <f>AND(#REF!,"AAAAAH9O/hs=")</f>
        <v>#REF!</v>
      </c>
      <c r="AC20" t="e">
        <f>AND(#REF!,"AAAAAH9O/hw=")</f>
        <v>#REF!</v>
      </c>
      <c r="AD20" t="e">
        <f>AND(#REF!,"AAAAAH9O/h0=")</f>
        <v>#REF!</v>
      </c>
      <c r="AE20" t="e">
        <f>AND(#REF!,"AAAAAH9O/h4=")</f>
        <v>#REF!</v>
      </c>
      <c r="AF20" t="e">
        <f>AND(#REF!,"AAAAAH9O/h8=")</f>
        <v>#REF!</v>
      </c>
      <c r="AG20" t="e">
        <f>AND(#REF!,"AAAAAH9O/iA=")</f>
        <v>#REF!</v>
      </c>
      <c r="AH20" t="e">
        <f>AND(#REF!,"AAAAAH9O/iE=")</f>
        <v>#REF!</v>
      </c>
      <c r="AI20" t="e">
        <f>AND(#REF!,"AAAAAH9O/iI=")</f>
        <v>#REF!</v>
      </c>
      <c r="AJ20" t="e">
        <f>AND(#REF!,"AAAAAH9O/iM=")</f>
        <v>#REF!</v>
      </c>
      <c r="AK20" t="e">
        <f>AND(#REF!,"AAAAAH9O/iQ=")</f>
        <v>#REF!</v>
      </c>
      <c r="AL20" t="e">
        <f>AND(#REF!,"AAAAAH9O/iU=")</f>
        <v>#REF!</v>
      </c>
      <c r="AM20" t="e">
        <f>AND(#REF!,"AAAAAH9O/iY=")</f>
        <v>#REF!</v>
      </c>
      <c r="AN20" t="e">
        <f>AND(#REF!,"AAAAAH9O/ic=")</f>
        <v>#REF!</v>
      </c>
      <c r="AO20" t="e">
        <f>AND(#REF!,"AAAAAH9O/ig=")</f>
        <v>#REF!</v>
      </c>
      <c r="AP20" t="e">
        <f>AND(#REF!,"AAAAAH9O/ik=")</f>
        <v>#REF!</v>
      </c>
      <c r="AQ20" t="e">
        <f>AND(#REF!,"AAAAAH9O/io=")</f>
        <v>#REF!</v>
      </c>
      <c r="AR20" t="e">
        <f>AND(#REF!,"AAAAAH9O/is=")</f>
        <v>#REF!</v>
      </c>
      <c r="AS20" t="e">
        <f>AND(#REF!,"AAAAAH9O/iw=")</f>
        <v>#REF!</v>
      </c>
      <c r="AT20" t="e">
        <f>AND(#REF!,"AAAAAH9O/i0=")</f>
        <v>#REF!</v>
      </c>
      <c r="AU20" t="e">
        <f>AND(#REF!,"AAAAAH9O/i4=")</f>
        <v>#REF!</v>
      </c>
      <c r="AV20" t="e">
        <f>AND(#REF!,"AAAAAH9O/i8=")</f>
        <v>#REF!</v>
      </c>
      <c r="AW20" t="e">
        <f>AND(#REF!,"AAAAAH9O/jA=")</f>
        <v>#REF!</v>
      </c>
      <c r="AX20" t="e">
        <f>AND(#REF!,"AAAAAH9O/jE=")</f>
        <v>#REF!</v>
      </c>
      <c r="AY20" t="e">
        <f>AND(#REF!,"AAAAAH9O/jI=")</f>
        <v>#REF!</v>
      </c>
      <c r="AZ20" t="e">
        <f>AND(#REF!,"AAAAAH9O/jM=")</f>
        <v>#REF!</v>
      </c>
      <c r="BA20" t="e">
        <f>AND(#REF!,"AAAAAH9O/jQ=")</f>
        <v>#REF!</v>
      </c>
      <c r="BB20" t="e">
        <f>AND(#REF!,"AAAAAH9O/jU=")</f>
        <v>#REF!</v>
      </c>
      <c r="BC20" t="e">
        <f>AND(#REF!,"AAAAAH9O/jY=")</f>
        <v>#REF!</v>
      </c>
      <c r="BD20" t="e">
        <f>AND(#REF!,"AAAAAH9O/jc=")</f>
        <v>#REF!</v>
      </c>
      <c r="BE20" t="e">
        <f>AND(#REF!,"AAAAAH9O/jg=")</f>
        <v>#REF!</v>
      </c>
      <c r="BF20" t="e">
        <f>AND(#REF!,"AAAAAH9O/jk=")</f>
        <v>#REF!</v>
      </c>
      <c r="BG20" t="e">
        <f>AND(#REF!,"AAAAAH9O/jo=")</f>
        <v>#REF!</v>
      </c>
      <c r="BH20" t="e">
        <f>AND(#REF!,"AAAAAH9O/js=")</f>
        <v>#REF!</v>
      </c>
      <c r="BI20" t="e">
        <f>AND(#REF!,"AAAAAH9O/jw=")</f>
        <v>#REF!</v>
      </c>
      <c r="BJ20" t="e">
        <f>AND(#REF!,"AAAAAH9O/j0=")</f>
        <v>#REF!</v>
      </c>
      <c r="BK20" t="e">
        <f>AND(#REF!,"AAAAAH9O/j4=")</f>
        <v>#REF!</v>
      </c>
      <c r="BL20" t="e">
        <f>AND(#REF!,"AAAAAH9O/j8=")</f>
        <v>#REF!</v>
      </c>
      <c r="BM20" t="e">
        <f>AND(#REF!,"AAAAAH9O/kA=")</f>
        <v>#REF!</v>
      </c>
      <c r="BN20" t="e">
        <f>AND(#REF!,"AAAAAH9O/kE=")</f>
        <v>#REF!</v>
      </c>
      <c r="BO20" t="e">
        <f>AND(#REF!,"AAAAAH9O/kI=")</f>
        <v>#REF!</v>
      </c>
      <c r="BP20" t="e">
        <f>AND(#REF!,"AAAAAH9O/kM=")</f>
        <v>#REF!</v>
      </c>
      <c r="BQ20" t="e">
        <f>AND(#REF!,"AAAAAH9O/kQ=")</f>
        <v>#REF!</v>
      </c>
      <c r="BR20" t="e">
        <f>AND(#REF!,"AAAAAH9O/kU=")</f>
        <v>#REF!</v>
      </c>
      <c r="BS20" t="e">
        <f>AND(#REF!,"AAAAAH9O/kY=")</f>
        <v>#REF!</v>
      </c>
      <c r="BT20" t="e">
        <f>AND(#REF!,"AAAAAH9O/kc=")</f>
        <v>#REF!</v>
      </c>
      <c r="BU20" t="e">
        <f>AND(#REF!,"AAAAAH9O/kg=")</f>
        <v>#REF!</v>
      </c>
      <c r="BV20" t="e">
        <f>AND(#REF!,"AAAAAH9O/kk=")</f>
        <v>#REF!</v>
      </c>
      <c r="BW20" t="e">
        <f>AND(#REF!,"AAAAAH9O/ko=")</f>
        <v>#REF!</v>
      </c>
      <c r="BX20" t="e">
        <f>AND(#REF!,"AAAAAH9O/ks=")</f>
        <v>#REF!</v>
      </c>
      <c r="BY20" t="e">
        <f>AND(#REF!,"AAAAAH9O/kw=")</f>
        <v>#REF!</v>
      </c>
      <c r="BZ20" t="e">
        <f>AND(#REF!,"AAAAAH9O/k0=")</f>
        <v>#REF!</v>
      </c>
      <c r="CA20" t="e">
        <f>AND(#REF!,"AAAAAH9O/k4=")</f>
        <v>#REF!</v>
      </c>
      <c r="CB20" t="e">
        <f>AND(#REF!,"AAAAAH9O/k8=")</f>
        <v>#REF!</v>
      </c>
      <c r="CC20" t="e">
        <f>AND(#REF!,"AAAAAH9O/lA=")</f>
        <v>#REF!</v>
      </c>
      <c r="CD20" t="e">
        <f>AND(#REF!,"AAAAAH9O/lE=")</f>
        <v>#REF!</v>
      </c>
      <c r="CE20" t="e">
        <f>AND(#REF!,"AAAAAH9O/lI=")</f>
        <v>#REF!</v>
      </c>
      <c r="CF20" t="e">
        <f>AND(#REF!,"AAAAAH9O/lM=")</f>
        <v>#REF!</v>
      </c>
      <c r="CG20" t="e">
        <f>AND(#REF!,"AAAAAH9O/lQ=")</f>
        <v>#REF!</v>
      </c>
      <c r="CH20" t="e">
        <f>AND(#REF!,"AAAAAH9O/lU=")</f>
        <v>#REF!</v>
      </c>
      <c r="CI20" t="e">
        <f>AND(#REF!,"AAAAAH9O/lY=")</f>
        <v>#REF!</v>
      </c>
      <c r="CJ20" t="e">
        <f>AND(#REF!,"AAAAAH9O/lc=")</f>
        <v>#REF!</v>
      </c>
      <c r="CK20" t="e">
        <f>AND(#REF!,"AAAAAH9O/lg=")</f>
        <v>#REF!</v>
      </c>
      <c r="CL20" t="e">
        <f>AND(#REF!,"AAAAAH9O/lk=")</f>
        <v>#REF!</v>
      </c>
      <c r="CM20" t="e">
        <f>AND(#REF!,"AAAAAH9O/lo=")</f>
        <v>#REF!</v>
      </c>
      <c r="CN20" t="e">
        <f>AND(#REF!,"AAAAAH9O/ls=")</f>
        <v>#REF!</v>
      </c>
      <c r="CO20" t="e">
        <f>AND(#REF!,"AAAAAH9O/lw=")</f>
        <v>#REF!</v>
      </c>
      <c r="CP20" t="e">
        <f>AND(#REF!,"AAAAAH9O/l0=")</f>
        <v>#REF!</v>
      </c>
      <c r="CQ20" t="e">
        <f>AND(#REF!,"AAAAAH9O/l4=")</f>
        <v>#REF!</v>
      </c>
      <c r="CR20" t="e">
        <f>AND(#REF!,"AAAAAH9O/l8=")</f>
        <v>#REF!</v>
      </c>
      <c r="CS20" t="e">
        <f>AND(#REF!,"AAAAAH9O/mA=")</f>
        <v>#REF!</v>
      </c>
      <c r="CT20" t="e">
        <f>AND(#REF!,"AAAAAH9O/mE=")</f>
        <v>#REF!</v>
      </c>
      <c r="CU20" t="e">
        <f>AND(#REF!,"AAAAAH9O/mI=")</f>
        <v>#REF!</v>
      </c>
      <c r="CV20" t="e">
        <f>AND(#REF!,"AAAAAH9O/mM=")</f>
        <v>#REF!</v>
      </c>
      <c r="CW20" t="e">
        <f>AND(#REF!,"AAAAAH9O/mQ=")</f>
        <v>#REF!</v>
      </c>
      <c r="CX20" t="e">
        <f>AND(#REF!,"AAAAAH9O/mU=")</f>
        <v>#REF!</v>
      </c>
      <c r="CY20" t="e">
        <f>AND(#REF!,"AAAAAH9O/mY=")</f>
        <v>#REF!</v>
      </c>
      <c r="CZ20" t="e">
        <f>AND(#REF!,"AAAAAH9O/mc=")</f>
        <v>#REF!</v>
      </c>
      <c r="DA20" t="e">
        <f>AND(#REF!,"AAAAAH9O/mg=")</f>
        <v>#REF!</v>
      </c>
      <c r="DB20" t="e">
        <f>AND(#REF!,"AAAAAH9O/mk=")</f>
        <v>#REF!</v>
      </c>
      <c r="DC20" t="e">
        <f>AND(#REF!,"AAAAAH9O/mo=")</f>
        <v>#REF!</v>
      </c>
      <c r="DD20" t="e">
        <f>AND(#REF!,"AAAAAH9O/ms=")</f>
        <v>#REF!</v>
      </c>
      <c r="DE20" t="e">
        <f>AND(#REF!,"AAAAAH9O/mw=")</f>
        <v>#REF!</v>
      </c>
      <c r="DF20" t="e">
        <f>AND(#REF!,"AAAAAH9O/m0=")</f>
        <v>#REF!</v>
      </c>
      <c r="DG20" t="e">
        <f>AND(#REF!,"AAAAAH9O/m4=")</f>
        <v>#REF!</v>
      </c>
      <c r="DH20" t="e">
        <f>AND(#REF!,"AAAAAH9O/m8=")</f>
        <v>#REF!</v>
      </c>
      <c r="DI20" t="e">
        <f>AND(#REF!,"AAAAAH9O/nA=")</f>
        <v>#REF!</v>
      </c>
      <c r="DJ20" t="e">
        <f>AND(#REF!,"AAAAAH9O/nE=")</f>
        <v>#REF!</v>
      </c>
      <c r="DK20" t="e">
        <f>AND(#REF!,"AAAAAH9O/nI=")</f>
        <v>#REF!</v>
      </c>
      <c r="DL20" t="e">
        <f>AND(#REF!,"AAAAAH9O/nM=")</f>
        <v>#REF!</v>
      </c>
      <c r="DM20" t="e">
        <f>AND(#REF!,"AAAAAH9O/nQ=")</f>
        <v>#REF!</v>
      </c>
      <c r="DN20" t="e">
        <f>AND(#REF!,"AAAAAH9O/nU=")</f>
        <v>#REF!</v>
      </c>
      <c r="DO20" t="e">
        <f>AND(#REF!,"AAAAAH9O/nY=")</f>
        <v>#REF!</v>
      </c>
      <c r="DP20" t="e">
        <f>AND(#REF!,"AAAAAH9O/nc=")</f>
        <v>#REF!</v>
      </c>
      <c r="DQ20" t="e">
        <f>AND(#REF!,"AAAAAH9O/ng=")</f>
        <v>#REF!</v>
      </c>
      <c r="DR20" t="e">
        <f>AND(#REF!,"AAAAAH9O/nk=")</f>
        <v>#REF!</v>
      </c>
      <c r="DS20" t="e">
        <f>AND(#REF!,"AAAAAH9O/no=")</f>
        <v>#REF!</v>
      </c>
      <c r="DT20" t="e">
        <f>AND(#REF!,"AAAAAH9O/ns=")</f>
        <v>#REF!</v>
      </c>
      <c r="DU20" t="e">
        <f>AND(#REF!,"AAAAAH9O/nw=")</f>
        <v>#REF!</v>
      </c>
      <c r="DV20" t="e">
        <f>AND(#REF!,"AAAAAH9O/n0=")</f>
        <v>#REF!</v>
      </c>
      <c r="DW20" t="e">
        <f>AND(#REF!,"AAAAAH9O/n4=")</f>
        <v>#REF!</v>
      </c>
      <c r="DX20" t="e">
        <f>AND(#REF!,"AAAAAH9O/n8=")</f>
        <v>#REF!</v>
      </c>
      <c r="DY20" t="e">
        <f>AND(#REF!,"AAAAAH9O/oA=")</f>
        <v>#REF!</v>
      </c>
      <c r="DZ20" t="e">
        <f>AND(#REF!,"AAAAAH9O/oE=")</f>
        <v>#REF!</v>
      </c>
      <c r="EA20" t="e">
        <f>AND(#REF!,"AAAAAH9O/oI=")</f>
        <v>#REF!</v>
      </c>
      <c r="EB20" t="e">
        <f>AND(#REF!,"AAAAAH9O/oM=")</f>
        <v>#REF!</v>
      </c>
      <c r="EC20" t="e">
        <f>AND(#REF!,"AAAAAH9O/oQ=")</f>
        <v>#REF!</v>
      </c>
      <c r="ED20" t="e">
        <f>AND(#REF!,"AAAAAH9O/oU=")</f>
        <v>#REF!</v>
      </c>
      <c r="EE20" t="e">
        <f>AND(#REF!,"AAAAAH9O/oY=")</f>
        <v>#REF!</v>
      </c>
      <c r="EF20" t="e">
        <f>AND(#REF!,"AAAAAH9O/oc=")</f>
        <v>#REF!</v>
      </c>
      <c r="EG20" t="e">
        <f>AND(#REF!,"AAAAAH9O/og=")</f>
        <v>#REF!</v>
      </c>
      <c r="EH20" t="e">
        <f>AND(#REF!,"AAAAAH9O/ok=")</f>
        <v>#REF!</v>
      </c>
      <c r="EI20" t="e">
        <f>AND(#REF!,"AAAAAH9O/oo=")</f>
        <v>#REF!</v>
      </c>
      <c r="EJ20" t="e">
        <f>AND(#REF!,"AAAAAH9O/os=")</f>
        <v>#REF!</v>
      </c>
      <c r="EK20" t="e">
        <f>AND(#REF!,"AAAAAH9O/ow=")</f>
        <v>#REF!</v>
      </c>
      <c r="EL20" t="e">
        <f>AND(#REF!,"AAAAAH9O/o0=")</f>
        <v>#REF!</v>
      </c>
      <c r="EM20" t="e">
        <f>AND(#REF!,"AAAAAH9O/o4=")</f>
        <v>#REF!</v>
      </c>
      <c r="EN20" t="e">
        <f>AND(#REF!,"AAAAAH9O/o8=")</f>
        <v>#REF!</v>
      </c>
      <c r="EO20" t="e">
        <f>AND(#REF!,"AAAAAH9O/pA=")</f>
        <v>#REF!</v>
      </c>
      <c r="EP20" t="e">
        <f>AND(#REF!,"AAAAAH9O/pE=")</f>
        <v>#REF!</v>
      </c>
      <c r="EQ20" t="e">
        <f>AND(#REF!,"AAAAAH9O/pI=")</f>
        <v>#REF!</v>
      </c>
      <c r="ER20" t="e">
        <f>AND(#REF!,"AAAAAH9O/pM=")</f>
        <v>#REF!</v>
      </c>
      <c r="ES20" t="e">
        <f>AND(#REF!,"AAAAAH9O/pQ=")</f>
        <v>#REF!</v>
      </c>
      <c r="ET20" t="e">
        <f>AND(#REF!,"AAAAAH9O/pU=")</f>
        <v>#REF!</v>
      </c>
      <c r="EU20" t="e">
        <f>AND(#REF!,"AAAAAH9O/pY=")</f>
        <v>#REF!</v>
      </c>
      <c r="EV20" t="e">
        <f>AND(#REF!,"AAAAAH9O/pc=")</f>
        <v>#REF!</v>
      </c>
      <c r="EW20" t="e">
        <f>AND(#REF!,"AAAAAH9O/pg=")</f>
        <v>#REF!</v>
      </c>
      <c r="EX20" t="e">
        <f>AND(#REF!,"AAAAAH9O/pk=")</f>
        <v>#REF!</v>
      </c>
      <c r="EY20" t="e">
        <f>AND(#REF!,"AAAAAH9O/po=")</f>
        <v>#REF!</v>
      </c>
      <c r="EZ20" t="e">
        <f>AND(#REF!,"AAAAAH9O/ps=")</f>
        <v>#REF!</v>
      </c>
      <c r="FA20" t="e">
        <f>AND(#REF!,"AAAAAH9O/pw=")</f>
        <v>#REF!</v>
      </c>
      <c r="FB20" t="e">
        <f>AND(#REF!,"AAAAAH9O/p0=")</f>
        <v>#REF!</v>
      </c>
      <c r="FC20" t="e">
        <f>AND(#REF!,"AAAAAH9O/p4=")</f>
        <v>#REF!</v>
      </c>
      <c r="FD20" t="e">
        <f>AND(#REF!,"AAAAAH9O/p8=")</f>
        <v>#REF!</v>
      </c>
      <c r="FE20" t="e">
        <f>AND(#REF!,"AAAAAH9O/qA=")</f>
        <v>#REF!</v>
      </c>
      <c r="FF20" t="e">
        <f>AND(#REF!,"AAAAAH9O/qE=")</f>
        <v>#REF!</v>
      </c>
      <c r="FG20" t="e">
        <f>AND(#REF!,"AAAAAH9O/qI=")</f>
        <v>#REF!</v>
      </c>
      <c r="FH20" t="e">
        <f>AND(#REF!,"AAAAAH9O/qM=")</f>
        <v>#REF!</v>
      </c>
      <c r="FI20" t="e">
        <f>AND(#REF!,"AAAAAH9O/qQ=")</f>
        <v>#REF!</v>
      </c>
      <c r="FJ20" t="e">
        <f>AND(#REF!,"AAAAAH9O/qU=")</f>
        <v>#REF!</v>
      </c>
      <c r="FK20" t="e">
        <f>AND(#REF!,"AAAAAH9O/qY=")</f>
        <v>#REF!</v>
      </c>
      <c r="FL20" t="e">
        <f>AND(#REF!,"AAAAAH9O/qc=")</f>
        <v>#REF!</v>
      </c>
      <c r="FM20" t="e">
        <f>AND(#REF!,"AAAAAH9O/qg=")</f>
        <v>#REF!</v>
      </c>
      <c r="FN20" t="e">
        <f>AND(#REF!,"AAAAAH9O/qk=")</f>
        <v>#REF!</v>
      </c>
      <c r="FO20" t="e">
        <f>AND(#REF!,"AAAAAH9O/qo=")</f>
        <v>#REF!</v>
      </c>
      <c r="FP20" t="e">
        <f>AND(#REF!,"AAAAAH9O/qs=")</f>
        <v>#REF!</v>
      </c>
      <c r="FQ20" t="e">
        <f>AND(#REF!,"AAAAAH9O/qw=")</f>
        <v>#REF!</v>
      </c>
      <c r="FR20" t="e">
        <f>AND(#REF!,"AAAAAH9O/q0=")</f>
        <v>#REF!</v>
      </c>
      <c r="FS20" t="e">
        <f>AND(#REF!,"AAAAAH9O/q4=")</f>
        <v>#REF!</v>
      </c>
      <c r="FT20" t="e">
        <f>AND(#REF!,"AAAAAH9O/q8=")</f>
        <v>#REF!</v>
      </c>
      <c r="FU20" t="e">
        <f>AND(#REF!,"AAAAAH9O/rA=")</f>
        <v>#REF!</v>
      </c>
      <c r="FV20" t="e">
        <f>AND(#REF!,"AAAAAH9O/rE=")</f>
        <v>#REF!</v>
      </c>
      <c r="FW20" t="e">
        <f>AND(#REF!,"AAAAAH9O/rI=")</f>
        <v>#REF!</v>
      </c>
      <c r="FX20" t="e">
        <f>AND(#REF!,"AAAAAH9O/rM=")</f>
        <v>#REF!</v>
      </c>
      <c r="FY20" t="e">
        <f>AND(#REF!,"AAAAAH9O/rQ=")</f>
        <v>#REF!</v>
      </c>
      <c r="FZ20" t="e">
        <f>AND(#REF!,"AAAAAH9O/rU=")</f>
        <v>#REF!</v>
      </c>
      <c r="GA20" t="e">
        <f>AND(#REF!,"AAAAAH9O/rY=")</f>
        <v>#REF!</v>
      </c>
      <c r="GB20" t="e">
        <f>AND(#REF!,"AAAAAH9O/rc=")</f>
        <v>#REF!</v>
      </c>
      <c r="GC20" t="e">
        <f>AND(#REF!,"AAAAAH9O/rg=")</f>
        <v>#REF!</v>
      </c>
      <c r="GD20" t="e">
        <f>AND(#REF!,"AAAAAH9O/rk=")</f>
        <v>#REF!</v>
      </c>
      <c r="GE20" t="e">
        <f>AND(#REF!,"AAAAAH9O/ro=")</f>
        <v>#REF!</v>
      </c>
      <c r="GF20" t="e">
        <f>AND(#REF!,"AAAAAH9O/rs=")</f>
        <v>#REF!</v>
      </c>
      <c r="GG20" t="e">
        <f>AND(#REF!,"AAAAAH9O/rw=")</f>
        <v>#REF!</v>
      </c>
      <c r="GH20" t="e">
        <f>AND(#REF!,"AAAAAH9O/r0=")</f>
        <v>#REF!</v>
      </c>
      <c r="GI20" t="e">
        <f>AND(#REF!,"AAAAAH9O/r4=")</f>
        <v>#REF!</v>
      </c>
      <c r="GJ20" t="e">
        <f>AND(#REF!,"AAAAAH9O/r8=")</f>
        <v>#REF!</v>
      </c>
      <c r="GK20" t="e">
        <f>AND(#REF!,"AAAAAH9O/sA=")</f>
        <v>#REF!</v>
      </c>
      <c r="GL20" t="e">
        <f>AND(#REF!,"AAAAAH9O/sE=")</f>
        <v>#REF!</v>
      </c>
      <c r="GM20" t="e">
        <f>AND(#REF!,"AAAAAH9O/sI=")</f>
        <v>#REF!</v>
      </c>
      <c r="GN20" t="e">
        <f>AND(#REF!,"AAAAAH9O/sM=")</f>
        <v>#REF!</v>
      </c>
      <c r="GO20" t="e">
        <f>AND(#REF!,"AAAAAH9O/sQ=")</f>
        <v>#REF!</v>
      </c>
      <c r="GP20" t="e">
        <f>AND(#REF!,"AAAAAH9O/sU=")</f>
        <v>#REF!</v>
      </c>
      <c r="GQ20" t="e">
        <f>AND(#REF!,"AAAAAH9O/sY=")</f>
        <v>#REF!</v>
      </c>
      <c r="GR20" t="e">
        <f>AND(#REF!,"AAAAAH9O/sc=")</f>
        <v>#REF!</v>
      </c>
      <c r="GS20" t="e">
        <f>AND(#REF!,"AAAAAH9O/sg=")</f>
        <v>#REF!</v>
      </c>
      <c r="GT20" t="e">
        <f>AND(#REF!,"AAAAAH9O/sk=")</f>
        <v>#REF!</v>
      </c>
      <c r="GU20" t="e">
        <f>AND(#REF!,"AAAAAH9O/so=")</f>
        <v>#REF!</v>
      </c>
      <c r="GV20" t="e">
        <f>AND(#REF!,"AAAAAH9O/ss=")</f>
        <v>#REF!</v>
      </c>
      <c r="GW20" t="e">
        <f>AND(#REF!,"AAAAAH9O/sw=")</f>
        <v>#REF!</v>
      </c>
      <c r="GX20" t="e">
        <f>AND(#REF!,"AAAAAH9O/s0=")</f>
        <v>#REF!</v>
      </c>
      <c r="GY20" t="e">
        <f>AND(#REF!,"AAAAAH9O/s4=")</f>
        <v>#REF!</v>
      </c>
      <c r="GZ20" t="e">
        <f>AND(#REF!,"AAAAAH9O/s8=")</f>
        <v>#REF!</v>
      </c>
      <c r="HA20" t="e">
        <f>AND(#REF!,"AAAAAH9O/tA=")</f>
        <v>#REF!</v>
      </c>
      <c r="HB20" t="e">
        <f>AND(#REF!,"AAAAAH9O/tE=")</f>
        <v>#REF!</v>
      </c>
      <c r="HC20" t="e">
        <f>AND(#REF!,"AAAAAH9O/tI=")</f>
        <v>#REF!</v>
      </c>
      <c r="HD20" t="e">
        <f>AND(#REF!,"AAAAAH9O/tM=")</f>
        <v>#REF!</v>
      </c>
      <c r="HE20" t="e">
        <f>AND(#REF!,"AAAAAH9O/tQ=")</f>
        <v>#REF!</v>
      </c>
      <c r="HF20" t="e">
        <f>AND(#REF!,"AAAAAH9O/tU=")</f>
        <v>#REF!</v>
      </c>
      <c r="HG20" t="e">
        <f>AND(#REF!,"AAAAAH9O/tY=")</f>
        <v>#REF!</v>
      </c>
      <c r="HH20" t="e">
        <f>AND(#REF!,"AAAAAH9O/tc=")</f>
        <v>#REF!</v>
      </c>
      <c r="HI20" t="e">
        <f>AND(#REF!,"AAAAAH9O/tg=")</f>
        <v>#REF!</v>
      </c>
      <c r="HJ20" t="e">
        <f>AND(#REF!,"AAAAAH9O/tk=")</f>
        <v>#REF!</v>
      </c>
      <c r="HK20" t="e">
        <f>AND(#REF!,"AAAAAH9O/to=")</f>
        <v>#REF!</v>
      </c>
      <c r="HL20" t="e">
        <f>AND(#REF!,"AAAAAH9O/ts=")</f>
        <v>#REF!</v>
      </c>
      <c r="HM20" t="e">
        <f>AND(#REF!,"AAAAAH9O/tw=")</f>
        <v>#REF!</v>
      </c>
      <c r="HN20" t="e">
        <f>AND(#REF!,"AAAAAH9O/t0=")</f>
        <v>#REF!</v>
      </c>
      <c r="HO20" t="e">
        <f>AND(#REF!,"AAAAAH9O/t4=")</f>
        <v>#REF!</v>
      </c>
      <c r="HP20" t="e">
        <f>AND(#REF!,"AAAAAH9O/t8=")</f>
        <v>#REF!</v>
      </c>
      <c r="HQ20" t="e">
        <f>AND(#REF!,"AAAAAH9O/uA=")</f>
        <v>#REF!</v>
      </c>
      <c r="HR20" t="e">
        <f>AND(#REF!,"AAAAAH9O/uE=")</f>
        <v>#REF!</v>
      </c>
      <c r="HS20" t="e">
        <f>AND(#REF!,"AAAAAH9O/uI=")</f>
        <v>#REF!</v>
      </c>
      <c r="HT20" t="e">
        <f>AND(#REF!,"AAAAAH9O/uM=")</f>
        <v>#REF!</v>
      </c>
      <c r="HU20" t="e">
        <f>AND(#REF!,"AAAAAH9O/uQ=")</f>
        <v>#REF!</v>
      </c>
      <c r="HV20" t="e">
        <f>AND(#REF!,"AAAAAH9O/uU=")</f>
        <v>#REF!</v>
      </c>
      <c r="HW20" t="e">
        <f>AND(#REF!,"AAAAAH9O/uY=")</f>
        <v>#REF!</v>
      </c>
      <c r="HX20" t="e">
        <f>AND(#REF!,"AAAAAH9O/uc=")</f>
        <v>#REF!</v>
      </c>
      <c r="HY20" t="e">
        <f>AND(#REF!,"AAAAAH9O/ug=")</f>
        <v>#REF!</v>
      </c>
      <c r="HZ20" t="e">
        <f>AND(#REF!,"AAAAAH9O/uk=")</f>
        <v>#REF!</v>
      </c>
      <c r="IA20" t="e">
        <f>AND(#REF!,"AAAAAH9O/uo=")</f>
        <v>#REF!</v>
      </c>
      <c r="IB20" t="e">
        <f>AND(#REF!,"AAAAAH9O/us=")</f>
        <v>#REF!</v>
      </c>
      <c r="IC20" t="e">
        <f>AND(#REF!,"AAAAAH9O/uw=")</f>
        <v>#REF!</v>
      </c>
      <c r="ID20" t="e">
        <f>AND(#REF!,"AAAAAH9O/u0=")</f>
        <v>#REF!</v>
      </c>
      <c r="IE20" t="e">
        <f>AND(#REF!,"AAAAAH9O/u4=")</f>
        <v>#REF!</v>
      </c>
      <c r="IF20" t="e">
        <f>AND(#REF!,"AAAAAH9O/u8=")</f>
        <v>#REF!</v>
      </c>
      <c r="IG20" t="e">
        <f>AND(#REF!,"AAAAAH9O/vA=")</f>
        <v>#REF!</v>
      </c>
      <c r="IH20" t="e">
        <f>AND(#REF!,"AAAAAH9O/vE=")</f>
        <v>#REF!</v>
      </c>
      <c r="II20" t="e">
        <f>AND(#REF!,"AAAAAH9O/vI=")</f>
        <v>#REF!</v>
      </c>
      <c r="IJ20" t="e">
        <f>AND(#REF!,"AAAAAH9O/vM=")</f>
        <v>#REF!</v>
      </c>
      <c r="IK20" t="e">
        <f>AND(#REF!,"AAAAAH9O/vQ=")</f>
        <v>#REF!</v>
      </c>
      <c r="IL20" t="e">
        <f>AND(#REF!,"AAAAAH9O/vU=")</f>
        <v>#REF!</v>
      </c>
      <c r="IM20" t="e">
        <f>AND(#REF!,"AAAAAH9O/vY=")</f>
        <v>#REF!</v>
      </c>
      <c r="IN20" t="e">
        <f>AND(#REF!,"AAAAAH9O/vc=")</f>
        <v>#REF!</v>
      </c>
      <c r="IO20" t="e">
        <f>AND(#REF!,"AAAAAH9O/vg=")</f>
        <v>#REF!</v>
      </c>
      <c r="IP20" t="e">
        <f>AND(#REF!,"AAAAAH9O/vk=")</f>
        <v>#REF!</v>
      </c>
      <c r="IQ20" t="e">
        <f>AND(#REF!,"AAAAAH9O/vo=")</f>
        <v>#REF!</v>
      </c>
      <c r="IR20" t="e">
        <f>AND(#REF!,"AAAAAH9O/vs=")</f>
        <v>#REF!</v>
      </c>
      <c r="IS20" t="e">
        <f>AND(#REF!,"AAAAAH9O/vw=")</f>
        <v>#REF!</v>
      </c>
      <c r="IT20" t="e">
        <f>AND(#REF!,"AAAAAH9O/v0=")</f>
        <v>#REF!</v>
      </c>
      <c r="IU20" t="e">
        <f>AND(#REF!,"AAAAAH9O/v4=")</f>
        <v>#REF!</v>
      </c>
      <c r="IV20" t="e">
        <f>AND(#REF!,"AAAAAH9O/v8=")</f>
        <v>#REF!</v>
      </c>
    </row>
    <row r="21" spans="1:256">
      <c r="A21" t="e">
        <f>AND(#REF!,"AAAAADPbqwA=")</f>
        <v>#REF!</v>
      </c>
      <c r="B21" t="e">
        <f>AND(#REF!,"AAAAADPbqwE=")</f>
        <v>#REF!</v>
      </c>
      <c r="C21" t="e">
        <f>AND(#REF!,"AAAAADPbqwI=")</f>
        <v>#REF!</v>
      </c>
      <c r="D21" t="e">
        <f>AND(#REF!,"AAAAADPbqwM=")</f>
        <v>#REF!</v>
      </c>
      <c r="E21" t="e">
        <f>AND(#REF!,"AAAAADPbqwQ=")</f>
        <v>#REF!</v>
      </c>
      <c r="F21" t="e">
        <f>AND(#REF!,"AAAAADPbqwU=")</f>
        <v>#REF!</v>
      </c>
      <c r="G21" t="e">
        <f>AND(#REF!,"AAAAADPbqwY=")</f>
        <v>#REF!</v>
      </c>
      <c r="H21" t="e">
        <f>AND(#REF!,"AAAAADPbqwc=")</f>
        <v>#REF!</v>
      </c>
      <c r="I21" t="e">
        <f>AND(#REF!,"AAAAADPbqwg=")</f>
        <v>#REF!</v>
      </c>
      <c r="J21" t="e">
        <f>AND(#REF!,"AAAAADPbqwk=")</f>
        <v>#REF!</v>
      </c>
      <c r="K21" t="e">
        <f>AND(#REF!,"AAAAADPbqwo=")</f>
        <v>#REF!</v>
      </c>
      <c r="L21" t="e">
        <f>AND(#REF!,"AAAAADPbqws=")</f>
        <v>#REF!</v>
      </c>
      <c r="M21" t="e">
        <f>AND(#REF!,"AAAAADPbqww=")</f>
        <v>#REF!</v>
      </c>
      <c r="N21" t="e">
        <f>AND(#REF!,"AAAAADPbqw0=")</f>
        <v>#REF!</v>
      </c>
      <c r="O21" t="e">
        <f>AND(#REF!,"AAAAADPbqw4=")</f>
        <v>#REF!</v>
      </c>
      <c r="P21" t="e">
        <f>AND(#REF!,"AAAAADPbqw8=")</f>
        <v>#REF!</v>
      </c>
      <c r="Q21" t="e">
        <f>AND(#REF!,"AAAAADPbqxA=")</f>
        <v>#REF!</v>
      </c>
      <c r="R21" t="e">
        <f>AND(#REF!,"AAAAADPbqxE=")</f>
        <v>#REF!</v>
      </c>
      <c r="S21" t="e">
        <f>AND(#REF!,"AAAAADPbqxI=")</f>
        <v>#REF!</v>
      </c>
      <c r="T21" t="e">
        <f>AND(#REF!,"AAAAADPbqxM=")</f>
        <v>#REF!</v>
      </c>
      <c r="U21" t="e">
        <f>AND(#REF!,"AAAAADPbqxQ=")</f>
        <v>#REF!</v>
      </c>
      <c r="V21" t="e">
        <f>AND(#REF!,"AAAAADPbqxU=")</f>
        <v>#REF!</v>
      </c>
      <c r="W21" t="e">
        <f>AND(#REF!,"AAAAADPbqxY=")</f>
        <v>#REF!</v>
      </c>
      <c r="X21" t="e">
        <f>AND(#REF!,"AAAAADPbqxc=")</f>
        <v>#REF!</v>
      </c>
      <c r="Y21" t="e">
        <f>AND(#REF!,"AAAAADPbqxg=")</f>
        <v>#REF!</v>
      </c>
      <c r="Z21" t="e">
        <f>AND(#REF!,"AAAAADPbqxk=")</f>
        <v>#REF!</v>
      </c>
      <c r="AA21" t="e">
        <f>AND(#REF!,"AAAAADPbqxo=")</f>
        <v>#REF!</v>
      </c>
      <c r="AB21" t="e">
        <f>AND(#REF!,"AAAAADPbqxs=")</f>
        <v>#REF!</v>
      </c>
      <c r="AC21" t="e">
        <f>AND(#REF!,"AAAAADPbqxw=")</f>
        <v>#REF!</v>
      </c>
      <c r="AD21" t="e">
        <f>AND(#REF!,"AAAAADPbqx0=")</f>
        <v>#REF!</v>
      </c>
      <c r="AE21" t="e">
        <f>AND(#REF!,"AAAAADPbqx4=")</f>
        <v>#REF!</v>
      </c>
      <c r="AF21" t="e">
        <f>AND(#REF!,"AAAAADPbqx8=")</f>
        <v>#REF!</v>
      </c>
      <c r="AG21" t="e">
        <f>AND(#REF!,"AAAAADPbqyA=")</f>
        <v>#REF!</v>
      </c>
      <c r="AH21" t="e">
        <f>AND(#REF!,"AAAAADPbqyE=")</f>
        <v>#REF!</v>
      </c>
      <c r="AI21" t="e">
        <f>AND(#REF!,"AAAAADPbqyI=")</f>
        <v>#REF!</v>
      </c>
      <c r="AJ21" t="e">
        <f>AND(#REF!,"AAAAADPbqyM=")</f>
        <v>#REF!</v>
      </c>
      <c r="AK21" t="e">
        <f>AND(#REF!,"AAAAADPbqyQ=")</f>
        <v>#REF!</v>
      </c>
      <c r="AL21" t="e">
        <f>AND(#REF!,"AAAAADPbqyU=")</f>
        <v>#REF!</v>
      </c>
      <c r="AM21" t="e">
        <f>AND(#REF!,"AAAAADPbqyY=")</f>
        <v>#REF!</v>
      </c>
      <c r="AN21" t="e">
        <f>AND(#REF!,"AAAAADPbqyc=")</f>
        <v>#REF!</v>
      </c>
      <c r="AO21" t="e">
        <f>AND(#REF!,"AAAAADPbqyg=")</f>
        <v>#REF!</v>
      </c>
      <c r="AP21" t="e">
        <f>AND(#REF!,"AAAAADPbqyk=")</f>
        <v>#REF!</v>
      </c>
      <c r="AQ21" t="e">
        <f>AND(#REF!,"AAAAADPbqyo=")</f>
        <v>#REF!</v>
      </c>
      <c r="AR21" t="e">
        <f>AND(#REF!,"AAAAADPbqys=")</f>
        <v>#REF!</v>
      </c>
      <c r="AS21" t="e">
        <f>AND(#REF!,"AAAAADPbqyw=")</f>
        <v>#REF!</v>
      </c>
      <c r="AT21" t="e">
        <f>AND(#REF!,"AAAAADPbqy0=")</f>
        <v>#REF!</v>
      </c>
      <c r="AU21" t="e">
        <f>AND(#REF!,"AAAAADPbqy4=")</f>
        <v>#REF!</v>
      </c>
      <c r="AV21" t="e">
        <f>AND(#REF!,"AAAAADPbqy8=")</f>
        <v>#REF!</v>
      </c>
      <c r="AW21" t="e">
        <f>AND(#REF!,"AAAAADPbqzA=")</f>
        <v>#REF!</v>
      </c>
      <c r="AX21" t="e">
        <f>AND(#REF!,"AAAAADPbqzE=")</f>
        <v>#REF!</v>
      </c>
      <c r="AY21" t="e">
        <f>AND(#REF!,"AAAAADPbqzI=")</f>
        <v>#REF!</v>
      </c>
      <c r="AZ21" t="e">
        <f>AND(#REF!,"AAAAADPbqzM=")</f>
        <v>#REF!</v>
      </c>
      <c r="BA21" t="e">
        <f>AND(#REF!,"AAAAADPbqzQ=")</f>
        <v>#REF!</v>
      </c>
      <c r="BB21" t="e">
        <f>AND(#REF!,"AAAAADPbqzU=")</f>
        <v>#REF!</v>
      </c>
      <c r="BC21" t="e">
        <f>AND(#REF!,"AAAAADPbqzY=")</f>
        <v>#REF!</v>
      </c>
      <c r="BD21" t="e">
        <f>AND(#REF!,"AAAAADPbqzc=")</f>
        <v>#REF!</v>
      </c>
      <c r="BE21" t="e">
        <f>AND(#REF!,"AAAAADPbqzg=")</f>
        <v>#REF!</v>
      </c>
      <c r="BF21" t="e">
        <f>AND(#REF!,"AAAAADPbqzk=")</f>
        <v>#REF!</v>
      </c>
      <c r="BG21" t="e">
        <f>AND(#REF!,"AAAAADPbqzo=")</f>
        <v>#REF!</v>
      </c>
      <c r="BH21" t="e">
        <f>AND(#REF!,"AAAAADPbqzs=")</f>
        <v>#REF!</v>
      </c>
      <c r="BI21" t="e">
        <f>AND(#REF!,"AAAAADPbqzw=")</f>
        <v>#REF!</v>
      </c>
      <c r="BJ21" t="e">
        <f>AND(#REF!,"AAAAADPbqz0=")</f>
        <v>#REF!</v>
      </c>
      <c r="BK21" t="e">
        <f>AND(#REF!,"AAAAADPbqz4=")</f>
        <v>#REF!</v>
      </c>
      <c r="BL21" t="e">
        <f>AND(#REF!,"AAAAADPbqz8=")</f>
        <v>#REF!</v>
      </c>
      <c r="BM21" t="e">
        <f>AND(#REF!,"AAAAADPbq0A=")</f>
        <v>#REF!</v>
      </c>
      <c r="BN21" t="e">
        <f>AND(#REF!,"AAAAADPbq0E=")</f>
        <v>#REF!</v>
      </c>
      <c r="BO21" t="e">
        <f>AND(#REF!,"AAAAADPbq0I=")</f>
        <v>#REF!</v>
      </c>
      <c r="BP21" t="e">
        <f>AND(#REF!,"AAAAADPbq0M=")</f>
        <v>#REF!</v>
      </c>
      <c r="BQ21" t="e">
        <f>AND(#REF!,"AAAAADPbq0Q=")</f>
        <v>#REF!</v>
      </c>
      <c r="BR21" t="e">
        <f>AND(#REF!,"AAAAADPbq0U=")</f>
        <v>#REF!</v>
      </c>
      <c r="BS21" t="e">
        <f>AND(#REF!,"AAAAADPbq0Y=")</f>
        <v>#REF!</v>
      </c>
      <c r="BT21" t="e">
        <f>AND(#REF!,"AAAAADPbq0c=")</f>
        <v>#REF!</v>
      </c>
      <c r="BU21" t="e">
        <f>AND(#REF!,"AAAAADPbq0g=")</f>
        <v>#REF!</v>
      </c>
      <c r="BV21" t="e">
        <f>AND(#REF!,"AAAAADPbq0k=")</f>
        <v>#REF!</v>
      </c>
      <c r="BW21" t="e">
        <f>AND(#REF!,"AAAAADPbq0o=")</f>
        <v>#REF!</v>
      </c>
      <c r="BX21" t="e">
        <f>AND(#REF!,"AAAAADPbq0s=")</f>
        <v>#REF!</v>
      </c>
      <c r="BY21" t="e">
        <f>AND(#REF!,"AAAAADPbq0w=")</f>
        <v>#REF!</v>
      </c>
      <c r="BZ21" t="e">
        <f>AND(#REF!,"AAAAADPbq00=")</f>
        <v>#REF!</v>
      </c>
      <c r="CA21" t="e">
        <f>AND(#REF!,"AAAAADPbq04=")</f>
        <v>#REF!</v>
      </c>
      <c r="CB21" t="e">
        <f>AND(#REF!,"AAAAADPbq08=")</f>
        <v>#REF!</v>
      </c>
      <c r="CC21" t="e">
        <f>AND(#REF!,"AAAAADPbq1A=")</f>
        <v>#REF!</v>
      </c>
      <c r="CD21" t="e">
        <f>AND(#REF!,"AAAAADPbq1E=")</f>
        <v>#REF!</v>
      </c>
      <c r="CE21" t="e">
        <f>AND(#REF!,"AAAAADPbq1I=")</f>
        <v>#REF!</v>
      </c>
      <c r="CF21" t="e">
        <f>AND(#REF!,"AAAAADPbq1M=")</f>
        <v>#REF!</v>
      </c>
      <c r="CG21" t="e">
        <f>AND(#REF!,"AAAAADPbq1Q=")</f>
        <v>#REF!</v>
      </c>
      <c r="CH21" t="e">
        <f>AND(#REF!,"AAAAADPbq1U=")</f>
        <v>#REF!</v>
      </c>
      <c r="CI21" t="e">
        <f>AND(#REF!,"AAAAADPbq1Y=")</f>
        <v>#REF!</v>
      </c>
      <c r="CJ21" t="e">
        <f>AND(#REF!,"AAAAADPbq1c=")</f>
        <v>#REF!</v>
      </c>
      <c r="CK21" t="e">
        <f>AND(#REF!,"AAAAADPbq1g=")</f>
        <v>#REF!</v>
      </c>
      <c r="CL21" t="e">
        <f>AND(#REF!,"AAAAADPbq1k=")</f>
        <v>#REF!</v>
      </c>
      <c r="CM21" t="e">
        <f>AND(#REF!,"AAAAADPbq1o=")</f>
        <v>#REF!</v>
      </c>
      <c r="CN21" t="e">
        <f>AND(#REF!,"AAAAADPbq1s=")</f>
        <v>#REF!</v>
      </c>
      <c r="CO21" t="e">
        <f>AND(#REF!,"AAAAADPbq1w=")</f>
        <v>#REF!</v>
      </c>
      <c r="CP21" t="e">
        <f>AND(#REF!,"AAAAADPbq10=")</f>
        <v>#REF!</v>
      </c>
      <c r="CQ21" t="e">
        <f>AND(#REF!,"AAAAADPbq14=")</f>
        <v>#REF!</v>
      </c>
      <c r="CR21" t="e">
        <f>AND(#REF!,"AAAAADPbq18=")</f>
        <v>#REF!</v>
      </c>
      <c r="CS21" t="e">
        <f>AND(#REF!,"AAAAADPbq2A=")</f>
        <v>#REF!</v>
      </c>
      <c r="CT21" t="e">
        <f>AND(#REF!,"AAAAADPbq2E=")</f>
        <v>#REF!</v>
      </c>
      <c r="CU21" t="e">
        <f>AND(#REF!,"AAAAADPbq2I=")</f>
        <v>#REF!</v>
      </c>
      <c r="CV21" t="e">
        <f>AND(#REF!,"AAAAADPbq2M=")</f>
        <v>#REF!</v>
      </c>
      <c r="CW21" t="e">
        <f>AND(#REF!,"AAAAADPbq2Q=")</f>
        <v>#REF!</v>
      </c>
      <c r="CX21" t="e">
        <f>AND(#REF!,"AAAAADPbq2U=")</f>
        <v>#REF!</v>
      </c>
      <c r="CY21" t="e">
        <f>AND(#REF!,"AAAAADPbq2Y=")</f>
        <v>#REF!</v>
      </c>
      <c r="CZ21" t="e">
        <f>AND(#REF!,"AAAAADPbq2c=")</f>
        <v>#REF!</v>
      </c>
      <c r="DA21" t="e">
        <f>AND(#REF!,"AAAAADPbq2g=")</f>
        <v>#REF!</v>
      </c>
      <c r="DB21" t="e">
        <f>AND(#REF!,"AAAAADPbq2k=")</f>
        <v>#REF!</v>
      </c>
      <c r="DC21" t="e">
        <f>AND(#REF!,"AAAAADPbq2o=")</f>
        <v>#REF!</v>
      </c>
      <c r="DD21" t="e">
        <f>AND(#REF!,"AAAAADPbq2s=")</f>
        <v>#REF!</v>
      </c>
      <c r="DE21" t="e">
        <f>AND(#REF!,"AAAAADPbq2w=")</f>
        <v>#REF!</v>
      </c>
      <c r="DF21" t="e">
        <f>AND(#REF!,"AAAAADPbq20=")</f>
        <v>#REF!</v>
      </c>
      <c r="DG21" t="e">
        <f>AND(#REF!,"AAAAADPbq24=")</f>
        <v>#REF!</v>
      </c>
      <c r="DH21" t="e">
        <f>AND(#REF!,"AAAAADPbq28=")</f>
        <v>#REF!</v>
      </c>
      <c r="DI21" t="e">
        <f>AND(#REF!,"AAAAADPbq3A=")</f>
        <v>#REF!</v>
      </c>
      <c r="DJ21" t="e">
        <f>AND(#REF!,"AAAAADPbq3E=")</f>
        <v>#REF!</v>
      </c>
      <c r="DK21" t="e">
        <f>AND(#REF!,"AAAAADPbq3I=")</f>
        <v>#REF!</v>
      </c>
      <c r="DL21" t="e">
        <f>AND(#REF!,"AAAAADPbq3M=")</f>
        <v>#REF!</v>
      </c>
      <c r="DM21" t="e">
        <f>AND(#REF!,"AAAAADPbq3Q=")</f>
        <v>#REF!</v>
      </c>
      <c r="DN21" t="e">
        <f>AND(#REF!,"AAAAADPbq3U=")</f>
        <v>#REF!</v>
      </c>
      <c r="DO21" t="e">
        <f>AND(#REF!,"AAAAADPbq3Y=")</f>
        <v>#REF!</v>
      </c>
      <c r="DP21" t="e">
        <f>AND(#REF!,"AAAAADPbq3c=")</f>
        <v>#REF!</v>
      </c>
      <c r="DQ21" t="e">
        <f>AND(#REF!,"AAAAADPbq3g=")</f>
        <v>#REF!</v>
      </c>
      <c r="DR21" t="e">
        <f>AND(#REF!,"AAAAADPbq3k=")</f>
        <v>#REF!</v>
      </c>
      <c r="DS21" t="e">
        <f>AND(#REF!,"AAAAADPbq3o=")</f>
        <v>#REF!</v>
      </c>
      <c r="DT21" t="e">
        <f>AND(#REF!,"AAAAADPbq3s=")</f>
        <v>#REF!</v>
      </c>
      <c r="DU21" t="e">
        <f>AND(#REF!,"AAAAADPbq3w=")</f>
        <v>#REF!</v>
      </c>
      <c r="DV21" t="e">
        <f>AND(#REF!,"AAAAADPbq30=")</f>
        <v>#REF!</v>
      </c>
      <c r="DW21" t="e">
        <f>AND(#REF!,"AAAAADPbq34=")</f>
        <v>#REF!</v>
      </c>
      <c r="DX21" t="e">
        <f>AND(#REF!,"AAAAADPbq38=")</f>
        <v>#REF!</v>
      </c>
      <c r="DY21" t="e">
        <f>AND(#REF!,"AAAAADPbq4A=")</f>
        <v>#REF!</v>
      </c>
      <c r="DZ21" t="e">
        <f>AND(#REF!,"AAAAADPbq4E=")</f>
        <v>#REF!</v>
      </c>
      <c r="EA21" t="e">
        <f>AND(#REF!,"AAAAADPbq4I=")</f>
        <v>#REF!</v>
      </c>
      <c r="EB21" t="e">
        <f>AND(#REF!,"AAAAADPbq4M=")</f>
        <v>#REF!</v>
      </c>
      <c r="EC21" t="e">
        <f>AND(#REF!,"AAAAADPbq4Q=")</f>
        <v>#REF!</v>
      </c>
      <c r="ED21" t="e">
        <f>AND(#REF!,"AAAAADPbq4U=")</f>
        <v>#REF!</v>
      </c>
      <c r="EE21" t="e">
        <f>AND(#REF!,"AAAAADPbq4Y=")</f>
        <v>#REF!</v>
      </c>
      <c r="EF21" t="e">
        <f>AND(#REF!,"AAAAADPbq4c=")</f>
        <v>#REF!</v>
      </c>
      <c r="EG21" t="e">
        <f>AND(#REF!,"AAAAADPbq4g=")</f>
        <v>#REF!</v>
      </c>
      <c r="EH21" t="e">
        <f>AND(#REF!,"AAAAADPbq4k=")</f>
        <v>#REF!</v>
      </c>
      <c r="EI21" t="e">
        <f>AND(#REF!,"AAAAADPbq4o=")</f>
        <v>#REF!</v>
      </c>
      <c r="EJ21" t="e">
        <f>AND(#REF!,"AAAAADPbq4s=")</f>
        <v>#REF!</v>
      </c>
      <c r="EK21" t="e">
        <f>AND(#REF!,"AAAAADPbq4w=")</f>
        <v>#REF!</v>
      </c>
      <c r="EL21" t="e">
        <f>AND(#REF!,"AAAAADPbq40=")</f>
        <v>#REF!</v>
      </c>
      <c r="EM21" t="e">
        <f>AND(#REF!,"AAAAADPbq44=")</f>
        <v>#REF!</v>
      </c>
      <c r="EN21" t="e">
        <f>AND(#REF!,"AAAAADPbq48=")</f>
        <v>#REF!</v>
      </c>
      <c r="EO21" t="e">
        <f>AND(#REF!,"AAAAADPbq5A=")</f>
        <v>#REF!</v>
      </c>
      <c r="EP21" t="e">
        <f>AND(#REF!,"AAAAADPbq5E=")</f>
        <v>#REF!</v>
      </c>
      <c r="EQ21" t="e">
        <f>AND(#REF!,"AAAAADPbq5I=")</f>
        <v>#REF!</v>
      </c>
      <c r="ER21" t="e">
        <f>AND(#REF!,"AAAAADPbq5M=")</f>
        <v>#REF!</v>
      </c>
      <c r="ES21" t="e">
        <f>AND(#REF!,"AAAAADPbq5Q=")</f>
        <v>#REF!</v>
      </c>
      <c r="ET21" t="e">
        <f>AND(#REF!,"AAAAADPbq5U=")</f>
        <v>#REF!</v>
      </c>
      <c r="EU21" t="e">
        <f>AND(#REF!,"AAAAADPbq5Y=")</f>
        <v>#REF!</v>
      </c>
      <c r="EV21" t="e">
        <f>AND(#REF!,"AAAAADPbq5c=")</f>
        <v>#REF!</v>
      </c>
      <c r="EW21" t="e">
        <f>AND(#REF!,"AAAAADPbq5g=")</f>
        <v>#REF!</v>
      </c>
      <c r="EX21" t="e">
        <f>AND(#REF!,"AAAAADPbq5k=")</f>
        <v>#REF!</v>
      </c>
      <c r="EY21" t="e">
        <f>AND(#REF!,"AAAAADPbq5o=")</f>
        <v>#REF!</v>
      </c>
      <c r="EZ21" t="e">
        <f>AND(#REF!,"AAAAADPbq5s=")</f>
        <v>#REF!</v>
      </c>
      <c r="FA21" t="e">
        <f>AND(#REF!,"AAAAADPbq5w=")</f>
        <v>#REF!</v>
      </c>
      <c r="FB21" t="e">
        <f>AND(#REF!,"AAAAADPbq50=")</f>
        <v>#REF!</v>
      </c>
      <c r="FC21" t="e">
        <f>AND(#REF!,"AAAAADPbq54=")</f>
        <v>#REF!</v>
      </c>
      <c r="FD21" t="e">
        <f>AND(#REF!,"AAAAADPbq58=")</f>
        <v>#REF!</v>
      </c>
      <c r="FE21" t="e">
        <f>AND(#REF!,"AAAAADPbq6A=")</f>
        <v>#REF!</v>
      </c>
      <c r="FF21" t="e">
        <f>AND(#REF!,"AAAAADPbq6E=")</f>
        <v>#REF!</v>
      </c>
      <c r="FG21" t="e">
        <f>AND(#REF!,"AAAAADPbq6I=")</f>
        <v>#REF!</v>
      </c>
      <c r="FH21" t="e">
        <f>AND(#REF!,"AAAAADPbq6M=")</f>
        <v>#REF!</v>
      </c>
      <c r="FI21" t="e">
        <f>AND(#REF!,"AAAAADPbq6Q=")</f>
        <v>#REF!</v>
      </c>
      <c r="FJ21" t="e">
        <f>AND(#REF!,"AAAAADPbq6U=")</f>
        <v>#REF!</v>
      </c>
      <c r="FK21" t="e">
        <f>AND(#REF!,"AAAAADPbq6Y=")</f>
        <v>#REF!</v>
      </c>
      <c r="FL21" t="e">
        <f>AND(#REF!,"AAAAADPbq6c=")</f>
        <v>#REF!</v>
      </c>
      <c r="FM21" t="e">
        <f>AND(#REF!,"AAAAADPbq6g=")</f>
        <v>#REF!</v>
      </c>
      <c r="FN21" t="e">
        <f>AND(#REF!,"AAAAADPbq6k=")</f>
        <v>#REF!</v>
      </c>
      <c r="FO21" t="e">
        <f>AND(#REF!,"AAAAADPbq6o=")</f>
        <v>#REF!</v>
      </c>
      <c r="FP21" t="e">
        <f>AND(#REF!,"AAAAADPbq6s=")</f>
        <v>#REF!</v>
      </c>
      <c r="FQ21" t="e">
        <f>AND(#REF!,"AAAAADPbq6w=")</f>
        <v>#REF!</v>
      </c>
      <c r="FR21" t="e">
        <f>AND(#REF!,"AAAAADPbq60=")</f>
        <v>#REF!</v>
      </c>
      <c r="FS21" t="e">
        <f>AND(#REF!,"AAAAADPbq64=")</f>
        <v>#REF!</v>
      </c>
      <c r="FT21" t="e">
        <f>AND(#REF!,"AAAAADPbq68=")</f>
        <v>#REF!</v>
      </c>
      <c r="FU21" t="e">
        <f>AND(#REF!,"AAAAADPbq7A=")</f>
        <v>#REF!</v>
      </c>
      <c r="FV21" t="e">
        <f>AND(#REF!,"AAAAADPbq7E=")</f>
        <v>#REF!</v>
      </c>
      <c r="FW21" t="e">
        <f>AND(#REF!,"AAAAADPbq7I=")</f>
        <v>#REF!</v>
      </c>
      <c r="FX21" t="e">
        <f>AND(#REF!,"AAAAADPbq7M=")</f>
        <v>#REF!</v>
      </c>
      <c r="FY21" t="e">
        <f>AND(#REF!,"AAAAADPbq7Q=")</f>
        <v>#REF!</v>
      </c>
      <c r="FZ21" t="e">
        <f>AND(#REF!,"AAAAADPbq7U=")</f>
        <v>#REF!</v>
      </c>
      <c r="GA21" t="e">
        <f>AND(#REF!,"AAAAADPbq7Y=")</f>
        <v>#REF!</v>
      </c>
      <c r="GB21" t="e">
        <f>AND(#REF!,"AAAAADPbq7c=")</f>
        <v>#REF!</v>
      </c>
      <c r="GC21" t="e">
        <f>AND(#REF!,"AAAAADPbq7g=")</f>
        <v>#REF!</v>
      </c>
      <c r="GD21" t="e">
        <f>AND(#REF!,"AAAAADPbq7k=")</f>
        <v>#REF!</v>
      </c>
      <c r="GE21" t="e">
        <f>AND(#REF!,"AAAAADPbq7o=")</f>
        <v>#REF!</v>
      </c>
      <c r="GF21" t="e">
        <f>AND(#REF!,"AAAAADPbq7s=")</f>
        <v>#REF!</v>
      </c>
      <c r="GG21" t="e">
        <f>AND(#REF!,"AAAAADPbq7w=")</f>
        <v>#REF!</v>
      </c>
      <c r="GH21" t="e">
        <f>AND(#REF!,"AAAAADPbq70=")</f>
        <v>#REF!</v>
      </c>
      <c r="GI21" t="e">
        <f>AND(#REF!,"AAAAADPbq74=")</f>
        <v>#REF!</v>
      </c>
      <c r="GJ21" t="e">
        <f>AND(#REF!,"AAAAADPbq78=")</f>
        <v>#REF!</v>
      </c>
      <c r="GK21" t="e">
        <f>AND(#REF!,"AAAAADPbq8A=")</f>
        <v>#REF!</v>
      </c>
      <c r="GL21" t="e">
        <f>AND(#REF!,"AAAAADPbq8E=")</f>
        <v>#REF!</v>
      </c>
      <c r="GM21" t="e">
        <f>AND(#REF!,"AAAAADPbq8I=")</f>
        <v>#REF!</v>
      </c>
      <c r="GN21" t="e">
        <f>AND(#REF!,"AAAAADPbq8M=")</f>
        <v>#REF!</v>
      </c>
      <c r="GO21" t="e">
        <f>AND(#REF!,"AAAAADPbq8Q=")</f>
        <v>#REF!</v>
      </c>
      <c r="GP21" t="e">
        <f>AND(#REF!,"AAAAADPbq8U=")</f>
        <v>#REF!</v>
      </c>
      <c r="GQ21" t="e">
        <f>AND(#REF!,"AAAAADPbq8Y=")</f>
        <v>#REF!</v>
      </c>
      <c r="GR21" t="e">
        <f>AND(#REF!,"AAAAADPbq8c=")</f>
        <v>#REF!</v>
      </c>
      <c r="GS21" t="e">
        <f>AND(#REF!,"AAAAADPbq8g=")</f>
        <v>#REF!</v>
      </c>
      <c r="GT21" t="e">
        <f>AND(#REF!,"AAAAADPbq8k=")</f>
        <v>#REF!</v>
      </c>
      <c r="GU21" t="e">
        <f>AND(#REF!,"AAAAADPbq8o=")</f>
        <v>#REF!</v>
      </c>
      <c r="GV21" t="e">
        <f>AND(#REF!,"AAAAADPbq8s=")</f>
        <v>#REF!</v>
      </c>
      <c r="GW21" t="e">
        <f>AND(#REF!,"AAAAADPbq8w=")</f>
        <v>#REF!</v>
      </c>
      <c r="GX21" t="e">
        <f>AND(#REF!,"AAAAADPbq80=")</f>
        <v>#REF!</v>
      </c>
      <c r="GY21" t="e">
        <f>AND(#REF!,"AAAAADPbq84=")</f>
        <v>#REF!</v>
      </c>
      <c r="GZ21" t="e">
        <f>AND(#REF!,"AAAAADPbq88=")</f>
        <v>#REF!</v>
      </c>
      <c r="HA21" t="e">
        <f>AND(#REF!,"AAAAADPbq9A=")</f>
        <v>#REF!</v>
      </c>
      <c r="HB21" t="e">
        <f>AND(#REF!,"AAAAADPbq9E=")</f>
        <v>#REF!</v>
      </c>
      <c r="HC21" t="e">
        <f>AND(#REF!,"AAAAADPbq9I=")</f>
        <v>#REF!</v>
      </c>
      <c r="HD21" t="e">
        <f>AND(#REF!,"AAAAADPbq9M=")</f>
        <v>#REF!</v>
      </c>
      <c r="HE21" t="e">
        <f>AND(#REF!,"AAAAADPbq9Q=")</f>
        <v>#REF!</v>
      </c>
      <c r="HF21" t="e">
        <f>AND(#REF!,"AAAAADPbq9U=")</f>
        <v>#REF!</v>
      </c>
      <c r="HG21" t="e">
        <f>AND(#REF!,"AAAAADPbq9Y=")</f>
        <v>#REF!</v>
      </c>
      <c r="HH21" t="e">
        <f>AND(#REF!,"AAAAADPbq9c=")</f>
        <v>#REF!</v>
      </c>
      <c r="HI21" t="e">
        <f>AND(#REF!,"AAAAADPbq9g=")</f>
        <v>#REF!</v>
      </c>
      <c r="HJ21" t="e">
        <f>AND(#REF!,"AAAAADPbq9k=")</f>
        <v>#REF!</v>
      </c>
      <c r="HK21" t="e">
        <f>AND(#REF!,"AAAAADPbq9o=")</f>
        <v>#REF!</v>
      </c>
      <c r="HL21" t="e">
        <f>AND(#REF!,"AAAAADPbq9s=")</f>
        <v>#REF!</v>
      </c>
      <c r="HM21" t="e">
        <f>AND(#REF!,"AAAAADPbq9w=")</f>
        <v>#REF!</v>
      </c>
      <c r="HN21" t="e">
        <f>AND(#REF!,"AAAAADPbq90=")</f>
        <v>#REF!</v>
      </c>
      <c r="HO21" t="e">
        <f>AND(#REF!,"AAAAADPbq94=")</f>
        <v>#REF!</v>
      </c>
      <c r="HP21" t="e">
        <f>AND(#REF!,"AAAAADPbq98=")</f>
        <v>#REF!</v>
      </c>
      <c r="HQ21" t="e">
        <f>AND(#REF!,"AAAAADPbq+A=")</f>
        <v>#REF!</v>
      </c>
      <c r="HR21" t="e">
        <f>AND(#REF!,"AAAAADPbq+E=")</f>
        <v>#REF!</v>
      </c>
      <c r="HS21" t="e">
        <f>AND(#REF!,"AAAAADPbq+I=")</f>
        <v>#REF!</v>
      </c>
      <c r="HT21" t="e">
        <f>AND(#REF!,"AAAAADPbq+M=")</f>
        <v>#REF!</v>
      </c>
      <c r="HU21" t="e">
        <f>AND(#REF!,"AAAAADPbq+Q=")</f>
        <v>#REF!</v>
      </c>
      <c r="HV21" t="e">
        <f>AND(#REF!,"AAAAADPbq+U=")</f>
        <v>#REF!</v>
      </c>
      <c r="HW21" t="e">
        <f>AND(#REF!,"AAAAADPbq+Y=")</f>
        <v>#REF!</v>
      </c>
      <c r="HX21" t="e">
        <f>AND(#REF!,"AAAAADPbq+c=")</f>
        <v>#REF!</v>
      </c>
      <c r="HY21" t="e">
        <f>AND(#REF!,"AAAAADPbq+g=")</f>
        <v>#REF!</v>
      </c>
      <c r="HZ21" t="e">
        <f>AND(#REF!,"AAAAADPbq+k=")</f>
        <v>#REF!</v>
      </c>
      <c r="IA21" t="e">
        <f>AND(#REF!,"AAAAADPbq+o=")</f>
        <v>#REF!</v>
      </c>
      <c r="IB21" t="e">
        <f>AND(#REF!,"AAAAADPbq+s=")</f>
        <v>#REF!</v>
      </c>
      <c r="IC21" t="e">
        <f>AND(#REF!,"AAAAADPbq+w=")</f>
        <v>#REF!</v>
      </c>
      <c r="ID21" t="e">
        <f>AND(#REF!,"AAAAADPbq+0=")</f>
        <v>#REF!</v>
      </c>
      <c r="IE21" t="e">
        <f>AND(#REF!,"AAAAADPbq+4=")</f>
        <v>#REF!</v>
      </c>
      <c r="IF21" t="e">
        <f>AND(#REF!,"AAAAADPbq+8=")</f>
        <v>#REF!</v>
      </c>
      <c r="IG21" t="e">
        <f>AND(#REF!,"AAAAADPbq/A=")</f>
        <v>#REF!</v>
      </c>
      <c r="IH21" t="e">
        <f>AND(#REF!,"AAAAADPbq/E=")</f>
        <v>#REF!</v>
      </c>
      <c r="II21" t="e">
        <f>AND(#REF!,"AAAAADPbq/I=")</f>
        <v>#REF!</v>
      </c>
      <c r="IJ21" t="e">
        <f>AND(#REF!,"AAAAADPbq/M=")</f>
        <v>#REF!</v>
      </c>
      <c r="IK21" t="e">
        <f>AND(#REF!,"AAAAADPbq/Q=")</f>
        <v>#REF!</v>
      </c>
      <c r="IL21" t="e">
        <f>AND(#REF!,"AAAAADPbq/U=")</f>
        <v>#REF!</v>
      </c>
      <c r="IM21" t="e">
        <f>AND(#REF!,"AAAAADPbq/Y=")</f>
        <v>#REF!</v>
      </c>
      <c r="IN21" t="e">
        <f>AND(#REF!,"AAAAADPbq/c=")</f>
        <v>#REF!</v>
      </c>
      <c r="IO21" t="e">
        <f>AND(#REF!,"AAAAADPbq/g=")</f>
        <v>#REF!</v>
      </c>
      <c r="IP21" t="e">
        <f>AND(#REF!,"AAAAADPbq/k=")</f>
        <v>#REF!</v>
      </c>
      <c r="IQ21" t="e">
        <f>AND(#REF!,"AAAAADPbq/o=")</f>
        <v>#REF!</v>
      </c>
      <c r="IR21" t="e">
        <f>AND(#REF!,"AAAAADPbq/s=")</f>
        <v>#REF!</v>
      </c>
      <c r="IS21" t="e">
        <f>AND(#REF!,"AAAAADPbq/w=")</f>
        <v>#REF!</v>
      </c>
      <c r="IT21" t="e">
        <f>AND(#REF!,"AAAAADPbq/0=")</f>
        <v>#REF!</v>
      </c>
      <c r="IU21" t="e">
        <f>AND(#REF!,"AAAAADPbq/4=")</f>
        <v>#REF!</v>
      </c>
      <c r="IV21" t="e">
        <f>AND(#REF!,"AAAAADPbq/8=")</f>
        <v>#REF!</v>
      </c>
    </row>
    <row r="22" spans="1:256">
      <c r="A22" t="e">
        <f>AND(#REF!,"AAAAAC78/QA=")</f>
        <v>#REF!</v>
      </c>
      <c r="B22" t="e">
        <f>AND(#REF!,"AAAAAC78/QE=")</f>
        <v>#REF!</v>
      </c>
      <c r="C22" t="e">
        <f>AND(#REF!,"AAAAAC78/QI=")</f>
        <v>#REF!</v>
      </c>
      <c r="D22" t="e">
        <f>AND(#REF!,"AAAAAC78/QM=")</f>
        <v>#REF!</v>
      </c>
      <c r="E22" t="e">
        <f>AND(#REF!,"AAAAAC78/QQ=")</f>
        <v>#REF!</v>
      </c>
      <c r="F22" t="e">
        <f>AND(#REF!,"AAAAAC78/QU=")</f>
        <v>#REF!</v>
      </c>
      <c r="G22" t="e">
        <f>AND(#REF!,"AAAAAC78/QY=")</f>
        <v>#REF!</v>
      </c>
      <c r="H22" t="e">
        <f>AND(#REF!,"AAAAAC78/Qc=")</f>
        <v>#REF!</v>
      </c>
      <c r="I22" t="e">
        <f>AND(#REF!,"AAAAAC78/Qg=")</f>
        <v>#REF!</v>
      </c>
      <c r="J22" t="e">
        <f>AND(#REF!,"AAAAAC78/Qk=")</f>
        <v>#REF!</v>
      </c>
      <c r="K22" t="e">
        <f>AND(#REF!,"AAAAAC78/Qo=")</f>
        <v>#REF!</v>
      </c>
      <c r="L22" t="e">
        <f>AND(#REF!,"AAAAAC78/Qs=")</f>
        <v>#REF!</v>
      </c>
      <c r="M22" t="e">
        <f>AND(#REF!,"AAAAAC78/Qw=")</f>
        <v>#REF!</v>
      </c>
      <c r="N22" t="e">
        <f>AND(#REF!,"AAAAAC78/Q0=")</f>
        <v>#REF!</v>
      </c>
      <c r="O22" t="e">
        <f>AND(#REF!,"AAAAAC78/Q4=")</f>
        <v>#REF!</v>
      </c>
      <c r="P22" t="e">
        <f>AND(#REF!,"AAAAAC78/Q8=")</f>
        <v>#REF!</v>
      </c>
      <c r="Q22" t="e">
        <f>AND(#REF!,"AAAAAC78/RA=")</f>
        <v>#REF!</v>
      </c>
      <c r="R22" t="e">
        <f>AND(#REF!,"AAAAAC78/RE=")</f>
        <v>#REF!</v>
      </c>
      <c r="S22" t="e">
        <f>AND(#REF!,"AAAAAC78/RI=")</f>
        <v>#REF!</v>
      </c>
      <c r="T22" t="e">
        <f>AND(#REF!,"AAAAAC78/RM=")</f>
        <v>#REF!</v>
      </c>
      <c r="U22" t="e">
        <f>AND(#REF!,"AAAAAC78/RQ=")</f>
        <v>#REF!</v>
      </c>
      <c r="V22" t="e">
        <f>AND(#REF!,"AAAAAC78/RU=")</f>
        <v>#REF!</v>
      </c>
      <c r="W22" t="e">
        <f>AND(#REF!,"AAAAAC78/RY=")</f>
        <v>#REF!</v>
      </c>
      <c r="X22" t="e">
        <f>AND(#REF!,"AAAAAC78/Rc=")</f>
        <v>#REF!</v>
      </c>
      <c r="Y22" t="e">
        <f>AND(#REF!,"AAAAAC78/Rg=")</f>
        <v>#REF!</v>
      </c>
      <c r="Z22" t="e">
        <f>AND(#REF!,"AAAAAC78/Rk=")</f>
        <v>#REF!</v>
      </c>
      <c r="AA22" t="e">
        <f>AND(#REF!,"AAAAAC78/Ro=")</f>
        <v>#REF!</v>
      </c>
      <c r="AB22" t="e">
        <f>AND(#REF!,"AAAAAC78/Rs=")</f>
        <v>#REF!</v>
      </c>
      <c r="AC22" t="e">
        <f>AND(#REF!,"AAAAAC78/Rw=")</f>
        <v>#REF!</v>
      </c>
      <c r="AD22" t="e">
        <f>AND(#REF!,"AAAAAC78/R0=")</f>
        <v>#REF!</v>
      </c>
      <c r="AE22" t="e">
        <f>AND(#REF!,"AAAAAC78/R4=")</f>
        <v>#REF!</v>
      </c>
      <c r="AF22" t="e">
        <f>AND(#REF!,"AAAAAC78/R8=")</f>
        <v>#REF!</v>
      </c>
      <c r="AG22" t="e">
        <f>AND(#REF!,"AAAAAC78/SA=")</f>
        <v>#REF!</v>
      </c>
      <c r="AH22" t="e">
        <f>AND(#REF!,"AAAAAC78/SE=")</f>
        <v>#REF!</v>
      </c>
      <c r="AI22" t="e">
        <f>AND(#REF!,"AAAAAC78/SI=")</f>
        <v>#REF!</v>
      </c>
      <c r="AJ22" t="e">
        <f>AND(#REF!,"AAAAAC78/SM=")</f>
        <v>#REF!</v>
      </c>
      <c r="AK22" t="e">
        <f>AND(#REF!,"AAAAAC78/SQ=")</f>
        <v>#REF!</v>
      </c>
      <c r="AL22" t="e">
        <f>AND(#REF!,"AAAAAC78/SU=")</f>
        <v>#REF!</v>
      </c>
      <c r="AM22" t="e">
        <f>AND(#REF!,"AAAAAC78/SY=")</f>
        <v>#REF!</v>
      </c>
      <c r="AN22" t="e">
        <f>AND(#REF!,"AAAAAC78/Sc=")</f>
        <v>#REF!</v>
      </c>
      <c r="AO22" t="e">
        <f>AND(#REF!,"AAAAAC78/Sg=")</f>
        <v>#REF!</v>
      </c>
      <c r="AP22" t="e">
        <f>AND(#REF!,"AAAAAC78/Sk=")</f>
        <v>#REF!</v>
      </c>
      <c r="AQ22" t="e">
        <f>AND(#REF!,"AAAAAC78/So=")</f>
        <v>#REF!</v>
      </c>
      <c r="AR22" t="e">
        <f>AND(#REF!,"AAAAAC78/Ss=")</f>
        <v>#REF!</v>
      </c>
      <c r="AS22" t="e">
        <f>AND(#REF!,"AAAAAC78/Sw=")</f>
        <v>#REF!</v>
      </c>
      <c r="AT22" t="e">
        <f>AND(#REF!,"AAAAAC78/S0=")</f>
        <v>#REF!</v>
      </c>
      <c r="AU22" t="e">
        <f>AND(#REF!,"AAAAAC78/S4=")</f>
        <v>#REF!</v>
      </c>
      <c r="AV22" t="e">
        <f>AND(#REF!,"AAAAAC78/S8=")</f>
        <v>#REF!</v>
      </c>
      <c r="AW22" t="e">
        <f>AND(#REF!,"AAAAAC78/TA=")</f>
        <v>#REF!</v>
      </c>
      <c r="AX22" t="e">
        <f>AND(#REF!,"AAAAAC78/TE=")</f>
        <v>#REF!</v>
      </c>
      <c r="AY22" t="e">
        <f>AND(#REF!,"AAAAAC78/TI=")</f>
        <v>#REF!</v>
      </c>
      <c r="AZ22" t="e">
        <f>AND(#REF!,"AAAAAC78/TM=")</f>
        <v>#REF!</v>
      </c>
      <c r="BA22" t="e">
        <f>AND(#REF!,"AAAAAC78/TQ=")</f>
        <v>#REF!</v>
      </c>
      <c r="BB22" t="e">
        <f>AND(#REF!,"AAAAAC78/TU=")</f>
        <v>#REF!</v>
      </c>
      <c r="BC22" t="e">
        <f>AND(#REF!,"AAAAAC78/TY=")</f>
        <v>#REF!</v>
      </c>
      <c r="BD22" t="e">
        <f>AND(#REF!,"AAAAAC78/Tc=")</f>
        <v>#REF!</v>
      </c>
      <c r="BE22" t="e">
        <f>AND(#REF!,"AAAAAC78/Tg=")</f>
        <v>#REF!</v>
      </c>
      <c r="BF22" t="e">
        <f>AND(#REF!,"AAAAAC78/Tk=")</f>
        <v>#REF!</v>
      </c>
      <c r="BG22" t="e">
        <f>AND(#REF!,"AAAAAC78/To=")</f>
        <v>#REF!</v>
      </c>
      <c r="BH22" t="e">
        <f>AND(#REF!,"AAAAAC78/Ts=")</f>
        <v>#REF!</v>
      </c>
      <c r="BI22" t="e">
        <f>AND(#REF!,"AAAAAC78/Tw=")</f>
        <v>#REF!</v>
      </c>
      <c r="BJ22" t="e">
        <f>AND(#REF!,"AAAAAC78/T0=")</f>
        <v>#REF!</v>
      </c>
      <c r="BK22" t="e">
        <f>AND(#REF!,"AAAAAC78/T4=")</f>
        <v>#REF!</v>
      </c>
      <c r="BL22" t="e">
        <f>AND(#REF!,"AAAAAC78/T8=")</f>
        <v>#REF!</v>
      </c>
      <c r="BM22" t="e">
        <f>AND(#REF!,"AAAAAC78/UA=")</f>
        <v>#REF!</v>
      </c>
      <c r="BN22" t="e">
        <f>AND(#REF!,"AAAAAC78/UE=")</f>
        <v>#REF!</v>
      </c>
      <c r="BO22" t="e">
        <f>AND(#REF!,"AAAAAC78/UI=")</f>
        <v>#REF!</v>
      </c>
      <c r="BP22" t="e">
        <f>AND(#REF!,"AAAAAC78/UM=")</f>
        <v>#REF!</v>
      </c>
      <c r="BQ22" t="e">
        <f>AND(#REF!,"AAAAAC78/UQ=")</f>
        <v>#REF!</v>
      </c>
      <c r="BR22" t="e">
        <f>AND(#REF!,"AAAAAC78/UU=")</f>
        <v>#REF!</v>
      </c>
      <c r="BS22" t="e">
        <f>AND(#REF!,"AAAAAC78/UY=")</f>
        <v>#REF!</v>
      </c>
      <c r="BT22" t="e">
        <f>AND(#REF!,"AAAAAC78/Uc=")</f>
        <v>#REF!</v>
      </c>
      <c r="BU22" t="e">
        <f>AND(#REF!,"AAAAAC78/Ug=")</f>
        <v>#REF!</v>
      </c>
      <c r="BV22" t="e">
        <f>AND(#REF!,"AAAAAC78/Uk=")</f>
        <v>#REF!</v>
      </c>
      <c r="BW22" t="e">
        <f>AND(#REF!,"AAAAAC78/Uo=")</f>
        <v>#REF!</v>
      </c>
      <c r="BX22" t="e">
        <f>AND(#REF!,"AAAAAC78/Us=")</f>
        <v>#REF!</v>
      </c>
      <c r="BY22" t="e">
        <f>AND(#REF!,"AAAAAC78/Uw=")</f>
        <v>#REF!</v>
      </c>
      <c r="BZ22" t="e">
        <f>AND(#REF!,"AAAAAC78/U0=")</f>
        <v>#REF!</v>
      </c>
      <c r="CA22" t="e">
        <f>AND(#REF!,"AAAAAC78/U4=")</f>
        <v>#REF!</v>
      </c>
      <c r="CB22" t="e">
        <f>AND(#REF!,"AAAAAC78/U8=")</f>
        <v>#REF!</v>
      </c>
      <c r="CC22" t="e">
        <f>AND(#REF!,"AAAAAC78/VA=")</f>
        <v>#REF!</v>
      </c>
      <c r="CD22" t="e">
        <f>AND(#REF!,"AAAAAC78/VE=")</f>
        <v>#REF!</v>
      </c>
      <c r="CE22" t="e">
        <f>AND(#REF!,"AAAAAC78/VI=")</f>
        <v>#REF!</v>
      </c>
      <c r="CF22" t="e">
        <f>AND(#REF!,"AAAAAC78/VM=")</f>
        <v>#REF!</v>
      </c>
      <c r="CG22" t="e">
        <f>AND(#REF!,"AAAAAC78/VQ=")</f>
        <v>#REF!</v>
      </c>
      <c r="CH22" t="e">
        <f>AND(#REF!,"AAAAAC78/VU=")</f>
        <v>#REF!</v>
      </c>
      <c r="CI22" t="e">
        <f>AND(#REF!,"AAAAAC78/VY=")</f>
        <v>#REF!</v>
      </c>
      <c r="CJ22" t="e">
        <f>AND(#REF!,"AAAAAC78/Vc=")</f>
        <v>#REF!</v>
      </c>
      <c r="CK22" t="e">
        <f>AND(#REF!,"AAAAAC78/Vg=")</f>
        <v>#REF!</v>
      </c>
      <c r="CL22" t="e">
        <f>AND(#REF!,"AAAAAC78/Vk=")</f>
        <v>#REF!</v>
      </c>
      <c r="CM22" t="e">
        <f>AND(#REF!,"AAAAAC78/Vo=")</f>
        <v>#REF!</v>
      </c>
      <c r="CN22" t="e">
        <f>AND(#REF!,"AAAAAC78/Vs=")</f>
        <v>#REF!</v>
      </c>
      <c r="CO22" t="e">
        <f>AND(#REF!,"AAAAAC78/Vw=")</f>
        <v>#REF!</v>
      </c>
      <c r="CP22" t="e">
        <f>AND(#REF!,"AAAAAC78/V0=")</f>
        <v>#REF!</v>
      </c>
      <c r="CQ22" t="e">
        <f>AND(#REF!,"AAAAAC78/V4=")</f>
        <v>#REF!</v>
      </c>
      <c r="CR22" t="e">
        <f>AND(#REF!,"AAAAAC78/V8=")</f>
        <v>#REF!</v>
      </c>
      <c r="CS22" t="e">
        <f>AND(#REF!,"AAAAAC78/WA=")</f>
        <v>#REF!</v>
      </c>
      <c r="CT22" t="e">
        <f>AND(#REF!,"AAAAAC78/WE=")</f>
        <v>#REF!</v>
      </c>
      <c r="CU22" t="e">
        <f>AND(#REF!,"AAAAAC78/WI=")</f>
        <v>#REF!</v>
      </c>
      <c r="CV22" t="e">
        <f>AND(#REF!,"AAAAAC78/WM=")</f>
        <v>#REF!</v>
      </c>
      <c r="CW22" t="e">
        <f>AND(#REF!,"AAAAAC78/WQ=")</f>
        <v>#REF!</v>
      </c>
      <c r="CX22" t="e">
        <f>AND(#REF!,"AAAAAC78/WU=")</f>
        <v>#REF!</v>
      </c>
      <c r="CY22" t="e">
        <f>AND(#REF!,"AAAAAC78/WY=")</f>
        <v>#REF!</v>
      </c>
      <c r="CZ22" t="e">
        <f>AND(#REF!,"AAAAAC78/Wc=")</f>
        <v>#REF!</v>
      </c>
      <c r="DA22" t="e">
        <f>AND(#REF!,"AAAAAC78/Wg=")</f>
        <v>#REF!</v>
      </c>
      <c r="DB22" t="e">
        <f>AND(#REF!,"AAAAAC78/Wk=")</f>
        <v>#REF!</v>
      </c>
      <c r="DC22" t="e">
        <f>AND(#REF!,"AAAAAC78/Wo=")</f>
        <v>#REF!</v>
      </c>
      <c r="DD22" t="e">
        <f>AND(#REF!,"AAAAAC78/Ws=")</f>
        <v>#REF!</v>
      </c>
      <c r="DE22" t="e">
        <f>AND(#REF!,"AAAAAC78/Ww=")</f>
        <v>#REF!</v>
      </c>
      <c r="DF22" t="e">
        <f>AND(#REF!,"AAAAAC78/W0=")</f>
        <v>#REF!</v>
      </c>
      <c r="DG22" t="e">
        <f>AND(#REF!,"AAAAAC78/W4=")</f>
        <v>#REF!</v>
      </c>
      <c r="DH22" t="e">
        <f>AND(#REF!,"AAAAAC78/W8=")</f>
        <v>#REF!</v>
      </c>
      <c r="DI22" t="e">
        <f>AND(#REF!,"AAAAAC78/XA=")</f>
        <v>#REF!</v>
      </c>
      <c r="DJ22" t="e">
        <f>AND(#REF!,"AAAAAC78/XE=")</f>
        <v>#REF!</v>
      </c>
      <c r="DK22" t="e">
        <f>AND(#REF!,"AAAAAC78/XI=")</f>
        <v>#REF!</v>
      </c>
      <c r="DL22" t="e">
        <f>AND(#REF!,"AAAAAC78/XM=")</f>
        <v>#REF!</v>
      </c>
      <c r="DM22" t="e">
        <f>AND(#REF!,"AAAAAC78/XQ=")</f>
        <v>#REF!</v>
      </c>
      <c r="DN22" t="e">
        <f>AND(#REF!,"AAAAAC78/XU=")</f>
        <v>#REF!</v>
      </c>
      <c r="DO22" t="e">
        <f>AND(#REF!,"AAAAAC78/XY=")</f>
        <v>#REF!</v>
      </c>
      <c r="DP22" t="e">
        <f>AND(#REF!,"AAAAAC78/Xc=")</f>
        <v>#REF!</v>
      </c>
      <c r="DQ22" t="e">
        <f>AND(#REF!,"AAAAAC78/Xg=")</f>
        <v>#REF!</v>
      </c>
      <c r="DR22" t="e">
        <f>AND(#REF!,"AAAAAC78/Xk=")</f>
        <v>#REF!</v>
      </c>
      <c r="DS22" t="e">
        <f>AND(#REF!,"AAAAAC78/Xo=")</f>
        <v>#REF!</v>
      </c>
      <c r="DT22" t="e">
        <f>AND(#REF!,"AAAAAC78/Xs=")</f>
        <v>#REF!</v>
      </c>
      <c r="DU22" t="e">
        <f>AND(#REF!,"AAAAAC78/Xw=")</f>
        <v>#REF!</v>
      </c>
      <c r="DV22" t="e">
        <f>AND(#REF!,"AAAAAC78/X0=")</f>
        <v>#REF!</v>
      </c>
      <c r="DW22" t="e">
        <f>AND(#REF!,"AAAAAC78/X4=")</f>
        <v>#REF!</v>
      </c>
      <c r="DX22" t="e">
        <f>AND(#REF!,"AAAAAC78/X8=")</f>
        <v>#REF!</v>
      </c>
      <c r="DY22" t="e">
        <f>AND(#REF!,"AAAAAC78/YA=")</f>
        <v>#REF!</v>
      </c>
      <c r="DZ22" t="e">
        <f>AND(#REF!,"AAAAAC78/YE=")</f>
        <v>#REF!</v>
      </c>
      <c r="EA22" t="e">
        <f>AND(#REF!,"AAAAAC78/YI=")</f>
        <v>#REF!</v>
      </c>
      <c r="EB22" t="e">
        <f>AND(#REF!,"AAAAAC78/YM=")</f>
        <v>#REF!</v>
      </c>
      <c r="EC22" t="e">
        <f>AND(#REF!,"AAAAAC78/YQ=")</f>
        <v>#REF!</v>
      </c>
      <c r="ED22" t="e">
        <f>AND(#REF!,"AAAAAC78/YU=")</f>
        <v>#REF!</v>
      </c>
      <c r="EE22" t="e">
        <f>AND(#REF!,"AAAAAC78/YY=")</f>
        <v>#REF!</v>
      </c>
      <c r="EF22" t="e">
        <f>AND(#REF!,"AAAAAC78/Yc=")</f>
        <v>#REF!</v>
      </c>
      <c r="EG22" t="e">
        <f>AND(#REF!,"AAAAAC78/Yg=")</f>
        <v>#REF!</v>
      </c>
      <c r="EH22" t="e">
        <f>AND(#REF!,"AAAAAC78/Yk=")</f>
        <v>#REF!</v>
      </c>
      <c r="EI22" t="e">
        <f>AND(#REF!,"AAAAAC78/Yo=")</f>
        <v>#REF!</v>
      </c>
      <c r="EJ22" t="e">
        <f>AND(#REF!,"AAAAAC78/Ys=")</f>
        <v>#REF!</v>
      </c>
      <c r="EK22" t="e">
        <f>AND(#REF!,"AAAAAC78/Yw=")</f>
        <v>#REF!</v>
      </c>
      <c r="EL22" t="e">
        <f>AND(#REF!,"AAAAAC78/Y0=")</f>
        <v>#REF!</v>
      </c>
      <c r="EM22" t="e">
        <f>AND(#REF!,"AAAAAC78/Y4=")</f>
        <v>#REF!</v>
      </c>
      <c r="EN22" t="e">
        <f>AND(#REF!,"AAAAAC78/Y8=")</f>
        <v>#REF!</v>
      </c>
      <c r="EO22" t="e">
        <f>AND(#REF!,"AAAAAC78/ZA=")</f>
        <v>#REF!</v>
      </c>
      <c r="EP22" t="e">
        <f>AND(#REF!,"AAAAAC78/ZE=")</f>
        <v>#REF!</v>
      </c>
      <c r="EQ22" t="e">
        <f>AND(#REF!,"AAAAAC78/ZI=")</f>
        <v>#REF!</v>
      </c>
      <c r="ER22" t="e">
        <f>AND(#REF!,"AAAAAC78/ZM=")</f>
        <v>#REF!</v>
      </c>
      <c r="ES22" t="e">
        <f>AND(#REF!,"AAAAAC78/ZQ=")</f>
        <v>#REF!</v>
      </c>
      <c r="ET22" t="e">
        <f>AND(#REF!,"AAAAAC78/ZU=")</f>
        <v>#REF!</v>
      </c>
      <c r="EU22" t="e">
        <f>AND(#REF!,"AAAAAC78/ZY=")</f>
        <v>#REF!</v>
      </c>
      <c r="EV22" t="e">
        <f>AND(#REF!,"AAAAAC78/Zc=")</f>
        <v>#REF!</v>
      </c>
      <c r="EW22" t="e">
        <f>AND(#REF!,"AAAAAC78/Zg=")</f>
        <v>#REF!</v>
      </c>
      <c r="EX22" t="e">
        <f>AND(#REF!,"AAAAAC78/Zk=")</f>
        <v>#REF!</v>
      </c>
      <c r="EY22" t="e">
        <f>AND(#REF!,"AAAAAC78/Zo=")</f>
        <v>#REF!</v>
      </c>
      <c r="EZ22" t="e">
        <f>AND(#REF!,"AAAAAC78/Zs=")</f>
        <v>#REF!</v>
      </c>
      <c r="FA22" t="e">
        <f>AND(#REF!,"AAAAAC78/Zw=")</f>
        <v>#REF!</v>
      </c>
      <c r="FB22" t="e">
        <f>AND(#REF!,"AAAAAC78/Z0=")</f>
        <v>#REF!</v>
      </c>
      <c r="FC22" t="e">
        <f>AND(#REF!,"AAAAAC78/Z4=")</f>
        <v>#REF!</v>
      </c>
      <c r="FD22" t="e">
        <f>AND(#REF!,"AAAAAC78/Z8=")</f>
        <v>#REF!</v>
      </c>
      <c r="FE22" t="e">
        <f>AND(#REF!,"AAAAAC78/aA=")</f>
        <v>#REF!</v>
      </c>
      <c r="FF22" t="e">
        <f>AND(#REF!,"AAAAAC78/aE=")</f>
        <v>#REF!</v>
      </c>
      <c r="FG22" t="e">
        <f>AND(#REF!,"AAAAAC78/aI=")</f>
        <v>#REF!</v>
      </c>
      <c r="FH22" t="e">
        <f>AND(#REF!,"AAAAAC78/aM=")</f>
        <v>#REF!</v>
      </c>
      <c r="FI22" t="e">
        <f>AND(#REF!,"AAAAAC78/aQ=")</f>
        <v>#REF!</v>
      </c>
      <c r="FJ22" t="e">
        <f>AND(#REF!,"AAAAAC78/aU=")</f>
        <v>#REF!</v>
      </c>
      <c r="FK22" t="e">
        <f>AND(#REF!,"AAAAAC78/aY=")</f>
        <v>#REF!</v>
      </c>
      <c r="FL22" t="e">
        <f>AND(#REF!,"AAAAAC78/ac=")</f>
        <v>#REF!</v>
      </c>
      <c r="FM22" t="e">
        <f>AND(#REF!,"AAAAAC78/ag=")</f>
        <v>#REF!</v>
      </c>
      <c r="FN22" t="e">
        <f>AND(#REF!,"AAAAAC78/ak=")</f>
        <v>#REF!</v>
      </c>
      <c r="FO22" t="e">
        <f>AND(#REF!,"AAAAAC78/ao=")</f>
        <v>#REF!</v>
      </c>
      <c r="FP22" t="e">
        <f>AND(#REF!,"AAAAAC78/as=")</f>
        <v>#REF!</v>
      </c>
      <c r="FQ22" t="e">
        <f>AND(#REF!,"AAAAAC78/aw=")</f>
        <v>#REF!</v>
      </c>
      <c r="FR22" t="e">
        <f>AND(#REF!,"AAAAAC78/a0=")</f>
        <v>#REF!</v>
      </c>
      <c r="FS22" t="e">
        <f>AND(#REF!,"AAAAAC78/a4=")</f>
        <v>#REF!</v>
      </c>
      <c r="FT22" t="e">
        <f>AND(#REF!,"AAAAAC78/a8=")</f>
        <v>#REF!</v>
      </c>
      <c r="FU22" t="e">
        <f>AND(#REF!,"AAAAAC78/bA=")</f>
        <v>#REF!</v>
      </c>
      <c r="FV22" t="e">
        <f>AND(#REF!,"AAAAAC78/bE=")</f>
        <v>#REF!</v>
      </c>
      <c r="FW22" t="e">
        <f>AND(#REF!,"AAAAAC78/bI=")</f>
        <v>#REF!</v>
      </c>
      <c r="FX22" t="e">
        <f>AND(#REF!,"AAAAAC78/bM=")</f>
        <v>#REF!</v>
      </c>
      <c r="FY22" t="e">
        <f>AND(#REF!,"AAAAAC78/bQ=")</f>
        <v>#REF!</v>
      </c>
      <c r="FZ22" t="e">
        <f>AND(#REF!,"AAAAAC78/bU=")</f>
        <v>#REF!</v>
      </c>
      <c r="GA22" t="e">
        <f>AND(#REF!,"AAAAAC78/bY=")</f>
        <v>#REF!</v>
      </c>
      <c r="GB22" t="e">
        <f>AND(#REF!,"AAAAAC78/bc=")</f>
        <v>#REF!</v>
      </c>
      <c r="GC22" t="e">
        <f>AND(#REF!,"AAAAAC78/bg=")</f>
        <v>#REF!</v>
      </c>
      <c r="GD22" t="e">
        <f>AND(#REF!,"AAAAAC78/bk=")</f>
        <v>#REF!</v>
      </c>
      <c r="GE22" t="e">
        <f>AND(#REF!,"AAAAAC78/bo=")</f>
        <v>#REF!</v>
      </c>
      <c r="GF22" t="e">
        <f>AND(#REF!,"AAAAAC78/bs=")</f>
        <v>#REF!</v>
      </c>
      <c r="GG22" t="e">
        <f>AND(#REF!,"AAAAAC78/bw=")</f>
        <v>#REF!</v>
      </c>
      <c r="GH22" t="e">
        <f>AND(#REF!,"AAAAAC78/b0=")</f>
        <v>#REF!</v>
      </c>
      <c r="GI22" t="e">
        <f>AND(#REF!,"AAAAAC78/b4=")</f>
        <v>#REF!</v>
      </c>
      <c r="GJ22" t="e">
        <f>AND(#REF!,"AAAAAC78/b8=")</f>
        <v>#REF!</v>
      </c>
      <c r="GK22" t="e">
        <f>AND(#REF!,"AAAAAC78/cA=")</f>
        <v>#REF!</v>
      </c>
      <c r="GL22" t="e">
        <f>AND(#REF!,"AAAAAC78/cE=")</f>
        <v>#REF!</v>
      </c>
      <c r="GM22" t="e">
        <f>AND(#REF!,"AAAAAC78/cI=")</f>
        <v>#REF!</v>
      </c>
      <c r="GN22" t="e">
        <f>AND(#REF!,"AAAAAC78/cM=")</f>
        <v>#REF!</v>
      </c>
      <c r="GO22" t="e">
        <f>AND(#REF!,"AAAAAC78/cQ=")</f>
        <v>#REF!</v>
      </c>
      <c r="GP22" t="e">
        <f>AND(#REF!,"AAAAAC78/cU=")</f>
        <v>#REF!</v>
      </c>
      <c r="GQ22" t="e">
        <f>AND(#REF!,"AAAAAC78/cY=")</f>
        <v>#REF!</v>
      </c>
      <c r="GR22" t="e">
        <f>AND(#REF!,"AAAAAC78/cc=")</f>
        <v>#REF!</v>
      </c>
      <c r="GS22" t="e">
        <f>AND(#REF!,"AAAAAC78/cg=")</f>
        <v>#REF!</v>
      </c>
      <c r="GT22" t="e">
        <f>AND(#REF!,"AAAAAC78/ck=")</f>
        <v>#REF!</v>
      </c>
      <c r="GU22" t="e">
        <f>AND(#REF!,"AAAAAC78/co=")</f>
        <v>#REF!</v>
      </c>
      <c r="GV22" t="e">
        <f>AND(#REF!,"AAAAAC78/cs=")</f>
        <v>#REF!</v>
      </c>
      <c r="GW22" t="e">
        <f>AND(#REF!,"AAAAAC78/cw=")</f>
        <v>#REF!</v>
      </c>
      <c r="GX22" t="e">
        <f>AND(#REF!,"AAAAAC78/c0=")</f>
        <v>#REF!</v>
      </c>
      <c r="GY22" t="e">
        <f>AND(#REF!,"AAAAAC78/c4=")</f>
        <v>#REF!</v>
      </c>
      <c r="GZ22" t="e">
        <f>AND(#REF!,"AAAAAC78/c8=")</f>
        <v>#REF!</v>
      </c>
      <c r="HA22" t="e">
        <f>AND(#REF!,"AAAAAC78/dA=")</f>
        <v>#REF!</v>
      </c>
      <c r="HB22" t="e">
        <f>AND(#REF!,"AAAAAC78/dE=")</f>
        <v>#REF!</v>
      </c>
      <c r="HC22" t="e">
        <f>AND(#REF!,"AAAAAC78/dI=")</f>
        <v>#REF!</v>
      </c>
      <c r="HD22" t="e">
        <f>AND(#REF!,"AAAAAC78/dM=")</f>
        <v>#REF!</v>
      </c>
      <c r="HE22" t="e">
        <f>AND(#REF!,"AAAAAC78/dQ=")</f>
        <v>#REF!</v>
      </c>
      <c r="HF22" t="e">
        <f>AND(#REF!,"AAAAAC78/dU=")</f>
        <v>#REF!</v>
      </c>
      <c r="HG22" t="e">
        <f>AND(#REF!,"AAAAAC78/dY=")</f>
        <v>#REF!</v>
      </c>
      <c r="HH22" t="e">
        <f>AND(#REF!,"AAAAAC78/dc=")</f>
        <v>#REF!</v>
      </c>
      <c r="HI22" t="e">
        <f>AND(#REF!,"AAAAAC78/dg=")</f>
        <v>#REF!</v>
      </c>
      <c r="HJ22" t="e">
        <f>AND(#REF!,"AAAAAC78/dk=")</f>
        <v>#REF!</v>
      </c>
      <c r="HK22" t="e">
        <f>AND(#REF!,"AAAAAC78/do=")</f>
        <v>#REF!</v>
      </c>
      <c r="HL22" t="e">
        <f>AND(#REF!,"AAAAAC78/ds=")</f>
        <v>#REF!</v>
      </c>
      <c r="HM22" t="e">
        <f>AND(#REF!,"AAAAAC78/dw=")</f>
        <v>#REF!</v>
      </c>
      <c r="HN22" t="e">
        <f>AND(#REF!,"AAAAAC78/d0=")</f>
        <v>#REF!</v>
      </c>
      <c r="HO22" t="e">
        <f>AND(#REF!,"AAAAAC78/d4=")</f>
        <v>#REF!</v>
      </c>
      <c r="HP22" t="e">
        <f>AND(#REF!,"AAAAAC78/d8=")</f>
        <v>#REF!</v>
      </c>
      <c r="HQ22" t="e">
        <f>AND(#REF!,"AAAAAC78/eA=")</f>
        <v>#REF!</v>
      </c>
      <c r="HR22" t="e">
        <f>AND(#REF!,"AAAAAC78/eE=")</f>
        <v>#REF!</v>
      </c>
      <c r="HS22" t="e">
        <f>AND(#REF!,"AAAAAC78/eI=")</f>
        <v>#REF!</v>
      </c>
      <c r="HT22" t="e">
        <f>AND(#REF!,"AAAAAC78/eM=")</f>
        <v>#REF!</v>
      </c>
      <c r="HU22" t="e">
        <f>AND(#REF!,"AAAAAC78/eQ=")</f>
        <v>#REF!</v>
      </c>
      <c r="HV22" t="e">
        <f>AND(#REF!,"AAAAAC78/eU=")</f>
        <v>#REF!</v>
      </c>
      <c r="HW22" t="e">
        <f>AND(#REF!,"AAAAAC78/eY=")</f>
        <v>#REF!</v>
      </c>
      <c r="HX22" t="e">
        <f>AND(#REF!,"AAAAAC78/ec=")</f>
        <v>#REF!</v>
      </c>
      <c r="HY22" t="e">
        <f>AND(#REF!,"AAAAAC78/eg=")</f>
        <v>#REF!</v>
      </c>
      <c r="HZ22" t="e">
        <f>AND(#REF!,"AAAAAC78/ek=")</f>
        <v>#REF!</v>
      </c>
      <c r="IA22" t="e">
        <f>AND(#REF!,"AAAAAC78/eo=")</f>
        <v>#REF!</v>
      </c>
      <c r="IB22" t="e">
        <f>AND(#REF!,"AAAAAC78/es=")</f>
        <v>#REF!</v>
      </c>
      <c r="IC22" t="e">
        <f>AND(#REF!,"AAAAAC78/ew=")</f>
        <v>#REF!</v>
      </c>
      <c r="ID22" t="e">
        <f>AND(#REF!,"AAAAAC78/e0=")</f>
        <v>#REF!</v>
      </c>
      <c r="IE22" t="e">
        <f>AND(#REF!,"AAAAAC78/e4=")</f>
        <v>#REF!</v>
      </c>
      <c r="IF22" t="e">
        <f>AND(#REF!,"AAAAAC78/e8=")</f>
        <v>#REF!</v>
      </c>
      <c r="IG22" t="e">
        <f>AND(#REF!,"AAAAAC78/fA=")</f>
        <v>#REF!</v>
      </c>
      <c r="IH22" t="e">
        <f>AND(#REF!,"AAAAAC78/fE=")</f>
        <v>#REF!</v>
      </c>
      <c r="II22" t="e">
        <f>AND(#REF!,"AAAAAC78/fI=")</f>
        <v>#REF!</v>
      </c>
      <c r="IJ22" t="e">
        <f>AND(#REF!,"AAAAAC78/fM=")</f>
        <v>#REF!</v>
      </c>
      <c r="IK22" t="e">
        <f>AND(#REF!,"AAAAAC78/fQ=")</f>
        <v>#REF!</v>
      </c>
      <c r="IL22" t="e">
        <f>AND(#REF!,"AAAAAC78/fU=")</f>
        <v>#REF!</v>
      </c>
      <c r="IM22" t="e">
        <f>AND(#REF!,"AAAAAC78/fY=")</f>
        <v>#REF!</v>
      </c>
      <c r="IN22" t="e">
        <f>AND(#REF!,"AAAAAC78/fc=")</f>
        <v>#REF!</v>
      </c>
      <c r="IO22" t="e">
        <f>AND(#REF!,"AAAAAC78/fg=")</f>
        <v>#REF!</v>
      </c>
      <c r="IP22" t="e">
        <f>AND(#REF!,"AAAAAC78/fk=")</f>
        <v>#REF!</v>
      </c>
      <c r="IQ22" t="e">
        <f>AND(#REF!,"AAAAAC78/fo=")</f>
        <v>#REF!</v>
      </c>
      <c r="IR22" t="e">
        <f>AND(#REF!,"AAAAAC78/fs=")</f>
        <v>#REF!</v>
      </c>
      <c r="IS22" t="e">
        <f>AND(#REF!,"AAAAAC78/fw=")</f>
        <v>#REF!</v>
      </c>
      <c r="IT22" t="e">
        <f>AND(#REF!,"AAAAAC78/f0=")</f>
        <v>#REF!</v>
      </c>
      <c r="IU22" t="e">
        <f>AND(#REF!,"AAAAAC78/f4=")</f>
        <v>#REF!</v>
      </c>
      <c r="IV22" t="e">
        <f>AND(#REF!,"AAAAAC78/f8=")</f>
        <v>#REF!</v>
      </c>
    </row>
    <row r="23" spans="1:256">
      <c r="A23" t="e">
        <f>AND(#REF!,"AAAAAH9v3wA=")</f>
        <v>#REF!</v>
      </c>
      <c r="B23" t="e">
        <f>AND(#REF!,"AAAAAH9v3wE=")</f>
        <v>#REF!</v>
      </c>
      <c r="C23" t="e">
        <f>AND(#REF!,"AAAAAH9v3wI=")</f>
        <v>#REF!</v>
      </c>
      <c r="D23" t="e">
        <f>AND(#REF!,"AAAAAH9v3wM=")</f>
        <v>#REF!</v>
      </c>
      <c r="E23" t="e">
        <f>AND(#REF!,"AAAAAH9v3wQ=")</f>
        <v>#REF!</v>
      </c>
      <c r="F23" t="e">
        <f>AND(#REF!,"AAAAAH9v3wU=")</f>
        <v>#REF!</v>
      </c>
      <c r="G23" t="e">
        <f>AND(#REF!,"AAAAAH9v3wY=")</f>
        <v>#REF!</v>
      </c>
      <c r="H23" t="e">
        <f>AND(#REF!,"AAAAAH9v3wc=")</f>
        <v>#REF!</v>
      </c>
      <c r="I23" t="e">
        <f>AND(#REF!,"AAAAAH9v3wg=")</f>
        <v>#REF!</v>
      </c>
      <c r="J23" t="e">
        <f>AND(#REF!,"AAAAAH9v3wk=")</f>
        <v>#REF!</v>
      </c>
      <c r="K23" t="e">
        <f>AND(#REF!,"AAAAAH9v3wo=")</f>
        <v>#REF!</v>
      </c>
      <c r="L23" t="e">
        <f>AND(#REF!,"AAAAAH9v3ws=")</f>
        <v>#REF!</v>
      </c>
      <c r="M23" t="e">
        <f>AND(#REF!,"AAAAAH9v3ww=")</f>
        <v>#REF!</v>
      </c>
      <c r="N23" t="e">
        <f>AND(#REF!,"AAAAAH9v3w0=")</f>
        <v>#REF!</v>
      </c>
      <c r="O23" t="e">
        <f>AND(#REF!,"AAAAAH9v3w4=")</f>
        <v>#REF!</v>
      </c>
      <c r="P23" t="e">
        <f>AND(#REF!,"AAAAAH9v3w8=")</f>
        <v>#REF!</v>
      </c>
      <c r="Q23" t="e">
        <f>AND(#REF!,"AAAAAH9v3xA=")</f>
        <v>#REF!</v>
      </c>
      <c r="R23" t="e">
        <f>AND(#REF!,"AAAAAH9v3xE=")</f>
        <v>#REF!</v>
      </c>
      <c r="S23" t="e">
        <f>AND(#REF!,"AAAAAH9v3xI=")</f>
        <v>#REF!</v>
      </c>
      <c r="T23" t="e">
        <f>AND(#REF!,"AAAAAH9v3xM=")</f>
        <v>#REF!</v>
      </c>
      <c r="U23" t="e">
        <f>AND(#REF!,"AAAAAH9v3xQ=")</f>
        <v>#REF!</v>
      </c>
      <c r="V23" t="e">
        <f>AND(#REF!,"AAAAAH9v3xU=")</f>
        <v>#REF!</v>
      </c>
      <c r="W23" t="e">
        <f>AND(#REF!,"AAAAAH9v3xY=")</f>
        <v>#REF!</v>
      </c>
      <c r="X23" t="e">
        <f>AND(#REF!,"AAAAAH9v3xc=")</f>
        <v>#REF!</v>
      </c>
      <c r="Y23" t="e">
        <f>AND(#REF!,"AAAAAH9v3xg=")</f>
        <v>#REF!</v>
      </c>
      <c r="Z23" t="e">
        <f>AND(#REF!,"AAAAAH9v3xk=")</f>
        <v>#REF!</v>
      </c>
      <c r="AA23" t="e">
        <f>AND(#REF!,"AAAAAH9v3xo=")</f>
        <v>#REF!</v>
      </c>
      <c r="AB23" t="e">
        <f>AND(#REF!,"AAAAAH9v3xs=")</f>
        <v>#REF!</v>
      </c>
      <c r="AC23" t="e">
        <f>AND(#REF!,"AAAAAH9v3xw=")</f>
        <v>#REF!</v>
      </c>
      <c r="AD23" t="e">
        <f>AND(#REF!,"AAAAAH9v3x0=")</f>
        <v>#REF!</v>
      </c>
      <c r="AE23" t="e">
        <f>AND(#REF!,"AAAAAH9v3x4=")</f>
        <v>#REF!</v>
      </c>
      <c r="AF23" t="e">
        <f>AND(#REF!,"AAAAAH9v3x8=")</f>
        <v>#REF!</v>
      </c>
      <c r="AG23" t="e">
        <f>AND(#REF!,"AAAAAH9v3yA=")</f>
        <v>#REF!</v>
      </c>
      <c r="AH23" t="e">
        <f>AND(#REF!,"AAAAAH9v3yE=")</f>
        <v>#REF!</v>
      </c>
      <c r="AI23" t="e">
        <f>AND(#REF!,"AAAAAH9v3yI=")</f>
        <v>#REF!</v>
      </c>
      <c r="AJ23" t="e">
        <f>AND(#REF!,"AAAAAH9v3yM=")</f>
        <v>#REF!</v>
      </c>
      <c r="AK23" t="e">
        <f>AND(#REF!,"AAAAAH9v3yQ=")</f>
        <v>#REF!</v>
      </c>
      <c r="AL23" t="e">
        <f>AND(#REF!,"AAAAAH9v3yU=")</f>
        <v>#REF!</v>
      </c>
      <c r="AM23" t="e">
        <f>AND(#REF!,"AAAAAH9v3yY=")</f>
        <v>#REF!</v>
      </c>
      <c r="AN23" t="e">
        <f>AND(#REF!,"AAAAAH9v3yc=")</f>
        <v>#REF!</v>
      </c>
      <c r="AO23" t="e">
        <f>AND(#REF!,"AAAAAH9v3yg=")</f>
        <v>#REF!</v>
      </c>
      <c r="AP23" t="e">
        <f>AND(#REF!,"AAAAAH9v3yk=")</f>
        <v>#REF!</v>
      </c>
      <c r="AQ23" t="e">
        <f>AND(#REF!,"AAAAAH9v3yo=")</f>
        <v>#REF!</v>
      </c>
      <c r="AR23" t="e">
        <f>AND(#REF!,"AAAAAH9v3ys=")</f>
        <v>#REF!</v>
      </c>
      <c r="AS23" t="e">
        <f>AND(#REF!,"AAAAAH9v3yw=")</f>
        <v>#REF!</v>
      </c>
      <c r="AT23" t="e">
        <f>AND(#REF!,"AAAAAH9v3y0=")</f>
        <v>#REF!</v>
      </c>
      <c r="AU23" t="e">
        <f>AND(#REF!,"AAAAAH9v3y4=")</f>
        <v>#REF!</v>
      </c>
      <c r="AV23" t="e">
        <f>AND(#REF!,"AAAAAH9v3y8=")</f>
        <v>#REF!</v>
      </c>
      <c r="AW23" t="e">
        <f>AND(#REF!,"AAAAAH9v3zA=")</f>
        <v>#REF!</v>
      </c>
      <c r="AX23" t="e">
        <f>AND(#REF!,"AAAAAH9v3zE=")</f>
        <v>#REF!</v>
      </c>
      <c r="AY23" t="e">
        <f>AND(#REF!,"AAAAAH9v3zI=")</f>
        <v>#REF!</v>
      </c>
      <c r="AZ23" t="e">
        <f>AND(#REF!,"AAAAAH9v3zM=")</f>
        <v>#REF!</v>
      </c>
      <c r="BA23" t="e">
        <f>AND(#REF!,"AAAAAH9v3zQ=")</f>
        <v>#REF!</v>
      </c>
      <c r="BB23" t="e">
        <f>AND(#REF!,"AAAAAH9v3zU=")</f>
        <v>#REF!</v>
      </c>
      <c r="BC23" t="e">
        <f>AND(#REF!,"AAAAAH9v3zY=")</f>
        <v>#REF!</v>
      </c>
      <c r="BD23" t="e">
        <f>AND(#REF!,"AAAAAH9v3zc=")</f>
        <v>#REF!</v>
      </c>
      <c r="BE23" t="e">
        <f>AND(#REF!,"AAAAAH9v3zg=")</f>
        <v>#REF!</v>
      </c>
      <c r="BF23" t="e">
        <f>AND(#REF!,"AAAAAH9v3zk=")</f>
        <v>#REF!</v>
      </c>
      <c r="BG23" t="e">
        <f>AND(#REF!,"AAAAAH9v3zo=")</f>
        <v>#REF!</v>
      </c>
      <c r="BH23" t="e">
        <f>AND(#REF!,"AAAAAH9v3zs=")</f>
        <v>#REF!</v>
      </c>
      <c r="BI23" t="e">
        <f>AND(#REF!,"AAAAAH9v3zw=")</f>
        <v>#REF!</v>
      </c>
      <c r="BJ23" t="e">
        <f>AND(#REF!,"AAAAAH9v3z0=")</f>
        <v>#REF!</v>
      </c>
      <c r="BK23" t="e">
        <f>AND(#REF!,"AAAAAH9v3z4=")</f>
        <v>#REF!</v>
      </c>
      <c r="BL23" t="e">
        <f>AND(#REF!,"AAAAAH9v3z8=")</f>
        <v>#REF!</v>
      </c>
      <c r="BM23" t="e">
        <f>AND(#REF!,"AAAAAH9v30A=")</f>
        <v>#REF!</v>
      </c>
      <c r="BN23" t="e">
        <f>AND(#REF!,"AAAAAH9v30E=")</f>
        <v>#REF!</v>
      </c>
      <c r="BO23" t="e">
        <f>AND(#REF!,"AAAAAH9v30I=")</f>
        <v>#REF!</v>
      </c>
      <c r="BP23" t="e">
        <f>AND(#REF!,"AAAAAH9v30M=")</f>
        <v>#REF!</v>
      </c>
      <c r="BQ23" t="e">
        <f>AND(#REF!,"AAAAAH9v30Q=")</f>
        <v>#REF!</v>
      </c>
      <c r="BR23" t="e">
        <f>AND(#REF!,"AAAAAH9v30U=")</f>
        <v>#REF!</v>
      </c>
      <c r="BS23" t="e">
        <f>AND(#REF!,"AAAAAH9v30Y=")</f>
        <v>#REF!</v>
      </c>
      <c r="BT23" t="e">
        <f>AND(#REF!,"AAAAAH9v30c=")</f>
        <v>#REF!</v>
      </c>
      <c r="BU23" t="e">
        <f>AND(#REF!,"AAAAAH9v30g=")</f>
        <v>#REF!</v>
      </c>
      <c r="BV23" t="e">
        <f>AND(#REF!,"AAAAAH9v30k=")</f>
        <v>#REF!</v>
      </c>
      <c r="BW23" t="e">
        <f>AND(#REF!,"AAAAAH9v30o=")</f>
        <v>#REF!</v>
      </c>
      <c r="BX23" t="e">
        <f>AND(#REF!,"AAAAAH9v30s=")</f>
        <v>#REF!</v>
      </c>
      <c r="BY23" t="e">
        <f>AND(#REF!,"AAAAAH9v30w=")</f>
        <v>#REF!</v>
      </c>
      <c r="BZ23" t="e">
        <f>AND(#REF!,"AAAAAH9v300=")</f>
        <v>#REF!</v>
      </c>
      <c r="CA23" t="e">
        <f>AND(#REF!,"AAAAAH9v304=")</f>
        <v>#REF!</v>
      </c>
      <c r="CB23" t="e">
        <f>AND(#REF!,"AAAAAH9v308=")</f>
        <v>#REF!</v>
      </c>
      <c r="CC23" t="e">
        <f>AND(#REF!,"AAAAAH9v31A=")</f>
        <v>#REF!</v>
      </c>
      <c r="CD23" t="e">
        <f>AND(#REF!,"AAAAAH9v31E=")</f>
        <v>#REF!</v>
      </c>
      <c r="CE23" t="e">
        <f>AND(#REF!,"AAAAAH9v31I=")</f>
        <v>#REF!</v>
      </c>
      <c r="CF23" t="e">
        <f>AND(#REF!,"AAAAAH9v31M=")</f>
        <v>#REF!</v>
      </c>
      <c r="CG23" t="e">
        <f>AND(#REF!,"AAAAAH9v31Q=")</f>
        <v>#REF!</v>
      </c>
      <c r="CH23" t="e">
        <f>AND(#REF!,"AAAAAH9v31U=")</f>
        <v>#REF!</v>
      </c>
      <c r="CI23" t="e">
        <f>AND(#REF!,"AAAAAH9v31Y=")</f>
        <v>#REF!</v>
      </c>
      <c r="CJ23" t="e">
        <f>AND(#REF!,"AAAAAH9v31c=")</f>
        <v>#REF!</v>
      </c>
      <c r="CK23" t="e">
        <f>AND(#REF!,"AAAAAH9v31g=")</f>
        <v>#REF!</v>
      </c>
      <c r="CL23" t="e">
        <f>AND(#REF!,"AAAAAH9v31k=")</f>
        <v>#REF!</v>
      </c>
      <c r="CM23" t="e">
        <f>AND(#REF!,"AAAAAH9v31o=")</f>
        <v>#REF!</v>
      </c>
      <c r="CN23" t="e">
        <f>AND(#REF!,"AAAAAH9v31s=")</f>
        <v>#REF!</v>
      </c>
      <c r="CO23" t="e">
        <f>AND(#REF!,"AAAAAH9v31w=")</f>
        <v>#REF!</v>
      </c>
      <c r="CP23" t="e">
        <f>AND(#REF!,"AAAAAH9v310=")</f>
        <v>#REF!</v>
      </c>
      <c r="CQ23" t="e">
        <f>AND(#REF!,"AAAAAH9v314=")</f>
        <v>#REF!</v>
      </c>
      <c r="CR23" t="e">
        <f>AND(#REF!,"AAAAAH9v318=")</f>
        <v>#REF!</v>
      </c>
      <c r="CS23" t="e">
        <f>AND(#REF!,"AAAAAH9v32A=")</f>
        <v>#REF!</v>
      </c>
      <c r="CT23" t="e">
        <f>AND(#REF!,"AAAAAH9v32E=")</f>
        <v>#REF!</v>
      </c>
      <c r="CU23" t="e">
        <f>AND(#REF!,"AAAAAH9v32I=")</f>
        <v>#REF!</v>
      </c>
      <c r="CV23" t="e">
        <f>AND(#REF!,"AAAAAH9v32M=")</f>
        <v>#REF!</v>
      </c>
      <c r="CW23" t="e">
        <f>AND(#REF!,"AAAAAH9v32Q=")</f>
        <v>#REF!</v>
      </c>
      <c r="CX23" t="e">
        <f>AND(#REF!,"AAAAAH9v32U=")</f>
        <v>#REF!</v>
      </c>
      <c r="CY23" t="e">
        <f>AND(#REF!,"AAAAAH9v32Y=")</f>
        <v>#REF!</v>
      </c>
      <c r="CZ23" t="e">
        <f>AND(#REF!,"AAAAAH9v32c=")</f>
        <v>#REF!</v>
      </c>
      <c r="DA23" t="e">
        <f>AND(#REF!,"AAAAAH9v32g=")</f>
        <v>#REF!</v>
      </c>
      <c r="DB23" t="e">
        <f>AND(#REF!,"AAAAAH9v32k=")</f>
        <v>#REF!</v>
      </c>
      <c r="DC23" t="e">
        <f>AND(#REF!,"AAAAAH9v32o=")</f>
        <v>#REF!</v>
      </c>
      <c r="DD23" t="e">
        <f>AND(#REF!,"AAAAAH9v32s=")</f>
        <v>#REF!</v>
      </c>
      <c r="DE23" t="e">
        <f>AND(#REF!,"AAAAAH9v32w=")</f>
        <v>#REF!</v>
      </c>
      <c r="DF23" t="e">
        <f>AND(#REF!,"AAAAAH9v320=")</f>
        <v>#REF!</v>
      </c>
      <c r="DG23" t="e">
        <f>AND(#REF!,"AAAAAH9v324=")</f>
        <v>#REF!</v>
      </c>
      <c r="DH23" t="e">
        <f>AND(#REF!,"AAAAAH9v328=")</f>
        <v>#REF!</v>
      </c>
      <c r="DI23" t="e">
        <f>AND(#REF!,"AAAAAH9v33A=")</f>
        <v>#REF!</v>
      </c>
      <c r="DJ23" t="e">
        <f>AND(#REF!,"AAAAAH9v33E=")</f>
        <v>#REF!</v>
      </c>
      <c r="DK23" t="e">
        <f>AND(#REF!,"AAAAAH9v33I=")</f>
        <v>#REF!</v>
      </c>
      <c r="DL23" t="e">
        <f>AND(#REF!,"AAAAAH9v33M=")</f>
        <v>#REF!</v>
      </c>
      <c r="DM23" t="e">
        <f>AND(#REF!,"AAAAAH9v33Q=")</f>
        <v>#REF!</v>
      </c>
      <c r="DN23" t="e">
        <f>AND(#REF!,"AAAAAH9v33U=")</f>
        <v>#REF!</v>
      </c>
      <c r="DO23" t="e">
        <f>AND(#REF!,"AAAAAH9v33Y=")</f>
        <v>#REF!</v>
      </c>
      <c r="DP23" t="e">
        <f>AND(#REF!,"AAAAAH9v33c=")</f>
        <v>#REF!</v>
      </c>
      <c r="DQ23" t="e">
        <f>AND(#REF!,"AAAAAH9v33g=")</f>
        <v>#REF!</v>
      </c>
      <c r="DR23" t="e">
        <f>AND(#REF!,"AAAAAH9v33k=")</f>
        <v>#REF!</v>
      </c>
      <c r="DS23" t="e">
        <f>AND(#REF!,"AAAAAH9v33o=")</f>
        <v>#REF!</v>
      </c>
      <c r="DT23" t="e">
        <f>AND(#REF!,"AAAAAH9v33s=")</f>
        <v>#REF!</v>
      </c>
      <c r="DU23" t="e">
        <f>AND(#REF!,"AAAAAH9v33w=")</f>
        <v>#REF!</v>
      </c>
      <c r="DV23" t="e">
        <f>AND(#REF!,"AAAAAH9v330=")</f>
        <v>#REF!</v>
      </c>
      <c r="DW23" t="e">
        <f>AND(#REF!,"AAAAAH9v334=")</f>
        <v>#REF!</v>
      </c>
      <c r="DX23" t="e">
        <f>AND(#REF!,"AAAAAH9v338=")</f>
        <v>#REF!</v>
      </c>
      <c r="DY23" t="e">
        <f>AND(#REF!,"AAAAAH9v34A=")</f>
        <v>#REF!</v>
      </c>
      <c r="DZ23" t="e">
        <f>AND(#REF!,"AAAAAH9v34E=")</f>
        <v>#REF!</v>
      </c>
      <c r="EA23" t="e">
        <f>AND(#REF!,"AAAAAH9v34I=")</f>
        <v>#REF!</v>
      </c>
      <c r="EB23" t="e">
        <f>AND(#REF!,"AAAAAH9v34M=")</f>
        <v>#REF!</v>
      </c>
      <c r="EC23" t="e">
        <f>AND(#REF!,"AAAAAH9v34Q=")</f>
        <v>#REF!</v>
      </c>
      <c r="ED23" t="e">
        <f>AND(#REF!,"AAAAAH9v34U=")</f>
        <v>#REF!</v>
      </c>
      <c r="EE23" t="e">
        <f>AND(#REF!,"AAAAAH9v34Y=")</f>
        <v>#REF!</v>
      </c>
      <c r="EF23" t="e">
        <f>AND(#REF!,"AAAAAH9v34c=")</f>
        <v>#REF!</v>
      </c>
      <c r="EG23" t="e">
        <f>AND(#REF!,"AAAAAH9v34g=")</f>
        <v>#REF!</v>
      </c>
      <c r="EH23" t="e">
        <f>AND(#REF!,"AAAAAH9v34k=")</f>
        <v>#REF!</v>
      </c>
      <c r="EI23" t="e">
        <f>AND(#REF!,"AAAAAH9v34o=")</f>
        <v>#REF!</v>
      </c>
      <c r="EJ23" t="e">
        <f>AND(#REF!,"AAAAAH9v34s=")</f>
        <v>#REF!</v>
      </c>
      <c r="EK23" t="e">
        <f>AND(#REF!,"AAAAAH9v34w=")</f>
        <v>#REF!</v>
      </c>
      <c r="EL23" t="e">
        <f>AND(#REF!,"AAAAAH9v340=")</f>
        <v>#REF!</v>
      </c>
      <c r="EM23" t="e">
        <f>AND(#REF!,"AAAAAH9v344=")</f>
        <v>#REF!</v>
      </c>
      <c r="EN23" t="e">
        <f>AND(#REF!,"AAAAAH9v348=")</f>
        <v>#REF!</v>
      </c>
      <c r="EO23" t="e">
        <f>AND(#REF!,"AAAAAH9v35A=")</f>
        <v>#REF!</v>
      </c>
      <c r="EP23" t="e">
        <f>AND(#REF!,"AAAAAH9v35E=")</f>
        <v>#REF!</v>
      </c>
      <c r="EQ23" t="e">
        <f>AND(#REF!,"AAAAAH9v35I=")</f>
        <v>#REF!</v>
      </c>
      <c r="ER23" t="e">
        <f>AND(#REF!,"AAAAAH9v35M=")</f>
        <v>#REF!</v>
      </c>
      <c r="ES23" t="e">
        <f>AND(#REF!,"AAAAAH9v35Q=")</f>
        <v>#REF!</v>
      </c>
      <c r="ET23" t="e">
        <f>AND(#REF!,"AAAAAH9v35U=")</f>
        <v>#REF!</v>
      </c>
      <c r="EU23" t="e">
        <f>AND(#REF!,"AAAAAH9v35Y=")</f>
        <v>#REF!</v>
      </c>
      <c r="EV23" t="e">
        <f>AND(#REF!,"AAAAAH9v35c=")</f>
        <v>#REF!</v>
      </c>
      <c r="EW23" t="e">
        <f>AND(#REF!,"AAAAAH9v35g=")</f>
        <v>#REF!</v>
      </c>
      <c r="EX23" t="e">
        <f>AND(#REF!,"AAAAAH9v35k=")</f>
        <v>#REF!</v>
      </c>
      <c r="EY23" t="e">
        <f>AND(#REF!,"AAAAAH9v35o=")</f>
        <v>#REF!</v>
      </c>
      <c r="EZ23" t="e">
        <f>AND(#REF!,"AAAAAH9v35s=")</f>
        <v>#REF!</v>
      </c>
      <c r="FA23" t="e">
        <f>AND(#REF!,"AAAAAH9v35w=")</f>
        <v>#REF!</v>
      </c>
      <c r="FB23" t="e">
        <f>AND(#REF!,"AAAAAH9v350=")</f>
        <v>#REF!</v>
      </c>
      <c r="FC23" t="e">
        <f>AND(#REF!,"AAAAAH9v354=")</f>
        <v>#REF!</v>
      </c>
      <c r="FD23" t="e">
        <f>AND(#REF!,"AAAAAH9v358=")</f>
        <v>#REF!</v>
      </c>
      <c r="FE23" t="e">
        <f>AND(#REF!,"AAAAAH9v36A=")</f>
        <v>#REF!</v>
      </c>
      <c r="FF23" t="e">
        <f>AND(#REF!,"AAAAAH9v36E=")</f>
        <v>#REF!</v>
      </c>
      <c r="FG23" t="e">
        <f>AND(#REF!,"AAAAAH9v36I=")</f>
        <v>#REF!</v>
      </c>
      <c r="FH23" t="e">
        <f>AND(#REF!,"AAAAAH9v36M=")</f>
        <v>#REF!</v>
      </c>
      <c r="FI23" t="e">
        <f>AND(#REF!,"AAAAAH9v36Q=")</f>
        <v>#REF!</v>
      </c>
      <c r="FJ23" t="e">
        <f>AND(#REF!,"AAAAAH9v36U=")</f>
        <v>#REF!</v>
      </c>
      <c r="FK23" t="e">
        <f>AND(#REF!,"AAAAAH9v36Y=")</f>
        <v>#REF!</v>
      </c>
      <c r="FL23" t="e">
        <f>AND(#REF!,"AAAAAH9v36c=")</f>
        <v>#REF!</v>
      </c>
      <c r="FM23" t="e">
        <f>AND(#REF!,"AAAAAH9v36g=")</f>
        <v>#REF!</v>
      </c>
      <c r="FN23" t="e">
        <f>AND(#REF!,"AAAAAH9v36k=")</f>
        <v>#REF!</v>
      </c>
      <c r="FO23" t="e">
        <f>AND(#REF!,"AAAAAH9v36o=")</f>
        <v>#REF!</v>
      </c>
      <c r="FP23" t="e">
        <f>AND(#REF!,"AAAAAH9v36s=")</f>
        <v>#REF!</v>
      </c>
      <c r="FQ23" t="e">
        <f>AND(#REF!,"AAAAAH9v36w=")</f>
        <v>#REF!</v>
      </c>
      <c r="FR23" t="e">
        <f>AND(#REF!,"AAAAAH9v360=")</f>
        <v>#REF!</v>
      </c>
      <c r="FS23" t="e">
        <f>AND(#REF!,"AAAAAH9v364=")</f>
        <v>#REF!</v>
      </c>
      <c r="FT23" t="e">
        <f>AND(#REF!,"AAAAAH9v368=")</f>
        <v>#REF!</v>
      </c>
      <c r="FU23" t="e">
        <f>AND(#REF!,"AAAAAH9v37A=")</f>
        <v>#REF!</v>
      </c>
      <c r="FV23" t="e">
        <f>AND(#REF!,"AAAAAH9v37E=")</f>
        <v>#REF!</v>
      </c>
      <c r="FW23" t="e">
        <f>AND(#REF!,"AAAAAH9v37I=")</f>
        <v>#REF!</v>
      </c>
      <c r="FX23" t="e">
        <f>AND(#REF!,"AAAAAH9v37M=")</f>
        <v>#REF!</v>
      </c>
      <c r="FY23" t="e">
        <f>AND(#REF!,"AAAAAH9v37Q=")</f>
        <v>#REF!</v>
      </c>
      <c r="FZ23" t="e">
        <f>AND(#REF!,"AAAAAH9v37U=")</f>
        <v>#REF!</v>
      </c>
      <c r="GA23" t="e">
        <f>AND(#REF!,"AAAAAH9v37Y=")</f>
        <v>#REF!</v>
      </c>
      <c r="GB23" t="e">
        <f>AND(#REF!,"AAAAAH9v37c=")</f>
        <v>#REF!</v>
      </c>
      <c r="GC23" t="e">
        <f>AND(#REF!,"AAAAAH9v37g=")</f>
        <v>#REF!</v>
      </c>
      <c r="GD23" t="e">
        <f>AND(#REF!,"AAAAAH9v37k=")</f>
        <v>#REF!</v>
      </c>
      <c r="GE23" t="e">
        <f>AND(#REF!,"AAAAAH9v37o=")</f>
        <v>#REF!</v>
      </c>
      <c r="GF23" t="e">
        <f>AND(#REF!,"AAAAAH9v37s=")</f>
        <v>#REF!</v>
      </c>
      <c r="GG23" t="e">
        <f>AND(#REF!,"AAAAAH9v37w=")</f>
        <v>#REF!</v>
      </c>
      <c r="GH23" t="e">
        <f>AND(#REF!,"AAAAAH9v370=")</f>
        <v>#REF!</v>
      </c>
      <c r="GI23" t="e">
        <f>AND(#REF!,"AAAAAH9v374=")</f>
        <v>#REF!</v>
      </c>
      <c r="GJ23" t="e">
        <f>AND(#REF!,"AAAAAH9v378=")</f>
        <v>#REF!</v>
      </c>
      <c r="GK23" t="e">
        <f>AND(#REF!,"AAAAAH9v38A=")</f>
        <v>#REF!</v>
      </c>
      <c r="GL23" t="e">
        <f>AND(#REF!,"AAAAAH9v38E=")</f>
        <v>#REF!</v>
      </c>
      <c r="GM23" t="e">
        <f>AND(#REF!,"AAAAAH9v38I=")</f>
        <v>#REF!</v>
      </c>
      <c r="GN23" t="e">
        <f>AND(#REF!,"AAAAAH9v38M=")</f>
        <v>#REF!</v>
      </c>
      <c r="GO23" t="e">
        <f>AND(#REF!,"AAAAAH9v38Q=")</f>
        <v>#REF!</v>
      </c>
      <c r="GP23" t="e">
        <f>AND(#REF!,"AAAAAH9v38U=")</f>
        <v>#REF!</v>
      </c>
      <c r="GQ23" t="e">
        <f>AND(#REF!,"AAAAAH9v38Y=")</f>
        <v>#REF!</v>
      </c>
      <c r="GR23" t="e">
        <f>AND(#REF!,"AAAAAH9v38c=")</f>
        <v>#REF!</v>
      </c>
      <c r="GS23" t="e">
        <f>AND(#REF!,"AAAAAH9v38g=")</f>
        <v>#REF!</v>
      </c>
      <c r="GT23" t="e">
        <f>AND(#REF!,"AAAAAH9v38k=")</f>
        <v>#REF!</v>
      </c>
      <c r="GU23" t="e">
        <f>AND(#REF!,"AAAAAH9v38o=")</f>
        <v>#REF!</v>
      </c>
      <c r="GV23" t="e">
        <f>AND(#REF!,"AAAAAH9v38s=")</f>
        <v>#REF!</v>
      </c>
      <c r="GW23" t="e">
        <f>AND(#REF!,"AAAAAH9v38w=")</f>
        <v>#REF!</v>
      </c>
      <c r="GX23" t="e">
        <f>AND(#REF!,"AAAAAH9v380=")</f>
        <v>#REF!</v>
      </c>
      <c r="GY23" t="e">
        <f>AND(#REF!,"AAAAAH9v384=")</f>
        <v>#REF!</v>
      </c>
      <c r="GZ23" t="e">
        <f>AND(#REF!,"AAAAAH9v388=")</f>
        <v>#REF!</v>
      </c>
      <c r="HA23" t="e">
        <f>AND(#REF!,"AAAAAH9v39A=")</f>
        <v>#REF!</v>
      </c>
      <c r="HB23" t="e">
        <f>AND(#REF!,"AAAAAH9v39E=")</f>
        <v>#REF!</v>
      </c>
      <c r="HC23" t="e">
        <f>AND(#REF!,"AAAAAH9v39I=")</f>
        <v>#REF!</v>
      </c>
      <c r="HD23" t="e">
        <f>AND(#REF!,"AAAAAH9v39M=")</f>
        <v>#REF!</v>
      </c>
      <c r="HE23" t="e">
        <f>AND(#REF!,"AAAAAH9v39Q=")</f>
        <v>#REF!</v>
      </c>
      <c r="HF23" t="e">
        <f>AND(#REF!,"AAAAAH9v39U=")</f>
        <v>#REF!</v>
      </c>
      <c r="HG23" t="e">
        <f>AND(#REF!,"AAAAAH9v39Y=")</f>
        <v>#REF!</v>
      </c>
      <c r="HH23" t="e">
        <f>AND(#REF!,"AAAAAH9v39c=")</f>
        <v>#REF!</v>
      </c>
      <c r="HI23" t="e">
        <f>AND(#REF!,"AAAAAH9v39g=")</f>
        <v>#REF!</v>
      </c>
      <c r="HJ23" t="e">
        <f>AND(#REF!,"AAAAAH9v39k=")</f>
        <v>#REF!</v>
      </c>
      <c r="HK23" t="e">
        <f>AND(#REF!,"AAAAAH9v39o=")</f>
        <v>#REF!</v>
      </c>
      <c r="HL23" t="e">
        <f>AND(#REF!,"AAAAAH9v39s=")</f>
        <v>#REF!</v>
      </c>
      <c r="HM23" t="e">
        <f>AND(#REF!,"AAAAAH9v39w=")</f>
        <v>#REF!</v>
      </c>
      <c r="HN23" t="e">
        <f>AND(#REF!,"AAAAAH9v390=")</f>
        <v>#REF!</v>
      </c>
      <c r="HO23" t="e">
        <f>AND(#REF!,"AAAAAH9v394=")</f>
        <v>#REF!</v>
      </c>
      <c r="HP23" t="e">
        <f>AND(#REF!,"AAAAAH9v398=")</f>
        <v>#REF!</v>
      </c>
      <c r="HQ23" t="e">
        <f>AND(#REF!,"AAAAAH9v3+A=")</f>
        <v>#REF!</v>
      </c>
      <c r="HR23" t="e">
        <f>AND(#REF!,"AAAAAH9v3+E=")</f>
        <v>#REF!</v>
      </c>
      <c r="HS23" t="e">
        <f>AND(#REF!,"AAAAAH9v3+I=")</f>
        <v>#REF!</v>
      </c>
      <c r="HT23" t="e">
        <f>AND(#REF!,"AAAAAH9v3+M=")</f>
        <v>#REF!</v>
      </c>
      <c r="HU23" t="e">
        <f>AND(#REF!,"AAAAAH9v3+Q=")</f>
        <v>#REF!</v>
      </c>
      <c r="HV23" t="e">
        <f>AND(#REF!,"AAAAAH9v3+U=")</f>
        <v>#REF!</v>
      </c>
      <c r="HW23" t="e">
        <f>AND(#REF!,"AAAAAH9v3+Y=")</f>
        <v>#REF!</v>
      </c>
      <c r="HX23" t="e">
        <f>AND(#REF!,"AAAAAH9v3+c=")</f>
        <v>#REF!</v>
      </c>
      <c r="HY23" t="e">
        <f>AND(#REF!,"AAAAAH9v3+g=")</f>
        <v>#REF!</v>
      </c>
      <c r="HZ23" t="e">
        <f>AND(#REF!,"AAAAAH9v3+k=")</f>
        <v>#REF!</v>
      </c>
      <c r="IA23" t="e">
        <f>AND(#REF!,"AAAAAH9v3+o=")</f>
        <v>#REF!</v>
      </c>
      <c r="IB23" t="e">
        <f>AND(#REF!,"AAAAAH9v3+s=")</f>
        <v>#REF!</v>
      </c>
      <c r="IC23" t="e">
        <f>AND(#REF!,"AAAAAH9v3+w=")</f>
        <v>#REF!</v>
      </c>
      <c r="ID23" t="e">
        <f>AND(#REF!,"AAAAAH9v3+0=")</f>
        <v>#REF!</v>
      </c>
      <c r="IE23" t="e">
        <f>AND(#REF!,"AAAAAH9v3+4=")</f>
        <v>#REF!</v>
      </c>
      <c r="IF23" t="e">
        <f>AND(#REF!,"AAAAAH9v3+8=")</f>
        <v>#REF!</v>
      </c>
      <c r="IG23" t="e">
        <f>AND(#REF!,"AAAAAH9v3/A=")</f>
        <v>#REF!</v>
      </c>
      <c r="IH23" t="e">
        <f>AND(#REF!,"AAAAAH9v3/E=")</f>
        <v>#REF!</v>
      </c>
      <c r="II23" t="e">
        <f>AND(#REF!,"AAAAAH9v3/I=")</f>
        <v>#REF!</v>
      </c>
      <c r="IJ23" t="e">
        <f>AND(#REF!,"AAAAAH9v3/M=")</f>
        <v>#REF!</v>
      </c>
      <c r="IK23" t="e">
        <f>AND(#REF!,"AAAAAH9v3/Q=")</f>
        <v>#REF!</v>
      </c>
      <c r="IL23" t="e">
        <f>AND(#REF!,"AAAAAH9v3/U=")</f>
        <v>#REF!</v>
      </c>
      <c r="IM23" t="e">
        <f>AND(#REF!,"AAAAAH9v3/Y=")</f>
        <v>#REF!</v>
      </c>
      <c r="IN23" t="e">
        <f>AND(#REF!,"AAAAAH9v3/c=")</f>
        <v>#REF!</v>
      </c>
      <c r="IO23" t="e">
        <f>AND(#REF!,"AAAAAH9v3/g=")</f>
        <v>#REF!</v>
      </c>
      <c r="IP23" t="e">
        <f>AND(#REF!,"AAAAAH9v3/k=")</f>
        <v>#REF!</v>
      </c>
      <c r="IQ23" t="e">
        <f>AND(#REF!,"AAAAAH9v3/o=")</f>
        <v>#REF!</v>
      </c>
      <c r="IR23" t="e">
        <f>AND(#REF!,"AAAAAH9v3/s=")</f>
        <v>#REF!</v>
      </c>
      <c r="IS23" t="e">
        <f>AND(#REF!,"AAAAAH9v3/w=")</f>
        <v>#REF!</v>
      </c>
      <c r="IT23" t="e">
        <f>AND(#REF!,"AAAAAH9v3/0=")</f>
        <v>#REF!</v>
      </c>
      <c r="IU23" t="e">
        <f>AND(#REF!,"AAAAAH9v3/4=")</f>
        <v>#REF!</v>
      </c>
      <c r="IV23" t="e">
        <f>AND(#REF!,"AAAAAH9v3/8=")</f>
        <v>#REF!</v>
      </c>
    </row>
    <row r="24" spans="1:256">
      <c r="A24" t="e">
        <f>AND(#REF!,"AAAAAH331wA=")</f>
        <v>#REF!</v>
      </c>
      <c r="B24" t="e">
        <f>AND(#REF!,"AAAAAH331wE=")</f>
        <v>#REF!</v>
      </c>
      <c r="C24" t="e">
        <f>AND(#REF!,"AAAAAH331wI=")</f>
        <v>#REF!</v>
      </c>
      <c r="D24" t="e">
        <f>AND(#REF!,"AAAAAH331wM=")</f>
        <v>#REF!</v>
      </c>
      <c r="E24" t="e">
        <f>AND(#REF!,"AAAAAH331wQ=")</f>
        <v>#REF!</v>
      </c>
      <c r="F24" t="e">
        <f>AND(#REF!,"AAAAAH331wU=")</f>
        <v>#REF!</v>
      </c>
      <c r="G24" t="e">
        <f>AND(#REF!,"AAAAAH331wY=")</f>
        <v>#REF!</v>
      </c>
      <c r="H24" t="e">
        <f>AND(#REF!,"AAAAAH331wc=")</f>
        <v>#REF!</v>
      </c>
      <c r="I24" t="e">
        <f>AND(#REF!,"AAAAAH331wg=")</f>
        <v>#REF!</v>
      </c>
      <c r="J24" t="e">
        <f>AND(#REF!,"AAAAAH331wk=")</f>
        <v>#REF!</v>
      </c>
      <c r="K24" t="e">
        <f>AND(#REF!,"AAAAAH331wo=")</f>
        <v>#REF!</v>
      </c>
      <c r="L24" t="e">
        <f>AND(#REF!,"AAAAAH331ws=")</f>
        <v>#REF!</v>
      </c>
      <c r="M24" t="e">
        <f>AND(#REF!,"AAAAAH331ww=")</f>
        <v>#REF!</v>
      </c>
      <c r="N24" t="e">
        <f>AND(#REF!,"AAAAAH331w0=")</f>
        <v>#REF!</v>
      </c>
      <c r="O24" t="e">
        <f>AND(#REF!,"AAAAAH331w4=")</f>
        <v>#REF!</v>
      </c>
      <c r="P24" t="e">
        <f>AND(#REF!,"AAAAAH331w8=")</f>
        <v>#REF!</v>
      </c>
      <c r="Q24" t="e">
        <f>AND(#REF!,"AAAAAH331xA=")</f>
        <v>#REF!</v>
      </c>
      <c r="R24" t="e">
        <f>AND(#REF!,"AAAAAH331xE=")</f>
        <v>#REF!</v>
      </c>
      <c r="S24" t="e">
        <f>AND(#REF!,"AAAAAH331xI=")</f>
        <v>#REF!</v>
      </c>
      <c r="T24" t="e">
        <f>AND(#REF!,"AAAAAH331xM=")</f>
        <v>#REF!</v>
      </c>
      <c r="U24" t="e">
        <f>AND(#REF!,"AAAAAH331xQ=")</f>
        <v>#REF!</v>
      </c>
      <c r="V24" t="e">
        <f>AND(#REF!,"AAAAAH331xU=")</f>
        <v>#REF!</v>
      </c>
      <c r="W24" t="e">
        <f>AND(#REF!,"AAAAAH331xY=")</f>
        <v>#REF!</v>
      </c>
      <c r="X24" t="e">
        <f>AND(#REF!,"AAAAAH331xc=")</f>
        <v>#REF!</v>
      </c>
      <c r="Y24" t="e">
        <f>AND(#REF!,"AAAAAH331xg=")</f>
        <v>#REF!</v>
      </c>
      <c r="Z24" t="e">
        <f>AND(#REF!,"AAAAAH331xk=")</f>
        <v>#REF!</v>
      </c>
      <c r="AA24" t="e">
        <f>AND(#REF!,"AAAAAH331xo=")</f>
        <v>#REF!</v>
      </c>
      <c r="AB24" t="e">
        <f>AND(#REF!,"AAAAAH331xs=")</f>
        <v>#REF!</v>
      </c>
      <c r="AC24" t="e">
        <f>AND(#REF!,"AAAAAH331xw=")</f>
        <v>#REF!</v>
      </c>
      <c r="AD24" t="e">
        <f>AND(#REF!,"AAAAAH331x0=")</f>
        <v>#REF!</v>
      </c>
      <c r="AE24" t="e">
        <f>AND(#REF!,"AAAAAH331x4=")</f>
        <v>#REF!</v>
      </c>
      <c r="AF24" t="e">
        <f>AND(#REF!,"AAAAAH331x8=")</f>
        <v>#REF!</v>
      </c>
      <c r="AG24" t="e">
        <f>AND(#REF!,"AAAAAH331yA=")</f>
        <v>#REF!</v>
      </c>
      <c r="AH24" t="e">
        <f>AND(#REF!,"AAAAAH331yE=")</f>
        <v>#REF!</v>
      </c>
      <c r="AI24" t="e">
        <f>AND(#REF!,"AAAAAH331yI=")</f>
        <v>#REF!</v>
      </c>
      <c r="AJ24" t="e">
        <f>AND(#REF!,"AAAAAH331yM=")</f>
        <v>#REF!</v>
      </c>
      <c r="AK24" t="e">
        <f>AND(#REF!,"AAAAAH331yQ=")</f>
        <v>#REF!</v>
      </c>
      <c r="AL24" t="e">
        <f>AND(#REF!,"AAAAAH331yU=")</f>
        <v>#REF!</v>
      </c>
      <c r="AM24" t="e">
        <f>AND(#REF!,"AAAAAH331yY=")</f>
        <v>#REF!</v>
      </c>
      <c r="AN24" t="e">
        <f>AND(#REF!,"AAAAAH331yc=")</f>
        <v>#REF!</v>
      </c>
      <c r="AO24" t="e">
        <f>AND(#REF!,"AAAAAH331yg=")</f>
        <v>#REF!</v>
      </c>
      <c r="AP24" t="e">
        <f>AND(#REF!,"AAAAAH331yk=")</f>
        <v>#REF!</v>
      </c>
      <c r="AQ24" t="e">
        <f>AND(#REF!,"AAAAAH331yo=")</f>
        <v>#REF!</v>
      </c>
      <c r="AR24" t="e">
        <f>AND(#REF!,"AAAAAH331ys=")</f>
        <v>#REF!</v>
      </c>
      <c r="AS24" t="e">
        <f>AND(#REF!,"AAAAAH331yw=")</f>
        <v>#REF!</v>
      </c>
      <c r="AT24" t="e">
        <f>AND(#REF!,"AAAAAH331y0=")</f>
        <v>#REF!</v>
      </c>
      <c r="AU24" t="e">
        <f>AND(#REF!,"AAAAAH331y4=")</f>
        <v>#REF!</v>
      </c>
      <c r="AV24" t="e">
        <f>AND(#REF!,"AAAAAH331y8=")</f>
        <v>#REF!</v>
      </c>
      <c r="AW24" t="e">
        <f>AND(#REF!,"AAAAAH331zA=")</f>
        <v>#REF!</v>
      </c>
      <c r="AX24" t="e">
        <f>AND(#REF!,"AAAAAH331zE=")</f>
        <v>#REF!</v>
      </c>
      <c r="AY24" t="e">
        <f>AND(#REF!,"AAAAAH331zI=")</f>
        <v>#REF!</v>
      </c>
      <c r="AZ24" t="e">
        <f>AND(#REF!,"AAAAAH331zM=")</f>
        <v>#REF!</v>
      </c>
      <c r="BA24" t="e">
        <f>AND(#REF!,"AAAAAH331zQ=")</f>
        <v>#REF!</v>
      </c>
      <c r="BB24" t="e">
        <f>AND(#REF!,"AAAAAH331zU=")</f>
        <v>#REF!</v>
      </c>
      <c r="BC24" t="e">
        <f>AND(#REF!,"AAAAAH331zY=")</f>
        <v>#REF!</v>
      </c>
      <c r="BD24" t="e">
        <f>AND(#REF!,"AAAAAH331zc=")</f>
        <v>#REF!</v>
      </c>
      <c r="BE24" t="e">
        <f>AND(#REF!,"AAAAAH331zg=")</f>
        <v>#REF!</v>
      </c>
      <c r="BF24" t="e">
        <f>AND(#REF!,"AAAAAH331zk=")</f>
        <v>#REF!</v>
      </c>
      <c r="BG24" t="e">
        <f>AND(#REF!,"AAAAAH331zo=")</f>
        <v>#REF!</v>
      </c>
      <c r="BH24" t="e">
        <f>AND(#REF!,"AAAAAH331zs=")</f>
        <v>#REF!</v>
      </c>
      <c r="BI24" t="e">
        <f>AND(#REF!,"AAAAAH331zw=")</f>
        <v>#REF!</v>
      </c>
      <c r="BJ24" t="e">
        <f>AND(#REF!,"AAAAAH331z0=")</f>
        <v>#REF!</v>
      </c>
      <c r="BK24" t="e">
        <f>AND(#REF!,"AAAAAH331z4=")</f>
        <v>#REF!</v>
      </c>
      <c r="BL24" t="e">
        <f>AND(#REF!,"AAAAAH331z8=")</f>
        <v>#REF!</v>
      </c>
      <c r="BM24" t="e">
        <f>AND(#REF!,"AAAAAH3310A=")</f>
        <v>#REF!</v>
      </c>
      <c r="BN24" t="e">
        <f>AND(#REF!,"AAAAAH3310E=")</f>
        <v>#REF!</v>
      </c>
      <c r="BO24" t="e">
        <f>AND(#REF!,"AAAAAH3310I=")</f>
        <v>#REF!</v>
      </c>
      <c r="BP24" t="e">
        <f>AND(#REF!,"AAAAAH3310M=")</f>
        <v>#REF!</v>
      </c>
      <c r="BQ24" t="e">
        <f>AND(#REF!,"AAAAAH3310Q=")</f>
        <v>#REF!</v>
      </c>
      <c r="BR24" t="e">
        <f>AND(#REF!,"AAAAAH3310U=")</f>
        <v>#REF!</v>
      </c>
      <c r="BS24" t="e">
        <f>AND(#REF!,"AAAAAH3310Y=")</f>
        <v>#REF!</v>
      </c>
      <c r="BT24" t="e">
        <f>AND(#REF!,"AAAAAH3310c=")</f>
        <v>#REF!</v>
      </c>
      <c r="BU24" t="e">
        <f>AND(#REF!,"AAAAAH3310g=")</f>
        <v>#REF!</v>
      </c>
      <c r="BV24" t="e">
        <f>AND(#REF!,"AAAAAH3310k=")</f>
        <v>#REF!</v>
      </c>
      <c r="BW24" t="e">
        <f>AND(#REF!,"AAAAAH3310o=")</f>
        <v>#REF!</v>
      </c>
      <c r="BX24" t="e">
        <f>AND(#REF!,"AAAAAH3310s=")</f>
        <v>#REF!</v>
      </c>
      <c r="BY24" t="e">
        <f>AND(#REF!,"AAAAAH3310w=")</f>
        <v>#REF!</v>
      </c>
      <c r="BZ24" t="e">
        <f>AND(#REF!,"AAAAAH33100=")</f>
        <v>#REF!</v>
      </c>
      <c r="CA24" t="e">
        <f>AND(#REF!,"AAAAAH33104=")</f>
        <v>#REF!</v>
      </c>
      <c r="CB24" t="e">
        <f>AND(#REF!,"AAAAAH33108=")</f>
        <v>#REF!</v>
      </c>
      <c r="CC24" t="e">
        <f>AND(#REF!,"AAAAAH3311A=")</f>
        <v>#REF!</v>
      </c>
      <c r="CD24" t="e">
        <f>AND(#REF!,"AAAAAH3311E=")</f>
        <v>#REF!</v>
      </c>
      <c r="CE24" t="e">
        <f>AND(#REF!,"AAAAAH3311I=")</f>
        <v>#REF!</v>
      </c>
      <c r="CF24" t="e">
        <f>AND(#REF!,"AAAAAH3311M=")</f>
        <v>#REF!</v>
      </c>
      <c r="CG24" t="e">
        <f>AND(#REF!,"AAAAAH3311Q=")</f>
        <v>#REF!</v>
      </c>
      <c r="CH24" t="e">
        <f>AND(#REF!,"AAAAAH3311U=")</f>
        <v>#REF!</v>
      </c>
      <c r="CI24" t="e">
        <f>AND(#REF!,"AAAAAH3311Y=")</f>
        <v>#REF!</v>
      </c>
      <c r="CJ24" t="e">
        <f>AND(#REF!,"AAAAAH3311c=")</f>
        <v>#REF!</v>
      </c>
      <c r="CK24" t="e">
        <f>AND(#REF!,"AAAAAH3311g=")</f>
        <v>#REF!</v>
      </c>
      <c r="CL24" t="e">
        <f>AND(#REF!,"AAAAAH3311k=")</f>
        <v>#REF!</v>
      </c>
      <c r="CM24" t="e">
        <f>AND(#REF!,"AAAAAH3311o=")</f>
        <v>#REF!</v>
      </c>
      <c r="CN24" t="e">
        <f>AND(#REF!,"AAAAAH3311s=")</f>
        <v>#REF!</v>
      </c>
      <c r="CO24" t="e">
        <f>AND(#REF!,"AAAAAH3311w=")</f>
        <v>#REF!</v>
      </c>
      <c r="CP24" t="e">
        <f>AND(#REF!,"AAAAAH33110=")</f>
        <v>#REF!</v>
      </c>
      <c r="CQ24" t="e">
        <f>AND(#REF!,"AAAAAH33114=")</f>
        <v>#REF!</v>
      </c>
      <c r="CR24" t="e">
        <f>AND(#REF!,"AAAAAH33118=")</f>
        <v>#REF!</v>
      </c>
      <c r="CS24" t="e">
        <f>AND(#REF!,"AAAAAH3312A=")</f>
        <v>#REF!</v>
      </c>
      <c r="CT24" t="e">
        <f>AND(#REF!,"AAAAAH3312E=")</f>
        <v>#REF!</v>
      </c>
      <c r="CU24" t="e">
        <f>AND(#REF!,"AAAAAH3312I=")</f>
        <v>#REF!</v>
      </c>
      <c r="CV24" t="e">
        <f>AND(#REF!,"AAAAAH3312M=")</f>
        <v>#REF!</v>
      </c>
      <c r="CW24" t="e">
        <f>AND(#REF!,"AAAAAH3312Q=")</f>
        <v>#REF!</v>
      </c>
      <c r="CX24" t="e">
        <f>AND(#REF!,"AAAAAH3312U=")</f>
        <v>#REF!</v>
      </c>
      <c r="CY24" t="e">
        <f>AND(#REF!,"AAAAAH3312Y=")</f>
        <v>#REF!</v>
      </c>
      <c r="CZ24" t="e">
        <f>AND(#REF!,"AAAAAH3312c=")</f>
        <v>#REF!</v>
      </c>
      <c r="DA24" t="e">
        <f>AND(#REF!,"AAAAAH3312g=")</f>
        <v>#REF!</v>
      </c>
      <c r="DB24" t="e">
        <f>AND(#REF!,"AAAAAH3312k=")</f>
        <v>#REF!</v>
      </c>
      <c r="DC24" t="e">
        <f>AND(#REF!,"AAAAAH3312o=")</f>
        <v>#REF!</v>
      </c>
      <c r="DD24" t="e">
        <f>AND(#REF!,"AAAAAH3312s=")</f>
        <v>#REF!</v>
      </c>
      <c r="DE24" t="e">
        <f>AND(#REF!,"AAAAAH3312w=")</f>
        <v>#REF!</v>
      </c>
      <c r="DF24" t="e">
        <f>AND(#REF!,"AAAAAH33120=")</f>
        <v>#REF!</v>
      </c>
      <c r="DG24" t="e">
        <f>AND(#REF!,"AAAAAH33124=")</f>
        <v>#REF!</v>
      </c>
      <c r="DH24" t="e">
        <f>AND(#REF!,"AAAAAH33128=")</f>
        <v>#REF!</v>
      </c>
      <c r="DI24" t="e">
        <f>AND(#REF!,"AAAAAH3313A=")</f>
        <v>#REF!</v>
      </c>
      <c r="DJ24" t="e">
        <f>AND(#REF!,"AAAAAH3313E=")</f>
        <v>#REF!</v>
      </c>
      <c r="DK24" t="e">
        <f>AND(#REF!,"AAAAAH3313I=")</f>
        <v>#REF!</v>
      </c>
      <c r="DL24" t="e">
        <f>AND(#REF!,"AAAAAH3313M=")</f>
        <v>#REF!</v>
      </c>
      <c r="DM24" t="e">
        <f>AND(#REF!,"AAAAAH3313Q=")</f>
        <v>#REF!</v>
      </c>
      <c r="DN24" t="e">
        <f>AND(#REF!,"AAAAAH3313U=")</f>
        <v>#REF!</v>
      </c>
      <c r="DO24" t="e">
        <f>AND(#REF!,"AAAAAH3313Y=")</f>
        <v>#REF!</v>
      </c>
      <c r="DP24" t="e">
        <f>AND(#REF!,"AAAAAH3313c=")</f>
        <v>#REF!</v>
      </c>
      <c r="DQ24" t="e">
        <f>AND(#REF!,"AAAAAH3313g=")</f>
        <v>#REF!</v>
      </c>
      <c r="DR24" t="e">
        <f>AND(#REF!,"AAAAAH3313k=")</f>
        <v>#REF!</v>
      </c>
      <c r="DS24" t="e">
        <f>AND(#REF!,"AAAAAH3313o=")</f>
        <v>#REF!</v>
      </c>
      <c r="DT24" t="e">
        <f>AND(#REF!,"AAAAAH3313s=")</f>
        <v>#REF!</v>
      </c>
      <c r="DU24" t="e">
        <f>AND(#REF!,"AAAAAH3313w=")</f>
        <v>#REF!</v>
      </c>
      <c r="DV24" t="e">
        <f>AND(#REF!,"AAAAAH33130=")</f>
        <v>#REF!</v>
      </c>
      <c r="DW24" t="e">
        <f>AND(#REF!,"AAAAAH33134=")</f>
        <v>#REF!</v>
      </c>
      <c r="DX24" t="e">
        <f>AND(#REF!,"AAAAAH33138=")</f>
        <v>#REF!</v>
      </c>
      <c r="DY24" t="e">
        <f>AND(#REF!,"AAAAAH3314A=")</f>
        <v>#REF!</v>
      </c>
      <c r="DZ24" t="e">
        <f>AND(#REF!,"AAAAAH3314E=")</f>
        <v>#REF!</v>
      </c>
      <c r="EA24" t="e">
        <f>AND(#REF!,"AAAAAH3314I=")</f>
        <v>#REF!</v>
      </c>
      <c r="EB24" t="e">
        <f>AND(#REF!,"AAAAAH3314M=")</f>
        <v>#REF!</v>
      </c>
      <c r="EC24" t="e">
        <f>AND(#REF!,"AAAAAH3314Q=")</f>
        <v>#REF!</v>
      </c>
      <c r="ED24" t="e">
        <f>AND(#REF!,"AAAAAH3314U=")</f>
        <v>#REF!</v>
      </c>
      <c r="EE24" t="e">
        <f>AND(#REF!,"AAAAAH3314Y=")</f>
        <v>#REF!</v>
      </c>
      <c r="EF24" t="e">
        <f>AND(#REF!,"AAAAAH3314c=")</f>
        <v>#REF!</v>
      </c>
      <c r="EG24" t="e">
        <f>AND(#REF!,"AAAAAH3314g=")</f>
        <v>#REF!</v>
      </c>
      <c r="EH24" t="e">
        <f>AND(#REF!,"AAAAAH3314k=")</f>
        <v>#REF!</v>
      </c>
      <c r="EI24" t="e">
        <f>AND(#REF!,"AAAAAH3314o=")</f>
        <v>#REF!</v>
      </c>
      <c r="EJ24" t="e">
        <f>AND(#REF!,"AAAAAH3314s=")</f>
        <v>#REF!</v>
      </c>
      <c r="EK24" t="e">
        <f>AND(#REF!,"AAAAAH3314w=")</f>
        <v>#REF!</v>
      </c>
      <c r="EL24" t="e">
        <f>AND(#REF!,"AAAAAH33140=")</f>
        <v>#REF!</v>
      </c>
      <c r="EM24" t="e">
        <f>AND(#REF!,"AAAAAH33144=")</f>
        <v>#REF!</v>
      </c>
      <c r="EN24" t="e">
        <f>AND(#REF!,"AAAAAH33148=")</f>
        <v>#REF!</v>
      </c>
      <c r="EO24" t="e">
        <f>AND(#REF!,"AAAAAH3315A=")</f>
        <v>#REF!</v>
      </c>
      <c r="EP24" t="e">
        <f>AND(#REF!,"AAAAAH3315E=")</f>
        <v>#REF!</v>
      </c>
      <c r="EQ24" t="e">
        <f>AND(#REF!,"AAAAAH3315I=")</f>
        <v>#REF!</v>
      </c>
      <c r="ER24" t="e">
        <f>AND(#REF!,"AAAAAH3315M=")</f>
        <v>#REF!</v>
      </c>
      <c r="ES24" t="e">
        <f>AND(#REF!,"AAAAAH3315Q=")</f>
        <v>#REF!</v>
      </c>
      <c r="ET24" t="e">
        <f>AND(#REF!,"AAAAAH3315U=")</f>
        <v>#REF!</v>
      </c>
      <c r="EU24" t="e">
        <f>AND(#REF!,"AAAAAH3315Y=")</f>
        <v>#REF!</v>
      </c>
      <c r="EV24" t="e">
        <f>AND(#REF!,"AAAAAH3315c=")</f>
        <v>#REF!</v>
      </c>
      <c r="EW24" t="e">
        <f>AND(#REF!,"AAAAAH3315g=")</f>
        <v>#REF!</v>
      </c>
      <c r="EX24" t="e">
        <f>AND(#REF!,"AAAAAH3315k=")</f>
        <v>#REF!</v>
      </c>
      <c r="EY24" t="e">
        <f>AND(#REF!,"AAAAAH3315o=")</f>
        <v>#REF!</v>
      </c>
      <c r="EZ24" t="e">
        <f>AND(#REF!,"AAAAAH3315s=")</f>
        <v>#REF!</v>
      </c>
      <c r="FA24" t="e">
        <f>AND(#REF!,"AAAAAH3315w=")</f>
        <v>#REF!</v>
      </c>
      <c r="FB24" t="e">
        <f>AND(#REF!,"AAAAAH33150=")</f>
        <v>#REF!</v>
      </c>
      <c r="FC24" t="e">
        <f>AND(#REF!,"AAAAAH33154=")</f>
        <v>#REF!</v>
      </c>
      <c r="FD24" t="e">
        <f>AND(#REF!,"AAAAAH33158=")</f>
        <v>#REF!</v>
      </c>
      <c r="FE24" t="e">
        <f>AND(#REF!,"AAAAAH3316A=")</f>
        <v>#REF!</v>
      </c>
      <c r="FF24" t="e">
        <f>AND(#REF!,"AAAAAH3316E=")</f>
        <v>#REF!</v>
      </c>
      <c r="FG24" t="e">
        <f>AND(#REF!,"AAAAAH3316I=")</f>
        <v>#REF!</v>
      </c>
      <c r="FH24" t="e">
        <f>AND(#REF!,"AAAAAH3316M=")</f>
        <v>#REF!</v>
      </c>
      <c r="FI24" t="e">
        <f>AND(#REF!,"AAAAAH3316Q=")</f>
        <v>#REF!</v>
      </c>
      <c r="FJ24" t="e">
        <f>AND(#REF!,"AAAAAH3316U=")</f>
        <v>#REF!</v>
      </c>
      <c r="FK24" t="e">
        <f>AND(#REF!,"AAAAAH3316Y=")</f>
        <v>#REF!</v>
      </c>
      <c r="FL24" t="e">
        <f>AND(#REF!,"AAAAAH3316c=")</f>
        <v>#REF!</v>
      </c>
      <c r="FM24" t="e">
        <f>AND(#REF!,"AAAAAH3316g=")</f>
        <v>#REF!</v>
      </c>
      <c r="FN24" t="e">
        <f>AND(#REF!,"AAAAAH3316k=")</f>
        <v>#REF!</v>
      </c>
      <c r="FO24" t="e">
        <f>AND(#REF!,"AAAAAH3316o=")</f>
        <v>#REF!</v>
      </c>
      <c r="FP24" t="e">
        <f>AND(#REF!,"AAAAAH3316s=")</f>
        <v>#REF!</v>
      </c>
      <c r="FQ24" t="e">
        <f>AND(#REF!,"AAAAAH3316w=")</f>
        <v>#REF!</v>
      </c>
      <c r="FR24" t="e">
        <f>AND(#REF!,"AAAAAH33160=")</f>
        <v>#REF!</v>
      </c>
      <c r="FS24" t="e">
        <f>AND(#REF!,"AAAAAH33164=")</f>
        <v>#REF!</v>
      </c>
      <c r="FT24" t="e">
        <f>AND(#REF!,"AAAAAH33168=")</f>
        <v>#REF!</v>
      </c>
      <c r="FU24" t="e">
        <f>AND(#REF!,"AAAAAH3317A=")</f>
        <v>#REF!</v>
      </c>
      <c r="FV24" t="e">
        <f>AND(#REF!,"AAAAAH3317E=")</f>
        <v>#REF!</v>
      </c>
      <c r="FW24" t="e">
        <f>AND(#REF!,"AAAAAH3317I=")</f>
        <v>#REF!</v>
      </c>
      <c r="FX24" t="e">
        <f>AND(#REF!,"AAAAAH3317M=")</f>
        <v>#REF!</v>
      </c>
      <c r="FY24" t="e">
        <f>AND(#REF!,"AAAAAH3317Q=")</f>
        <v>#REF!</v>
      </c>
      <c r="FZ24" t="e">
        <f>AND(#REF!,"AAAAAH3317U=")</f>
        <v>#REF!</v>
      </c>
      <c r="GA24" t="e">
        <f>AND(#REF!,"AAAAAH3317Y=")</f>
        <v>#REF!</v>
      </c>
      <c r="GB24" t="e">
        <f>AND(#REF!,"AAAAAH3317c=")</f>
        <v>#REF!</v>
      </c>
      <c r="GC24" t="e">
        <f>AND(#REF!,"AAAAAH3317g=")</f>
        <v>#REF!</v>
      </c>
      <c r="GD24" t="e">
        <f>AND(#REF!,"AAAAAH3317k=")</f>
        <v>#REF!</v>
      </c>
      <c r="GE24" t="e">
        <f>AND(#REF!,"AAAAAH3317o=")</f>
        <v>#REF!</v>
      </c>
      <c r="GF24" t="e">
        <f>AND(#REF!,"AAAAAH3317s=")</f>
        <v>#REF!</v>
      </c>
      <c r="GG24" t="e">
        <f>AND(#REF!,"AAAAAH3317w=")</f>
        <v>#REF!</v>
      </c>
      <c r="GH24" t="e">
        <f>AND(#REF!,"AAAAAH33170=")</f>
        <v>#REF!</v>
      </c>
      <c r="GI24" t="e">
        <f>AND(#REF!,"AAAAAH33174=")</f>
        <v>#REF!</v>
      </c>
      <c r="GJ24" t="e">
        <f>AND(#REF!,"AAAAAH33178=")</f>
        <v>#REF!</v>
      </c>
      <c r="GK24" t="e">
        <f>AND(#REF!,"AAAAAH3318A=")</f>
        <v>#REF!</v>
      </c>
      <c r="GL24" t="e">
        <f>AND(#REF!,"AAAAAH3318E=")</f>
        <v>#REF!</v>
      </c>
      <c r="GM24" t="e">
        <f>AND(#REF!,"AAAAAH3318I=")</f>
        <v>#REF!</v>
      </c>
      <c r="GN24" t="e">
        <f>AND(#REF!,"AAAAAH3318M=")</f>
        <v>#REF!</v>
      </c>
      <c r="GO24" t="e">
        <f>AND(#REF!,"AAAAAH3318Q=")</f>
        <v>#REF!</v>
      </c>
      <c r="GP24" t="e">
        <f>AND(#REF!,"AAAAAH3318U=")</f>
        <v>#REF!</v>
      </c>
      <c r="GQ24" t="e">
        <f>AND(#REF!,"AAAAAH3318Y=")</f>
        <v>#REF!</v>
      </c>
      <c r="GR24" t="e">
        <f>AND(#REF!,"AAAAAH3318c=")</f>
        <v>#REF!</v>
      </c>
      <c r="GS24" t="e">
        <f>AND(#REF!,"AAAAAH3318g=")</f>
        <v>#REF!</v>
      </c>
      <c r="GT24" t="e">
        <f>AND(#REF!,"AAAAAH3318k=")</f>
        <v>#REF!</v>
      </c>
      <c r="GU24" t="e">
        <f>AND(#REF!,"AAAAAH3318o=")</f>
        <v>#REF!</v>
      </c>
      <c r="GV24" t="e">
        <f>AND(#REF!,"AAAAAH3318s=")</f>
        <v>#REF!</v>
      </c>
      <c r="GW24" t="e">
        <f>AND(#REF!,"AAAAAH3318w=")</f>
        <v>#REF!</v>
      </c>
      <c r="GX24" t="e">
        <f>AND(#REF!,"AAAAAH33180=")</f>
        <v>#REF!</v>
      </c>
      <c r="GY24" t="e">
        <f>AND(#REF!,"AAAAAH33184=")</f>
        <v>#REF!</v>
      </c>
      <c r="GZ24" t="e">
        <f>AND(#REF!,"AAAAAH33188=")</f>
        <v>#REF!</v>
      </c>
      <c r="HA24" t="e">
        <f>AND(#REF!,"AAAAAH3319A=")</f>
        <v>#REF!</v>
      </c>
      <c r="HB24" t="e">
        <f>AND(#REF!,"AAAAAH3319E=")</f>
        <v>#REF!</v>
      </c>
      <c r="HC24" t="e">
        <f>AND(#REF!,"AAAAAH3319I=")</f>
        <v>#REF!</v>
      </c>
      <c r="HD24" t="e">
        <f>AND(#REF!,"AAAAAH3319M=")</f>
        <v>#REF!</v>
      </c>
      <c r="HE24" t="e">
        <f>AND(#REF!,"AAAAAH3319Q=")</f>
        <v>#REF!</v>
      </c>
      <c r="HF24" t="e">
        <f>AND(#REF!,"AAAAAH3319U=")</f>
        <v>#REF!</v>
      </c>
      <c r="HG24" t="e">
        <f>AND(#REF!,"AAAAAH3319Y=")</f>
        <v>#REF!</v>
      </c>
      <c r="HH24" t="e">
        <f>AND(#REF!,"AAAAAH3319c=")</f>
        <v>#REF!</v>
      </c>
      <c r="HI24" t="e">
        <f>AND(#REF!,"AAAAAH3319g=")</f>
        <v>#REF!</v>
      </c>
      <c r="HJ24" t="e">
        <f>AND(#REF!,"AAAAAH3319k=")</f>
        <v>#REF!</v>
      </c>
      <c r="HK24" t="e">
        <f>AND(#REF!,"AAAAAH3319o=")</f>
        <v>#REF!</v>
      </c>
      <c r="HL24" t="e">
        <f>AND(#REF!,"AAAAAH3319s=")</f>
        <v>#REF!</v>
      </c>
      <c r="HM24" t="e">
        <f>AND(#REF!,"AAAAAH3319w=")</f>
        <v>#REF!</v>
      </c>
      <c r="HN24" t="e">
        <f>AND(#REF!,"AAAAAH33190=")</f>
        <v>#REF!</v>
      </c>
      <c r="HO24" t="e">
        <f>AND(#REF!,"AAAAAH33194=")</f>
        <v>#REF!</v>
      </c>
      <c r="HP24" t="e">
        <f>AND(#REF!,"AAAAAH33198=")</f>
        <v>#REF!</v>
      </c>
      <c r="HQ24" t="e">
        <f>AND(#REF!,"AAAAAH331+A=")</f>
        <v>#REF!</v>
      </c>
      <c r="HR24" t="e">
        <f>AND(#REF!,"AAAAAH331+E=")</f>
        <v>#REF!</v>
      </c>
      <c r="HS24" t="e">
        <f>AND(#REF!,"AAAAAH331+I=")</f>
        <v>#REF!</v>
      </c>
      <c r="HT24" t="e">
        <f>AND(#REF!,"AAAAAH331+M=")</f>
        <v>#REF!</v>
      </c>
      <c r="HU24" t="e">
        <f>AND(#REF!,"AAAAAH331+Q=")</f>
        <v>#REF!</v>
      </c>
      <c r="HV24" t="e">
        <f>AND(#REF!,"AAAAAH331+U=")</f>
        <v>#REF!</v>
      </c>
      <c r="HW24" t="e">
        <f>AND(#REF!,"AAAAAH331+Y=")</f>
        <v>#REF!</v>
      </c>
      <c r="HX24" t="e">
        <f>AND(#REF!,"AAAAAH331+c=")</f>
        <v>#REF!</v>
      </c>
      <c r="HY24" t="e">
        <f>AND(#REF!,"AAAAAH331+g=")</f>
        <v>#REF!</v>
      </c>
      <c r="HZ24" t="e">
        <f>AND(#REF!,"AAAAAH331+k=")</f>
        <v>#REF!</v>
      </c>
      <c r="IA24" t="e">
        <f>AND(#REF!,"AAAAAH331+o=")</f>
        <v>#REF!</v>
      </c>
      <c r="IB24" t="e">
        <f>AND(#REF!,"AAAAAH331+s=")</f>
        <v>#REF!</v>
      </c>
      <c r="IC24" t="e">
        <f>AND(#REF!,"AAAAAH331+w=")</f>
        <v>#REF!</v>
      </c>
      <c r="ID24" t="e">
        <f>AND(#REF!,"AAAAAH331+0=")</f>
        <v>#REF!</v>
      </c>
      <c r="IE24" t="e">
        <f>AND(#REF!,"AAAAAH331+4=")</f>
        <v>#REF!</v>
      </c>
      <c r="IF24" t="e">
        <f>AND(#REF!,"AAAAAH331+8=")</f>
        <v>#REF!</v>
      </c>
      <c r="IG24" t="e">
        <f>AND(#REF!,"AAAAAH331/A=")</f>
        <v>#REF!</v>
      </c>
      <c r="IH24" t="e">
        <f>AND(#REF!,"AAAAAH331/E=")</f>
        <v>#REF!</v>
      </c>
      <c r="II24" t="e">
        <f>AND(#REF!,"AAAAAH331/I=")</f>
        <v>#REF!</v>
      </c>
      <c r="IJ24" t="e">
        <f>AND(#REF!,"AAAAAH331/M=")</f>
        <v>#REF!</v>
      </c>
      <c r="IK24" t="e">
        <f>AND(#REF!,"AAAAAH331/Q=")</f>
        <v>#REF!</v>
      </c>
      <c r="IL24" t="e">
        <f>AND(#REF!,"AAAAAH331/U=")</f>
        <v>#REF!</v>
      </c>
      <c r="IM24" t="e">
        <f>AND(#REF!,"AAAAAH331/Y=")</f>
        <v>#REF!</v>
      </c>
      <c r="IN24" t="e">
        <f>AND(#REF!,"AAAAAH331/c=")</f>
        <v>#REF!</v>
      </c>
      <c r="IO24" t="e">
        <f>AND(#REF!,"AAAAAH331/g=")</f>
        <v>#REF!</v>
      </c>
      <c r="IP24" t="e">
        <f>AND(#REF!,"AAAAAH331/k=")</f>
        <v>#REF!</v>
      </c>
      <c r="IQ24" t="e">
        <f>AND(#REF!,"AAAAAH331/o=")</f>
        <v>#REF!</v>
      </c>
      <c r="IR24" t="e">
        <f>AND(#REF!,"AAAAAH331/s=")</f>
        <v>#REF!</v>
      </c>
      <c r="IS24" t="e">
        <f>AND(#REF!,"AAAAAH331/w=")</f>
        <v>#REF!</v>
      </c>
      <c r="IT24" t="e">
        <f>AND(#REF!,"AAAAAH331/0=")</f>
        <v>#REF!</v>
      </c>
      <c r="IU24" t="e">
        <f>AND(#REF!,"AAAAAH331/4=")</f>
        <v>#REF!</v>
      </c>
      <c r="IV24" t="e">
        <f>AND(#REF!,"AAAAAH331/8=")</f>
        <v>#REF!</v>
      </c>
    </row>
    <row r="25" spans="1:256">
      <c r="A25" t="e">
        <f>AND(#REF!,"AAAAAHrm6wA=")</f>
        <v>#REF!</v>
      </c>
      <c r="B25" t="e">
        <f>AND(#REF!,"AAAAAHrm6wE=")</f>
        <v>#REF!</v>
      </c>
      <c r="C25" t="e">
        <f>AND(#REF!,"AAAAAHrm6wI=")</f>
        <v>#REF!</v>
      </c>
      <c r="D25" t="e">
        <f>AND(#REF!,"AAAAAHrm6wM=")</f>
        <v>#REF!</v>
      </c>
      <c r="E25" t="e">
        <f>AND(#REF!,"AAAAAHrm6wQ=")</f>
        <v>#REF!</v>
      </c>
      <c r="F25" t="e">
        <f>AND(#REF!,"AAAAAHrm6wU=")</f>
        <v>#REF!</v>
      </c>
      <c r="G25" t="e">
        <f>AND(#REF!,"AAAAAHrm6wY=")</f>
        <v>#REF!</v>
      </c>
      <c r="H25" t="e">
        <f>AND(#REF!,"AAAAAHrm6wc=")</f>
        <v>#REF!</v>
      </c>
      <c r="I25" t="e">
        <f>AND(#REF!,"AAAAAHrm6wg=")</f>
        <v>#REF!</v>
      </c>
      <c r="J25" t="e">
        <f>AND(#REF!,"AAAAAHrm6wk=")</f>
        <v>#REF!</v>
      </c>
      <c r="K25" t="e">
        <f>AND(#REF!,"AAAAAHrm6wo=")</f>
        <v>#REF!</v>
      </c>
      <c r="L25" t="e">
        <f>AND(#REF!,"AAAAAHrm6ws=")</f>
        <v>#REF!</v>
      </c>
      <c r="M25" t="e">
        <f>AND(#REF!,"AAAAAHrm6ww=")</f>
        <v>#REF!</v>
      </c>
      <c r="N25" t="e">
        <f>AND(#REF!,"AAAAAHrm6w0=")</f>
        <v>#REF!</v>
      </c>
      <c r="O25" t="e">
        <f>AND(#REF!,"AAAAAHrm6w4=")</f>
        <v>#REF!</v>
      </c>
      <c r="P25" t="e">
        <f>AND(#REF!,"AAAAAHrm6w8=")</f>
        <v>#REF!</v>
      </c>
      <c r="Q25" t="e">
        <f>AND(#REF!,"AAAAAHrm6xA=")</f>
        <v>#REF!</v>
      </c>
      <c r="R25" t="e">
        <f>AND(#REF!,"AAAAAHrm6xE=")</f>
        <v>#REF!</v>
      </c>
      <c r="S25" t="e">
        <f>AND(#REF!,"AAAAAHrm6xI=")</f>
        <v>#REF!</v>
      </c>
      <c r="T25" t="e">
        <f>AND(#REF!,"AAAAAHrm6xM=")</f>
        <v>#REF!</v>
      </c>
      <c r="U25" t="e">
        <f>AND(#REF!,"AAAAAHrm6xQ=")</f>
        <v>#REF!</v>
      </c>
      <c r="V25" t="e">
        <f>AND(#REF!,"AAAAAHrm6xU=")</f>
        <v>#REF!</v>
      </c>
      <c r="W25" t="e">
        <f>AND(#REF!,"AAAAAHrm6xY=")</f>
        <v>#REF!</v>
      </c>
      <c r="X25" t="e">
        <f>AND(#REF!,"AAAAAHrm6xc=")</f>
        <v>#REF!</v>
      </c>
      <c r="Y25" t="e">
        <f>AND(#REF!,"AAAAAHrm6xg=")</f>
        <v>#REF!</v>
      </c>
      <c r="Z25" t="e">
        <f>AND(#REF!,"AAAAAHrm6xk=")</f>
        <v>#REF!</v>
      </c>
      <c r="AA25" t="e">
        <f>AND(#REF!,"AAAAAHrm6xo=")</f>
        <v>#REF!</v>
      </c>
      <c r="AB25" t="e">
        <f>AND(#REF!,"AAAAAHrm6xs=")</f>
        <v>#REF!</v>
      </c>
      <c r="AC25" t="e">
        <f>AND(#REF!,"AAAAAHrm6xw=")</f>
        <v>#REF!</v>
      </c>
      <c r="AD25" t="e">
        <f>AND(#REF!,"AAAAAHrm6x0=")</f>
        <v>#REF!</v>
      </c>
      <c r="AE25" t="e">
        <f>AND(#REF!,"AAAAAHrm6x4=")</f>
        <v>#REF!</v>
      </c>
      <c r="AF25" t="e">
        <f>AND(#REF!,"AAAAAHrm6x8=")</f>
        <v>#REF!</v>
      </c>
      <c r="AG25" t="e">
        <f>AND(#REF!,"AAAAAHrm6yA=")</f>
        <v>#REF!</v>
      </c>
      <c r="AH25" t="e">
        <f>AND(#REF!,"AAAAAHrm6yE=")</f>
        <v>#REF!</v>
      </c>
      <c r="AI25" t="e">
        <f>AND(#REF!,"AAAAAHrm6yI=")</f>
        <v>#REF!</v>
      </c>
      <c r="AJ25" t="e">
        <f>AND(#REF!,"AAAAAHrm6yM=")</f>
        <v>#REF!</v>
      </c>
      <c r="AK25" t="e">
        <f>AND(#REF!,"AAAAAHrm6yQ=")</f>
        <v>#REF!</v>
      </c>
      <c r="AL25" t="e">
        <f>AND(#REF!,"AAAAAHrm6yU=")</f>
        <v>#REF!</v>
      </c>
      <c r="AM25" t="e">
        <f>AND(#REF!,"AAAAAHrm6yY=")</f>
        <v>#REF!</v>
      </c>
      <c r="AN25" t="e">
        <f>AND(#REF!,"AAAAAHrm6yc=")</f>
        <v>#REF!</v>
      </c>
      <c r="AO25" t="e">
        <f>AND(#REF!,"AAAAAHrm6yg=")</f>
        <v>#REF!</v>
      </c>
      <c r="AP25" t="e">
        <f>AND(#REF!,"AAAAAHrm6yk=")</f>
        <v>#REF!</v>
      </c>
      <c r="AQ25" t="e">
        <f>AND(#REF!,"AAAAAHrm6yo=")</f>
        <v>#REF!</v>
      </c>
      <c r="AR25" t="e">
        <f>AND(#REF!,"AAAAAHrm6ys=")</f>
        <v>#REF!</v>
      </c>
      <c r="AS25" t="e">
        <f>AND(#REF!,"AAAAAHrm6yw=")</f>
        <v>#REF!</v>
      </c>
      <c r="AT25" t="e">
        <f>AND(#REF!,"AAAAAHrm6y0=")</f>
        <v>#REF!</v>
      </c>
      <c r="AU25" t="e">
        <f>AND(#REF!,"AAAAAHrm6y4=")</f>
        <v>#REF!</v>
      </c>
      <c r="AV25" t="e">
        <f>AND(#REF!,"AAAAAHrm6y8=")</f>
        <v>#REF!</v>
      </c>
      <c r="AW25" t="e">
        <f>AND(#REF!,"AAAAAHrm6zA=")</f>
        <v>#REF!</v>
      </c>
      <c r="AX25" t="e">
        <f>AND(#REF!,"AAAAAHrm6zE=")</f>
        <v>#REF!</v>
      </c>
      <c r="AY25" t="e">
        <f>AND(#REF!,"AAAAAHrm6zI=")</f>
        <v>#REF!</v>
      </c>
      <c r="AZ25" t="e">
        <f>AND(#REF!,"AAAAAHrm6zM=")</f>
        <v>#REF!</v>
      </c>
      <c r="BA25" t="e">
        <f>AND(#REF!,"AAAAAHrm6zQ=")</f>
        <v>#REF!</v>
      </c>
      <c r="BB25" t="e">
        <f>AND(#REF!,"AAAAAHrm6zU=")</f>
        <v>#REF!</v>
      </c>
      <c r="BC25" t="e">
        <f>AND(#REF!,"AAAAAHrm6zY=")</f>
        <v>#REF!</v>
      </c>
      <c r="BD25" t="e">
        <f>AND(#REF!,"AAAAAHrm6zc=")</f>
        <v>#REF!</v>
      </c>
      <c r="BE25" t="e">
        <f>AND(#REF!,"AAAAAHrm6zg=")</f>
        <v>#REF!</v>
      </c>
      <c r="BF25" t="e">
        <f>AND(#REF!,"AAAAAHrm6zk=")</f>
        <v>#REF!</v>
      </c>
      <c r="BG25" t="e">
        <f>AND(#REF!,"AAAAAHrm6zo=")</f>
        <v>#REF!</v>
      </c>
      <c r="BH25" t="e">
        <f>AND(#REF!,"AAAAAHrm6zs=")</f>
        <v>#REF!</v>
      </c>
      <c r="BI25" t="e">
        <f>AND(#REF!,"AAAAAHrm6zw=")</f>
        <v>#REF!</v>
      </c>
      <c r="BJ25" t="e">
        <f>AND(#REF!,"AAAAAHrm6z0=")</f>
        <v>#REF!</v>
      </c>
      <c r="BK25" t="e">
        <f>AND(#REF!,"AAAAAHrm6z4=")</f>
        <v>#REF!</v>
      </c>
      <c r="BL25" t="e">
        <f>AND(#REF!,"AAAAAHrm6z8=")</f>
        <v>#REF!</v>
      </c>
      <c r="BM25" t="e">
        <f>AND(#REF!,"AAAAAHrm60A=")</f>
        <v>#REF!</v>
      </c>
      <c r="BN25" t="e">
        <f>AND(#REF!,"AAAAAHrm60E=")</f>
        <v>#REF!</v>
      </c>
      <c r="BO25" t="e">
        <f>AND(#REF!,"AAAAAHrm60I=")</f>
        <v>#REF!</v>
      </c>
      <c r="BP25" t="e">
        <f>AND(#REF!,"AAAAAHrm60M=")</f>
        <v>#REF!</v>
      </c>
      <c r="BQ25" t="e">
        <f>AND(#REF!,"AAAAAHrm60Q=")</f>
        <v>#REF!</v>
      </c>
      <c r="BR25" t="e">
        <f>AND(#REF!,"AAAAAHrm60U=")</f>
        <v>#REF!</v>
      </c>
      <c r="BS25" t="e">
        <f>AND(#REF!,"AAAAAHrm60Y=")</f>
        <v>#REF!</v>
      </c>
      <c r="BT25" t="e">
        <f>AND(#REF!,"AAAAAHrm60c=")</f>
        <v>#REF!</v>
      </c>
      <c r="BU25" t="e">
        <f>AND(#REF!,"AAAAAHrm60g=")</f>
        <v>#REF!</v>
      </c>
      <c r="BV25" t="e">
        <f>AND(#REF!,"AAAAAHrm60k=")</f>
        <v>#REF!</v>
      </c>
      <c r="BW25" t="e">
        <f>AND(#REF!,"AAAAAHrm60o=")</f>
        <v>#REF!</v>
      </c>
      <c r="BX25" t="e">
        <f>AND(#REF!,"AAAAAHrm60s=")</f>
        <v>#REF!</v>
      </c>
      <c r="BY25" t="e">
        <f>AND(#REF!,"AAAAAHrm60w=")</f>
        <v>#REF!</v>
      </c>
      <c r="BZ25" t="e">
        <f>AND(#REF!,"AAAAAHrm600=")</f>
        <v>#REF!</v>
      </c>
      <c r="CA25" t="e">
        <f>AND(#REF!,"AAAAAHrm604=")</f>
        <v>#REF!</v>
      </c>
      <c r="CB25" t="e">
        <f>AND(#REF!,"AAAAAHrm608=")</f>
        <v>#REF!</v>
      </c>
      <c r="CC25" t="e">
        <f>AND(#REF!,"AAAAAHrm61A=")</f>
        <v>#REF!</v>
      </c>
      <c r="CD25" t="e">
        <f>AND(#REF!,"AAAAAHrm61E=")</f>
        <v>#REF!</v>
      </c>
      <c r="CE25" t="e">
        <f>AND(#REF!,"AAAAAHrm61I=")</f>
        <v>#REF!</v>
      </c>
      <c r="CF25" t="e">
        <f>AND(#REF!,"AAAAAHrm61M=")</f>
        <v>#REF!</v>
      </c>
      <c r="CG25" t="e">
        <f>AND(#REF!,"AAAAAHrm61Q=")</f>
        <v>#REF!</v>
      </c>
      <c r="CH25" t="e">
        <f>AND(#REF!,"AAAAAHrm61U=")</f>
        <v>#REF!</v>
      </c>
      <c r="CI25" t="e">
        <f>AND(#REF!,"AAAAAHrm61Y=")</f>
        <v>#REF!</v>
      </c>
      <c r="CJ25" t="e">
        <f>AND(#REF!,"AAAAAHrm61c=")</f>
        <v>#REF!</v>
      </c>
      <c r="CK25" t="e">
        <f>AND(#REF!,"AAAAAHrm61g=")</f>
        <v>#REF!</v>
      </c>
      <c r="CL25" t="e">
        <f>AND(#REF!,"AAAAAHrm61k=")</f>
        <v>#REF!</v>
      </c>
      <c r="CM25" t="e">
        <f>AND(#REF!,"AAAAAHrm61o=")</f>
        <v>#REF!</v>
      </c>
      <c r="CN25" t="e">
        <f>AND(#REF!,"AAAAAHrm61s=")</f>
        <v>#REF!</v>
      </c>
      <c r="CO25" t="e">
        <f>AND(#REF!,"AAAAAHrm61w=")</f>
        <v>#REF!</v>
      </c>
      <c r="CP25" t="e">
        <f>AND(#REF!,"AAAAAHrm610=")</f>
        <v>#REF!</v>
      </c>
      <c r="CQ25" t="e">
        <f>AND(#REF!,"AAAAAHrm614=")</f>
        <v>#REF!</v>
      </c>
      <c r="CR25" t="e">
        <f>AND(#REF!,"AAAAAHrm618=")</f>
        <v>#REF!</v>
      </c>
      <c r="CS25" t="e">
        <f>AND(#REF!,"AAAAAHrm62A=")</f>
        <v>#REF!</v>
      </c>
      <c r="CT25" t="e">
        <f>AND(#REF!,"AAAAAHrm62E=")</f>
        <v>#REF!</v>
      </c>
      <c r="CU25" t="e">
        <f>AND(#REF!,"AAAAAHrm62I=")</f>
        <v>#REF!</v>
      </c>
      <c r="CV25" t="e">
        <f>AND(#REF!,"AAAAAHrm62M=")</f>
        <v>#REF!</v>
      </c>
      <c r="CW25" t="e">
        <f>AND(#REF!,"AAAAAHrm62Q=")</f>
        <v>#REF!</v>
      </c>
      <c r="CX25" t="e">
        <f>AND(#REF!,"AAAAAHrm62U=")</f>
        <v>#REF!</v>
      </c>
      <c r="CY25" t="e">
        <f>AND(#REF!,"AAAAAHrm62Y=")</f>
        <v>#REF!</v>
      </c>
      <c r="CZ25" t="e">
        <f>AND(#REF!,"AAAAAHrm62c=")</f>
        <v>#REF!</v>
      </c>
      <c r="DA25" t="e">
        <f>AND(#REF!,"AAAAAHrm62g=")</f>
        <v>#REF!</v>
      </c>
      <c r="DB25" t="e">
        <f>AND(#REF!,"AAAAAHrm62k=")</f>
        <v>#REF!</v>
      </c>
      <c r="DC25" t="e">
        <f>AND(#REF!,"AAAAAHrm62o=")</f>
        <v>#REF!</v>
      </c>
      <c r="DD25" t="e">
        <f>AND(#REF!,"AAAAAHrm62s=")</f>
        <v>#REF!</v>
      </c>
      <c r="DE25" t="e">
        <f>AND(#REF!,"AAAAAHrm62w=")</f>
        <v>#REF!</v>
      </c>
      <c r="DF25" t="e">
        <f>AND(#REF!,"AAAAAHrm620=")</f>
        <v>#REF!</v>
      </c>
      <c r="DG25" t="e">
        <f>AND(#REF!,"AAAAAHrm624=")</f>
        <v>#REF!</v>
      </c>
      <c r="DH25" t="e">
        <f>AND(#REF!,"AAAAAHrm628=")</f>
        <v>#REF!</v>
      </c>
      <c r="DI25" t="e">
        <f>AND(#REF!,"AAAAAHrm63A=")</f>
        <v>#REF!</v>
      </c>
      <c r="DJ25" t="e">
        <f>AND(#REF!,"AAAAAHrm63E=")</f>
        <v>#REF!</v>
      </c>
      <c r="DK25" t="e">
        <f>AND(#REF!,"AAAAAHrm63I=")</f>
        <v>#REF!</v>
      </c>
      <c r="DL25" t="e">
        <f>AND(#REF!,"AAAAAHrm63M=")</f>
        <v>#REF!</v>
      </c>
      <c r="DM25" t="e">
        <f>AND(#REF!,"AAAAAHrm63Q=")</f>
        <v>#REF!</v>
      </c>
      <c r="DN25" t="e">
        <f>AND(#REF!,"AAAAAHrm63U=")</f>
        <v>#REF!</v>
      </c>
      <c r="DO25" t="e">
        <f>AND(#REF!,"AAAAAHrm63Y=")</f>
        <v>#REF!</v>
      </c>
      <c r="DP25" t="e">
        <f>AND(#REF!,"AAAAAHrm63c=")</f>
        <v>#REF!</v>
      </c>
      <c r="DQ25" t="e">
        <f>AND(#REF!,"AAAAAHrm63g=")</f>
        <v>#REF!</v>
      </c>
      <c r="DR25" t="e">
        <f>AND(#REF!,"AAAAAHrm63k=")</f>
        <v>#REF!</v>
      </c>
      <c r="DS25" t="e">
        <f>AND(#REF!,"AAAAAHrm63o=")</f>
        <v>#REF!</v>
      </c>
      <c r="DT25" t="e">
        <f>AND(#REF!,"AAAAAHrm63s=")</f>
        <v>#REF!</v>
      </c>
      <c r="DU25" t="e">
        <f>AND(#REF!,"AAAAAHrm63w=")</f>
        <v>#REF!</v>
      </c>
      <c r="DV25" t="e">
        <f>AND(#REF!,"AAAAAHrm630=")</f>
        <v>#REF!</v>
      </c>
      <c r="DW25" t="e">
        <f>AND(#REF!,"AAAAAHrm634=")</f>
        <v>#REF!</v>
      </c>
      <c r="DX25" t="e">
        <f>AND(#REF!,"AAAAAHrm638=")</f>
        <v>#REF!</v>
      </c>
      <c r="DY25" t="e">
        <f>AND(#REF!,"AAAAAHrm64A=")</f>
        <v>#REF!</v>
      </c>
      <c r="DZ25" t="e">
        <f>AND(#REF!,"AAAAAHrm64E=")</f>
        <v>#REF!</v>
      </c>
      <c r="EA25" t="e">
        <f>AND(#REF!,"AAAAAHrm64I=")</f>
        <v>#REF!</v>
      </c>
      <c r="EB25" t="e">
        <f>AND(#REF!,"AAAAAHrm64M=")</f>
        <v>#REF!</v>
      </c>
      <c r="EC25" t="e">
        <f>AND(#REF!,"AAAAAHrm64Q=")</f>
        <v>#REF!</v>
      </c>
      <c r="ED25" t="e">
        <f>AND(#REF!,"AAAAAHrm64U=")</f>
        <v>#REF!</v>
      </c>
      <c r="EE25" t="e">
        <f>AND(#REF!,"AAAAAHrm64Y=")</f>
        <v>#REF!</v>
      </c>
      <c r="EF25" t="e">
        <f>AND(#REF!,"AAAAAHrm64c=")</f>
        <v>#REF!</v>
      </c>
      <c r="EG25" t="e">
        <f>AND(#REF!,"AAAAAHrm64g=")</f>
        <v>#REF!</v>
      </c>
      <c r="EH25" t="e">
        <f>AND(#REF!,"AAAAAHrm64k=")</f>
        <v>#REF!</v>
      </c>
      <c r="EI25" t="e">
        <f>AND(#REF!,"AAAAAHrm64o=")</f>
        <v>#REF!</v>
      </c>
      <c r="EJ25" t="e">
        <f>AND(#REF!,"AAAAAHrm64s=")</f>
        <v>#REF!</v>
      </c>
      <c r="EK25" t="e">
        <f>AND(#REF!,"AAAAAHrm64w=")</f>
        <v>#REF!</v>
      </c>
      <c r="EL25" t="e">
        <f>AND(#REF!,"AAAAAHrm640=")</f>
        <v>#REF!</v>
      </c>
      <c r="EM25" t="e">
        <f>AND(#REF!,"AAAAAHrm644=")</f>
        <v>#REF!</v>
      </c>
      <c r="EN25" t="e">
        <f>AND(#REF!,"AAAAAHrm648=")</f>
        <v>#REF!</v>
      </c>
      <c r="EO25" t="e">
        <f>AND(#REF!,"AAAAAHrm65A=")</f>
        <v>#REF!</v>
      </c>
      <c r="EP25" t="e">
        <f>AND(#REF!,"AAAAAHrm65E=")</f>
        <v>#REF!</v>
      </c>
      <c r="EQ25" t="e">
        <f>AND(#REF!,"AAAAAHrm65I=")</f>
        <v>#REF!</v>
      </c>
      <c r="ER25" t="e">
        <f>AND(#REF!,"AAAAAHrm65M=")</f>
        <v>#REF!</v>
      </c>
      <c r="ES25" t="e">
        <f>AND(#REF!,"AAAAAHrm65Q=")</f>
        <v>#REF!</v>
      </c>
      <c r="ET25" t="e">
        <f>AND(#REF!,"AAAAAHrm65U=")</f>
        <v>#REF!</v>
      </c>
      <c r="EU25" t="e">
        <f>AND(#REF!,"AAAAAHrm65Y=")</f>
        <v>#REF!</v>
      </c>
      <c r="EV25" t="e">
        <f>AND(#REF!,"AAAAAHrm65c=")</f>
        <v>#REF!</v>
      </c>
      <c r="EW25" t="e">
        <f>AND(#REF!,"AAAAAHrm65g=")</f>
        <v>#REF!</v>
      </c>
      <c r="EX25" t="e">
        <f>AND(#REF!,"AAAAAHrm65k=")</f>
        <v>#REF!</v>
      </c>
      <c r="EY25" t="e">
        <f>AND(#REF!,"AAAAAHrm65o=")</f>
        <v>#REF!</v>
      </c>
      <c r="EZ25" t="e">
        <f>AND(#REF!,"AAAAAHrm65s=")</f>
        <v>#REF!</v>
      </c>
      <c r="FA25" t="e">
        <f>AND(#REF!,"AAAAAHrm65w=")</f>
        <v>#REF!</v>
      </c>
      <c r="FB25" t="e">
        <f>AND(#REF!,"AAAAAHrm650=")</f>
        <v>#REF!</v>
      </c>
      <c r="FC25" t="e">
        <f>AND(#REF!,"AAAAAHrm654=")</f>
        <v>#REF!</v>
      </c>
      <c r="FD25" t="e">
        <f>AND(#REF!,"AAAAAHrm658=")</f>
        <v>#REF!</v>
      </c>
      <c r="FE25" t="e">
        <f>AND(#REF!,"AAAAAHrm66A=")</f>
        <v>#REF!</v>
      </c>
      <c r="FF25" t="e">
        <f>AND(#REF!,"AAAAAHrm66E=")</f>
        <v>#REF!</v>
      </c>
      <c r="FG25" t="e">
        <f>AND(#REF!,"AAAAAHrm66I=")</f>
        <v>#REF!</v>
      </c>
      <c r="FH25" t="e">
        <f>AND(#REF!,"AAAAAHrm66M=")</f>
        <v>#REF!</v>
      </c>
      <c r="FI25" t="e">
        <f>AND(#REF!,"AAAAAHrm66Q=")</f>
        <v>#REF!</v>
      </c>
      <c r="FJ25" t="e">
        <f>AND(#REF!,"AAAAAHrm66U=")</f>
        <v>#REF!</v>
      </c>
      <c r="FK25" t="e">
        <f>AND(#REF!,"AAAAAHrm66Y=")</f>
        <v>#REF!</v>
      </c>
      <c r="FL25" t="e">
        <f>AND(#REF!,"AAAAAHrm66c=")</f>
        <v>#REF!</v>
      </c>
      <c r="FM25" t="e">
        <f>AND(#REF!,"AAAAAHrm66g=")</f>
        <v>#REF!</v>
      </c>
      <c r="FN25" t="e">
        <f>AND(#REF!,"AAAAAHrm66k=")</f>
        <v>#REF!</v>
      </c>
      <c r="FO25" t="e">
        <f>AND(#REF!,"AAAAAHrm66o=")</f>
        <v>#REF!</v>
      </c>
      <c r="FP25" t="e">
        <f>AND(#REF!,"AAAAAHrm66s=")</f>
        <v>#REF!</v>
      </c>
      <c r="FQ25" t="e">
        <f>AND(#REF!,"AAAAAHrm66w=")</f>
        <v>#REF!</v>
      </c>
      <c r="FR25" t="e">
        <f>AND(#REF!,"AAAAAHrm660=")</f>
        <v>#REF!</v>
      </c>
      <c r="FS25" t="e">
        <f>AND(#REF!,"AAAAAHrm664=")</f>
        <v>#REF!</v>
      </c>
      <c r="FT25" t="e">
        <f>AND(#REF!,"AAAAAHrm668=")</f>
        <v>#REF!</v>
      </c>
      <c r="FU25" t="e">
        <f>AND(#REF!,"AAAAAHrm67A=")</f>
        <v>#REF!</v>
      </c>
      <c r="FV25" t="e">
        <f>AND(#REF!,"AAAAAHrm67E=")</f>
        <v>#REF!</v>
      </c>
      <c r="FW25" t="e">
        <f>AND(#REF!,"AAAAAHrm67I=")</f>
        <v>#REF!</v>
      </c>
      <c r="FX25" t="e">
        <f>AND(#REF!,"AAAAAHrm67M=")</f>
        <v>#REF!</v>
      </c>
      <c r="FY25" t="e">
        <f>AND(#REF!,"AAAAAHrm67Q=")</f>
        <v>#REF!</v>
      </c>
      <c r="FZ25" t="e">
        <f>AND(#REF!,"AAAAAHrm67U=")</f>
        <v>#REF!</v>
      </c>
      <c r="GA25" t="e">
        <f>AND(#REF!,"AAAAAHrm67Y=")</f>
        <v>#REF!</v>
      </c>
      <c r="GB25" t="e">
        <f>AND(#REF!,"AAAAAHrm67c=")</f>
        <v>#REF!</v>
      </c>
      <c r="GC25" t="e">
        <f>AND(#REF!,"AAAAAHrm67g=")</f>
        <v>#REF!</v>
      </c>
      <c r="GD25" t="e">
        <f>AND(#REF!,"AAAAAHrm67k=")</f>
        <v>#REF!</v>
      </c>
      <c r="GE25" t="e">
        <f>AND(#REF!,"AAAAAHrm67o=")</f>
        <v>#REF!</v>
      </c>
      <c r="GF25" t="e">
        <f>AND(#REF!,"AAAAAHrm67s=")</f>
        <v>#REF!</v>
      </c>
      <c r="GG25" t="e">
        <f>AND(#REF!,"AAAAAHrm67w=")</f>
        <v>#REF!</v>
      </c>
      <c r="GH25" t="e">
        <f>AND(#REF!,"AAAAAHrm670=")</f>
        <v>#REF!</v>
      </c>
      <c r="GI25" t="e">
        <f>AND(#REF!,"AAAAAHrm674=")</f>
        <v>#REF!</v>
      </c>
      <c r="GJ25" t="e">
        <f>AND(#REF!,"AAAAAHrm678=")</f>
        <v>#REF!</v>
      </c>
      <c r="GK25" t="e">
        <f>AND(#REF!,"AAAAAHrm68A=")</f>
        <v>#REF!</v>
      </c>
      <c r="GL25" t="e">
        <f>AND(#REF!,"AAAAAHrm68E=")</f>
        <v>#REF!</v>
      </c>
      <c r="GM25" t="e">
        <f>AND(#REF!,"AAAAAHrm68I=")</f>
        <v>#REF!</v>
      </c>
      <c r="GN25" t="e">
        <f>AND(#REF!,"AAAAAHrm68M=")</f>
        <v>#REF!</v>
      </c>
      <c r="GO25" t="e">
        <f>AND(#REF!,"AAAAAHrm68Q=")</f>
        <v>#REF!</v>
      </c>
      <c r="GP25" t="e">
        <f>AND(#REF!,"AAAAAHrm68U=")</f>
        <v>#REF!</v>
      </c>
      <c r="GQ25" t="e">
        <f>AND(#REF!,"AAAAAHrm68Y=")</f>
        <v>#REF!</v>
      </c>
      <c r="GR25" t="e">
        <f>AND(#REF!,"AAAAAHrm68c=")</f>
        <v>#REF!</v>
      </c>
      <c r="GS25" t="e">
        <f>AND(#REF!,"AAAAAHrm68g=")</f>
        <v>#REF!</v>
      </c>
      <c r="GT25" t="e">
        <f>AND(#REF!,"AAAAAHrm68k=")</f>
        <v>#REF!</v>
      </c>
      <c r="GU25" t="e">
        <f>AND(#REF!,"AAAAAHrm68o=")</f>
        <v>#REF!</v>
      </c>
      <c r="GV25" t="e">
        <f>AND(#REF!,"AAAAAHrm68s=")</f>
        <v>#REF!</v>
      </c>
      <c r="GW25" t="e">
        <f>AND(#REF!,"AAAAAHrm68w=")</f>
        <v>#REF!</v>
      </c>
      <c r="GX25" t="e">
        <f>AND(#REF!,"AAAAAHrm680=")</f>
        <v>#REF!</v>
      </c>
      <c r="GY25" t="e">
        <f>AND(#REF!,"AAAAAHrm684=")</f>
        <v>#REF!</v>
      </c>
      <c r="GZ25" t="e">
        <f>AND(#REF!,"AAAAAHrm688=")</f>
        <v>#REF!</v>
      </c>
      <c r="HA25" t="e">
        <f>AND(#REF!,"AAAAAHrm69A=")</f>
        <v>#REF!</v>
      </c>
      <c r="HB25" t="e">
        <f>AND(#REF!,"AAAAAHrm69E=")</f>
        <v>#REF!</v>
      </c>
      <c r="HC25" t="e">
        <f>AND(#REF!,"AAAAAHrm69I=")</f>
        <v>#REF!</v>
      </c>
      <c r="HD25" t="e">
        <f>AND(#REF!,"AAAAAHrm69M=")</f>
        <v>#REF!</v>
      </c>
      <c r="HE25" t="e">
        <f>AND(#REF!,"AAAAAHrm69Q=")</f>
        <v>#REF!</v>
      </c>
      <c r="HF25" t="e">
        <f>AND(#REF!,"AAAAAHrm69U=")</f>
        <v>#REF!</v>
      </c>
      <c r="HG25" t="e">
        <f>AND(#REF!,"AAAAAHrm69Y=")</f>
        <v>#REF!</v>
      </c>
      <c r="HH25" t="e">
        <f>AND(#REF!,"AAAAAHrm69c=")</f>
        <v>#REF!</v>
      </c>
      <c r="HI25" t="e">
        <f>AND(#REF!,"AAAAAHrm69g=")</f>
        <v>#REF!</v>
      </c>
      <c r="HJ25" t="e">
        <f>AND(#REF!,"AAAAAHrm69k=")</f>
        <v>#REF!</v>
      </c>
      <c r="HK25" t="e">
        <f>AND(#REF!,"AAAAAHrm69o=")</f>
        <v>#REF!</v>
      </c>
      <c r="HL25" t="e">
        <f>AND(#REF!,"AAAAAHrm69s=")</f>
        <v>#REF!</v>
      </c>
      <c r="HM25" t="e">
        <f>AND(#REF!,"AAAAAHrm69w=")</f>
        <v>#REF!</v>
      </c>
      <c r="HN25" t="e">
        <f>AND(#REF!,"AAAAAHrm690=")</f>
        <v>#REF!</v>
      </c>
      <c r="HO25" t="e">
        <f>AND(#REF!,"AAAAAHrm694=")</f>
        <v>#REF!</v>
      </c>
      <c r="HP25" t="e">
        <f>AND(#REF!,"AAAAAHrm698=")</f>
        <v>#REF!</v>
      </c>
      <c r="HQ25" t="e">
        <f>AND(#REF!,"AAAAAHrm6+A=")</f>
        <v>#REF!</v>
      </c>
      <c r="HR25" t="e">
        <f>AND(#REF!,"AAAAAHrm6+E=")</f>
        <v>#REF!</v>
      </c>
      <c r="HS25" t="e">
        <f>AND(#REF!,"AAAAAHrm6+I=")</f>
        <v>#REF!</v>
      </c>
      <c r="HT25" t="e">
        <f>AND(#REF!,"AAAAAHrm6+M=")</f>
        <v>#REF!</v>
      </c>
      <c r="HU25" t="e">
        <f>AND(#REF!,"AAAAAHrm6+Q=")</f>
        <v>#REF!</v>
      </c>
      <c r="HV25" t="e">
        <f>AND(#REF!,"AAAAAHrm6+U=")</f>
        <v>#REF!</v>
      </c>
      <c r="HW25" t="e">
        <f>AND(#REF!,"AAAAAHrm6+Y=")</f>
        <v>#REF!</v>
      </c>
      <c r="HX25" t="e">
        <f>AND(#REF!,"AAAAAHrm6+c=")</f>
        <v>#REF!</v>
      </c>
      <c r="HY25" t="e">
        <f>AND(#REF!,"AAAAAHrm6+g=")</f>
        <v>#REF!</v>
      </c>
      <c r="HZ25" t="e">
        <f>AND(#REF!,"AAAAAHrm6+k=")</f>
        <v>#REF!</v>
      </c>
      <c r="IA25" t="e">
        <f>AND(#REF!,"AAAAAHrm6+o=")</f>
        <v>#REF!</v>
      </c>
      <c r="IB25" t="e">
        <f>AND(#REF!,"AAAAAHrm6+s=")</f>
        <v>#REF!</v>
      </c>
      <c r="IC25" t="e">
        <f>AND(#REF!,"AAAAAHrm6+w=")</f>
        <v>#REF!</v>
      </c>
      <c r="ID25" t="e">
        <f>AND(#REF!,"AAAAAHrm6+0=")</f>
        <v>#REF!</v>
      </c>
      <c r="IE25" t="e">
        <f>AND(#REF!,"AAAAAHrm6+4=")</f>
        <v>#REF!</v>
      </c>
      <c r="IF25" t="e">
        <f>AND(#REF!,"AAAAAHrm6+8=")</f>
        <v>#REF!</v>
      </c>
      <c r="IG25" t="e">
        <f>AND(#REF!,"AAAAAHrm6/A=")</f>
        <v>#REF!</v>
      </c>
      <c r="IH25" t="e">
        <f>AND(#REF!,"AAAAAHrm6/E=")</f>
        <v>#REF!</v>
      </c>
      <c r="II25" t="e">
        <f>AND(#REF!,"AAAAAHrm6/I=")</f>
        <v>#REF!</v>
      </c>
      <c r="IJ25" t="e">
        <f>AND(#REF!,"AAAAAHrm6/M=")</f>
        <v>#REF!</v>
      </c>
      <c r="IK25" t="e">
        <f>AND(#REF!,"AAAAAHrm6/Q=")</f>
        <v>#REF!</v>
      </c>
      <c r="IL25" t="e">
        <f>AND(#REF!,"AAAAAHrm6/U=")</f>
        <v>#REF!</v>
      </c>
      <c r="IM25" t="e">
        <f>AND(#REF!,"AAAAAHrm6/Y=")</f>
        <v>#REF!</v>
      </c>
      <c r="IN25" t="e">
        <f>AND(#REF!,"AAAAAHrm6/c=")</f>
        <v>#REF!</v>
      </c>
      <c r="IO25" t="e">
        <f>AND(#REF!,"AAAAAHrm6/g=")</f>
        <v>#REF!</v>
      </c>
      <c r="IP25" t="e">
        <f>AND(#REF!,"AAAAAHrm6/k=")</f>
        <v>#REF!</v>
      </c>
      <c r="IQ25" t="e">
        <f>AND(#REF!,"AAAAAHrm6/o=")</f>
        <v>#REF!</v>
      </c>
      <c r="IR25" t="e">
        <f>AND(#REF!,"AAAAAHrm6/s=")</f>
        <v>#REF!</v>
      </c>
      <c r="IS25" t="e">
        <f>AND(#REF!,"AAAAAHrm6/w=")</f>
        <v>#REF!</v>
      </c>
      <c r="IT25" t="e">
        <f>AND(#REF!,"AAAAAHrm6/0=")</f>
        <v>#REF!</v>
      </c>
      <c r="IU25" t="e">
        <f>AND(#REF!,"AAAAAHrm6/4=")</f>
        <v>#REF!</v>
      </c>
      <c r="IV25" t="e">
        <f>AND(#REF!,"AAAAAHrm6/8=")</f>
        <v>#REF!</v>
      </c>
    </row>
    <row r="26" spans="1:256">
      <c r="A26" t="e">
        <f>AND(#REF!,"AAAAAHf//wA=")</f>
        <v>#REF!</v>
      </c>
      <c r="B26" t="e">
        <f>AND(#REF!,"AAAAAHf//wE=")</f>
        <v>#REF!</v>
      </c>
      <c r="C26" t="e">
        <f>AND(#REF!,"AAAAAHf//wI=")</f>
        <v>#REF!</v>
      </c>
      <c r="D26" t="e">
        <f>AND(#REF!,"AAAAAHf//wM=")</f>
        <v>#REF!</v>
      </c>
      <c r="E26" t="e">
        <f>AND(#REF!,"AAAAAHf//wQ=")</f>
        <v>#REF!</v>
      </c>
      <c r="F26" t="e">
        <f>AND(#REF!,"AAAAAHf//wU=")</f>
        <v>#REF!</v>
      </c>
      <c r="G26" t="e">
        <f>AND(#REF!,"AAAAAHf//wY=")</f>
        <v>#REF!</v>
      </c>
      <c r="H26" t="e">
        <f>AND(#REF!,"AAAAAHf//wc=")</f>
        <v>#REF!</v>
      </c>
      <c r="I26" t="e">
        <f>AND(#REF!,"AAAAAHf//wg=")</f>
        <v>#REF!</v>
      </c>
      <c r="J26" t="e">
        <f>AND(#REF!,"AAAAAHf//wk=")</f>
        <v>#REF!</v>
      </c>
      <c r="K26" t="e">
        <f>AND(#REF!,"AAAAAHf//wo=")</f>
        <v>#REF!</v>
      </c>
      <c r="L26" t="e">
        <f>AND(#REF!,"AAAAAHf//ws=")</f>
        <v>#REF!</v>
      </c>
      <c r="M26" t="e">
        <f>AND(#REF!,"AAAAAHf//ww=")</f>
        <v>#REF!</v>
      </c>
      <c r="N26" t="e">
        <f>AND(#REF!,"AAAAAHf//w0=")</f>
        <v>#REF!</v>
      </c>
      <c r="O26" t="e">
        <f>AND(#REF!,"AAAAAHf//w4=")</f>
        <v>#REF!</v>
      </c>
      <c r="P26" t="e">
        <f>AND(#REF!,"AAAAAHf//w8=")</f>
        <v>#REF!</v>
      </c>
      <c r="Q26" t="e">
        <f>AND(#REF!,"AAAAAHf//xA=")</f>
        <v>#REF!</v>
      </c>
      <c r="R26" t="e">
        <f>AND(#REF!,"AAAAAHf//xE=")</f>
        <v>#REF!</v>
      </c>
      <c r="S26" t="e">
        <f>AND(#REF!,"AAAAAHf//xI=")</f>
        <v>#REF!</v>
      </c>
      <c r="T26" t="e">
        <f>AND(#REF!,"AAAAAHf//xM=")</f>
        <v>#REF!</v>
      </c>
      <c r="U26" t="e">
        <f>AND(#REF!,"AAAAAHf//xQ=")</f>
        <v>#REF!</v>
      </c>
      <c r="V26" t="e">
        <f>AND(#REF!,"AAAAAHf//xU=")</f>
        <v>#REF!</v>
      </c>
      <c r="W26" t="e">
        <f>AND(#REF!,"AAAAAHf//xY=")</f>
        <v>#REF!</v>
      </c>
      <c r="X26" t="e">
        <f>AND(#REF!,"AAAAAHf//xc=")</f>
        <v>#REF!</v>
      </c>
      <c r="Y26" t="e">
        <f>AND(#REF!,"AAAAAHf//xg=")</f>
        <v>#REF!</v>
      </c>
      <c r="Z26" t="e">
        <f>AND(#REF!,"AAAAAHf//xk=")</f>
        <v>#REF!</v>
      </c>
      <c r="AA26" t="e">
        <f>AND(#REF!,"AAAAAHf//xo=")</f>
        <v>#REF!</v>
      </c>
      <c r="AB26" t="e">
        <f>AND(#REF!,"AAAAAHf//xs=")</f>
        <v>#REF!</v>
      </c>
      <c r="AC26" t="e">
        <f>AND(#REF!,"AAAAAHf//xw=")</f>
        <v>#REF!</v>
      </c>
      <c r="AD26" t="e">
        <f>AND(#REF!,"AAAAAHf//x0=")</f>
        <v>#REF!</v>
      </c>
      <c r="AE26" t="e">
        <f>AND(#REF!,"AAAAAHf//x4=")</f>
        <v>#REF!</v>
      </c>
      <c r="AF26" t="e">
        <f>AND(#REF!,"AAAAAHf//x8=")</f>
        <v>#REF!</v>
      </c>
      <c r="AG26" t="e">
        <f>AND(#REF!,"AAAAAHf//yA=")</f>
        <v>#REF!</v>
      </c>
      <c r="AH26" t="e">
        <f>AND(#REF!,"AAAAAHf//yE=")</f>
        <v>#REF!</v>
      </c>
      <c r="AI26" t="e">
        <f>AND(#REF!,"AAAAAHf//yI=")</f>
        <v>#REF!</v>
      </c>
      <c r="AJ26" t="e">
        <f>AND(#REF!,"AAAAAHf//yM=")</f>
        <v>#REF!</v>
      </c>
      <c r="AK26" t="e">
        <f>AND(#REF!,"AAAAAHf//yQ=")</f>
        <v>#REF!</v>
      </c>
      <c r="AL26" t="e">
        <f>AND(#REF!,"AAAAAHf//yU=")</f>
        <v>#REF!</v>
      </c>
      <c r="AM26" t="e">
        <f>AND(#REF!,"AAAAAHf//yY=")</f>
        <v>#REF!</v>
      </c>
      <c r="AN26" t="e">
        <f>AND(#REF!,"AAAAAHf//yc=")</f>
        <v>#REF!</v>
      </c>
      <c r="AO26" t="e">
        <f>AND(#REF!,"AAAAAHf//yg=")</f>
        <v>#REF!</v>
      </c>
      <c r="AP26" t="e">
        <f>AND(#REF!,"AAAAAHf//yk=")</f>
        <v>#REF!</v>
      </c>
      <c r="AQ26" t="e">
        <f>AND(#REF!,"AAAAAHf//yo=")</f>
        <v>#REF!</v>
      </c>
      <c r="AR26" t="e">
        <f>AND(#REF!,"AAAAAHf//ys=")</f>
        <v>#REF!</v>
      </c>
      <c r="AS26" t="e">
        <f>AND(#REF!,"AAAAAHf//yw=")</f>
        <v>#REF!</v>
      </c>
      <c r="AT26" t="e">
        <f>AND(#REF!,"AAAAAHf//y0=")</f>
        <v>#REF!</v>
      </c>
      <c r="AU26" t="e">
        <f>AND(#REF!,"AAAAAHf//y4=")</f>
        <v>#REF!</v>
      </c>
      <c r="AV26" t="e">
        <f>AND(#REF!,"AAAAAHf//y8=")</f>
        <v>#REF!</v>
      </c>
      <c r="AW26" t="e">
        <f>AND(#REF!,"AAAAAHf//zA=")</f>
        <v>#REF!</v>
      </c>
      <c r="AX26" t="e">
        <f>AND(#REF!,"AAAAAHf//zE=")</f>
        <v>#REF!</v>
      </c>
      <c r="AY26" t="e">
        <f>AND(#REF!,"AAAAAHf//zI=")</f>
        <v>#REF!</v>
      </c>
      <c r="AZ26" t="e">
        <f>AND(#REF!,"AAAAAHf//zM=")</f>
        <v>#REF!</v>
      </c>
      <c r="BA26" t="e">
        <f>AND(#REF!,"AAAAAHf//zQ=")</f>
        <v>#REF!</v>
      </c>
      <c r="BB26" t="e">
        <f>AND(#REF!,"AAAAAHf//zU=")</f>
        <v>#REF!</v>
      </c>
      <c r="BC26" t="e">
        <f>AND(#REF!,"AAAAAHf//zY=")</f>
        <v>#REF!</v>
      </c>
      <c r="BD26" t="e">
        <f>AND(#REF!,"AAAAAHf//zc=")</f>
        <v>#REF!</v>
      </c>
      <c r="BE26" t="e">
        <f>AND(#REF!,"AAAAAHf//zg=")</f>
        <v>#REF!</v>
      </c>
      <c r="BF26" t="e">
        <f>AND(#REF!,"AAAAAHf//zk=")</f>
        <v>#REF!</v>
      </c>
      <c r="BG26" t="e">
        <f>AND(#REF!,"AAAAAHf//zo=")</f>
        <v>#REF!</v>
      </c>
      <c r="BH26" t="e">
        <f>AND(#REF!,"AAAAAHf//zs=")</f>
        <v>#REF!</v>
      </c>
      <c r="BI26" t="e">
        <f>AND(#REF!,"AAAAAHf//zw=")</f>
        <v>#REF!</v>
      </c>
      <c r="BJ26" t="e">
        <f>AND(#REF!,"AAAAAHf//z0=")</f>
        <v>#REF!</v>
      </c>
      <c r="BK26" t="e">
        <f>AND(#REF!,"AAAAAHf//z4=")</f>
        <v>#REF!</v>
      </c>
      <c r="BL26" t="e">
        <f>AND(#REF!,"AAAAAHf//z8=")</f>
        <v>#REF!</v>
      </c>
      <c r="BM26" t="e">
        <f>AND(#REF!,"AAAAAHf//0A=")</f>
        <v>#REF!</v>
      </c>
      <c r="BN26" t="e">
        <f>AND(#REF!,"AAAAAHf//0E=")</f>
        <v>#REF!</v>
      </c>
      <c r="BO26" t="e">
        <f>AND(#REF!,"AAAAAHf//0I=")</f>
        <v>#REF!</v>
      </c>
      <c r="BP26" t="e">
        <f>AND(#REF!,"AAAAAHf//0M=")</f>
        <v>#REF!</v>
      </c>
      <c r="BQ26" t="e">
        <f>AND(#REF!,"AAAAAHf//0Q=")</f>
        <v>#REF!</v>
      </c>
      <c r="BR26" t="e">
        <f>AND(#REF!,"AAAAAHf//0U=")</f>
        <v>#REF!</v>
      </c>
      <c r="BS26" t="e">
        <f>AND(#REF!,"AAAAAHf//0Y=")</f>
        <v>#REF!</v>
      </c>
      <c r="BT26" t="e">
        <f>AND(#REF!,"AAAAAHf//0c=")</f>
        <v>#REF!</v>
      </c>
      <c r="BU26" t="e">
        <f>AND(#REF!,"AAAAAHf//0g=")</f>
        <v>#REF!</v>
      </c>
      <c r="BV26" t="e">
        <f>AND(#REF!,"AAAAAHf//0k=")</f>
        <v>#REF!</v>
      </c>
      <c r="BW26" t="e">
        <f>AND(#REF!,"AAAAAHf//0o=")</f>
        <v>#REF!</v>
      </c>
      <c r="BX26" t="e">
        <f>AND(#REF!,"AAAAAHf//0s=")</f>
        <v>#REF!</v>
      </c>
      <c r="BY26" t="e">
        <f>AND(#REF!,"AAAAAHf//0w=")</f>
        <v>#REF!</v>
      </c>
      <c r="BZ26" t="e">
        <f>AND(#REF!,"AAAAAHf//00=")</f>
        <v>#REF!</v>
      </c>
      <c r="CA26" t="e">
        <f>AND(#REF!,"AAAAAHf//04=")</f>
        <v>#REF!</v>
      </c>
      <c r="CB26" t="e">
        <f>AND(#REF!,"AAAAAHf//08=")</f>
        <v>#REF!</v>
      </c>
      <c r="CC26" t="e">
        <f>AND(#REF!,"AAAAAHf//1A=")</f>
        <v>#REF!</v>
      </c>
      <c r="CD26" t="e">
        <f>AND(#REF!,"AAAAAHf//1E=")</f>
        <v>#REF!</v>
      </c>
      <c r="CE26" t="e">
        <f>AND(#REF!,"AAAAAHf//1I=")</f>
        <v>#REF!</v>
      </c>
      <c r="CF26" t="e">
        <f>AND(#REF!,"AAAAAHf//1M=")</f>
        <v>#REF!</v>
      </c>
      <c r="CG26" t="e">
        <f>AND(#REF!,"AAAAAHf//1Q=")</f>
        <v>#REF!</v>
      </c>
      <c r="CH26" t="e">
        <f>AND(#REF!,"AAAAAHf//1U=")</f>
        <v>#REF!</v>
      </c>
      <c r="CI26" t="e">
        <f>AND(#REF!,"AAAAAHf//1Y=")</f>
        <v>#REF!</v>
      </c>
      <c r="CJ26" t="e">
        <f>AND(#REF!,"AAAAAHf//1c=")</f>
        <v>#REF!</v>
      </c>
      <c r="CK26" t="e">
        <f>AND(#REF!,"AAAAAHf//1g=")</f>
        <v>#REF!</v>
      </c>
      <c r="CL26" t="e">
        <f>AND(#REF!,"AAAAAHf//1k=")</f>
        <v>#REF!</v>
      </c>
      <c r="CM26" t="e">
        <f>AND(#REF!,"AAAAAHf//1o=")</f>
        <v>#REF!</v>
      </c>
      <c r="CN26" t="e">
        <f>AND(#REF!,"AAAAAHf//1s=")</f>
        <v>#REF!</v>
      </c>
      <c r="CO26" t="e">
        <f>AND(#REF!,"AAAAAHf//1w=")</f>
        <v>#REF!</v>
      </c>
      <c r="CP26" t="e">
        <f>AND(#REF!,"AAAAAHf//10=")</f>
        <v>#REF!</v>
      </c>
      <c r="CQ26" t="e">
        <f>AND(#REF!,"AAAAAHf//14=")</f>
        <v>#REF!</v>
      </c>
      <c r="CR26" t="e">
        <f>AND(#REF!,"AAAAAHf//18=")</f>
        <v>#REF!</v>
      </c>
      <c r="CS26" t="e">
        <f>AND(#REF!,"AAAAAHf//2A=")</f>
        <v>#REF!</v>
      </c>
      <c r="CT26" t="e">
        <f>AND(#REF!,"AAAAAHf//2E=")</f>
        <v>#REF!</v>
      </c>
      <c r="CU26" t="e">
        <f>AND(#REF!,"AAAAAHf//2I=")</f>
        <v>#REF!</v>
      </c>
      <c r="CV26" t="e">
        <f>AND(#REF!,"AAAAAHf//2M=")</f>
        <v>#REF!</v>
      </c>
      <c r="CW26" t="e">
        <f>AND(#REF!,"AAAAAHf//2Q=")</f>
        <v>#REF!</v>
      </c>
      <c r="CX26" t="e">
        <f>AND(#REF!,"AAAAAHf//2U=")</f>
        <v>#REF!</v>
      </c>
      <c r="CY26" t="e">
        <f>AND(#REF!,"AAAAAHf//2Y=")</f>
        <v>#REF!</v>
      </c>
      <c r="CZ26" t="e">
        <f>AND(#REF!,"AAAAAHf//2c=")</f>
        <v>#REF!</v>
      </c>
      <c r="DA26" t="e">
        <f>AND(#REF!,"AAAAAHf//2g=")</f>
        <v>#REF!</v>
      </c>
      <c r="DB26" t="e">
        <f>AND(#REF!,"AAAAAHf//2k=")</f>
        <v>#REF!</v>
      </c>
      <c r="DC26" t="e">
        <f>AND(#REF!,"AAAAAHf//2o=")</f>
        <v>#REF!</v>
      </c>
      <c r="DD26" t="e">
        <f>AND(#REF!,"AAAAAHf//2s=")</f>
        <v>#REF!</v>
      </c>
      <c r="DE26" t="e">
        <f>AND(#REF!,"AAAAAHf//2w=")</f>
        <v>#REF!</v>
      </c>
      <c r="DF26" t="e">
        <f>AND(#REF!,"AAAAAHf//20=")</f>
        <v>#REF!</v>
      </c>
      <c r="DG26" t="e">
        <f>AND(#REF!,"AAAAAHf//24=")</f>
        <v>#REF!</v>
      </c>
      <c r="DH26" t="e">
        <f>AND(#REF!,"AAAAAHf//28=")</f>
        <v>#REF!</v>
      </c>
      <c r="DI26" t="e">
        <f>AND(#REF!,"AAAAAHf//3A=")</f>
        <v>#REF!</v>
      </c>
      <c r="DJ26" t="e">
        <f>AND(#REF!,"AAAAAHf//3E=")</f>
        <v>#REF!</v>
      </c>
      <c r="DK26" t="e">
        <f>AND(#REF!,"AAAAAHf//3I=")</f>
        <v>#REF!</v>
      </c>
      <c r="DL26" t="e">
        <f>AND(#REF!,"AAAAAHf//3M=")</f>
        <v>#REF!</v>
      </c>
      <c r="DM26" t="e">
        <f>AND(#REF!,"AAAAAHf//3Q=")</f>
        <v>#REF!</v>
      </c>
      <c r="DN26" t="e">
        <f>AND(#REF!,"AAAAAHf//3U=")</f>
        <v>#REF!</v>
      </c>
      <c r="DO26" t="e">
        <f>AND(#REF!,"AAAAAHf//3Y=")</f>
        <v>#REF!</v>
      </c>
      <c r="DP26" t="e">
        <f>AND(#REF!,"AAAAAHf//3c=")</f>
        <v>#REF!</v>
      </c>
      <c r="DQ26" t="e">
        <f>AND(#REF!,"AAAAAHf//3g=")</f>
        <v>#REF!</v>
      </c>
      <c r="DR26" t="e">
        <f>AND(#REF!,"AAAAAHf//3k=")</f>
        <v>#REF!</v>
      </c>
      <c r="DS26" t="e">
        <f>AND(#REF!,"AAAAAHf//3o=")</f>
        <v>#REF!</v>
      </c>
      <c r="DT26" t="e">
        <f>AND(#REF!,"AAAAAHf//3s=")</f>
        <v>#REF!</v>
      </c>
      <c r="DU26" t="e">
        <f>AND(#REF!,"AAAAAHf//3w=")</f>
        <v>#REF!</v>
      </c>
      <c r="DV26" t="e">
        <f>AND(#REF!,"AAAAAHf//30=")</f>
        <v>#REF!</v>
      </c>
      <c r="DW26" t="e">
        <f>AND(#REF!,"AAAAAHf//34=")</f>
        <v>#REF!</v>
      </c>
      <c r="DX26" t="e">
        <f>AND(#REF!,"AAAAAHf//38=")</f>
        <v>#REF!</v>
      </c>
      <c r="DY26" t="e">
        <f>AND(#REF!,"AAAAAHf//4A=")</f>
        <v>#REF!</v>
      </c>
      <c r="DZ26" t="e">
        <f>AND(#REF!,"AAAAAHf//4E=")</f>
        <v>#REF!</v>
      </c>
      <c r="EA26" t="e">
        <f>AND(#REF!,"AAAAAHf//4I=")</f>
        <v>#REF!</v>
      </c>
      <c r="EB26" t="e">
        <f>AND(#REF!,"AAAAAHf//4M=")</f>
        <v>#REF!</v>
      </c>
      <c r="EC26" t="e">
        <f>AND(#REF!,"AAAAAHf//4Q=")</f>
        <v>#REF!</v>
      </c>
      <c r="ED26" t="e">
        <f>AND(#REF!,"AAAAAHf//4U=")</f>
        <v>#REF!</v>
      </c>
      <c r="EE26" t="e">
        <f>AND(#REF!,"AAAAAHf//4Y=")</f>
        <v>#REF!</v>
      </c>
      <c r="EF26" t="e">
        <f>AND(#REF!,"AAAAAHf//4c=")</f>
        <v>#REF!</v>
      </c>
      <c r="EG26" t="e">
        <f>AND(#REF!,"AAAAAHf//4g=")</f>
        <v>#REF!</v>
      </c>
      <c r="EH26" t="e">
        <f>AND(#REF!,"AAAAAHf//4k=")</f>
        <v>#REF!</v>
      </c>
      <c r="EI26" t="e">
        <f>AND(#REF!,"AAAAAHf//4o=")</f>
        <v>#REF!</v>
      </c>
      <c r="EJ26" t="e">
        <f>AND(#REF!,"AAAAAHf//4s=")</f>
        <v>#REF!</v>
      </c>
      <c r="EK26" t="e">
        <f>AND(#REF!,"AAAAAHf//4w=")</f>
        <v>#REF!</v>
      </c>
      <c r="EL26" t="e">
        <f>AND(#REF!,"AAAAAHf//40=")</f>
        <v>#REF!</v>
      </c>
      <c r="EM26" t="e">
        <f>AND(#REF!,"AAAAAHf//44=")</f>
        <v>#REF!</v>
      </c>
      <c r="EN26" t="e">
        <f>AND(#REF!,"AAAAAHf//48=")</f>
        <v>#REF!</v>
      </c>
      <c r="EO26" t="e">
        <f>AND(#REF!,"AAAAAHf//5A=")</f>
        <v>#REF!</v>
      </c>
      <c r="EP26" t="e">
        <f>AND(#REF!,"AAAAAHf//5E=")</f>
        <v>#REF!</v>
      </c>
      <c r="EQ26" t="e">
        <f>AND(#REF!,"AAAAAHf//5I=")</f>
        <v>#REF!</v>
      </c>
      <c r="ER26" t="e">
        <f>AND(#REF!,"AAAAAHf//5M=")</f>
        <v>#REF!</v>
      </c>
      <c r="ES26" t="e">
        <f>AND(#REF!,"AAAAAHf//5Q=")</f>
        <v>#REF!</v>
      </c>
      <c r="ET26" t="e">
        <f>AND(#REF!,"AAAAAHf//5U=")</f>
        <v>#REF!</v>
      </c>
      <c r="EU26" t="e">
        <f>AND(#REF!,"AAAAAHf//5Y=")</f>
        <v>#REF!</v>
      </c>
      <c r="EV26" t="e">
        <f>AND(#REF!,"AAAAAHf//5c=")</f>
        <v>#REF!</v>
      </c>
      <c r="EW26" t="e">
        <f>AND(#REF!,"AAAAAHf//5g=")</f>
        <v>#REF!</v>
      </c>
      <c r="EX26" t="e">
        <f>AND(#REF!,"AAAAAHf//5k=")</f>
        <v>#REF!</v>
      </c>
      <c r="EY26" t="e">
        <f>AND(#REF!,"AAAAAHf//5o=")</f>
        <v>#REF!</v>
      </c>
      <c r="EZ26" t="e">
        <f>AND(#REF!,"AAAAAHf//5s=")</f>
        <v>#REF!</v>
      </c>
      <c r="FA26" t="e">
        <f>AND(#REF!,"AAAAAHf//5w=")</f>
        <v>#REF!</v>
      </c>
      <c r="FB26" t="e">
        <f>AND(#REF!,"AAAAAHf//50=")</f>
        <v>#REF!</v>
      </c>
      <c r="FC26" t="e">
        <f>AND(#REF!,"AAAAAHf//54=")</f>
        <v>#REF!</v>
      </c>
      <c r="FD26" t="e">
        <f>AND(#REF!,"AAAAAHf//58=")</f>
        <v>#REF!</v>
      </c>
      <c r="FE26" t="e">
        <f>AND(#REF!,"AAAAAHf//6A=")</f>
        <v>#REF!</v>
      </c>
      <c r="FF26" t="e">
        <f>AND(#REF!,"AAAAAHf//6E=")</f>
        <v>#REF!</v>
      </c>
      <c r="FG26" t="e">
        <f>AND(#REF!,"AAAAAHf//6I=")</f>
        <v>#REF!</v>
      </c>
      <c r="FH26" t="e">
        <f>AND(#REF!,"AAAAAHf//6M=")</f>
        <v>#REF!</v>
      </c>
      <c r="FI26" t="e">
        <f>AND(#REF!,"AAAAAHf//6Q=")</f>
        <v>#REF!</v>
      </c>
      <c r="FJ26" t="e">
        <f>AND(#REF!,"AAAAAHf//6U=")</f>
        <v>#REF!</v>
      </c>
      <c r="FK26" t="e">
        <f>AND(#REF!,"AAAAAHf//6Y=")</f>
        <v>#REF!</v>
      </c>
      <c r="FL26" t="e">
        <f>AND(#REF!,"AAAAAHf//6c=")</f>
        <v>#REF!</v>
      </c>
      <c r="FM26" t="e">
        <f>AND(#REF!,"AAAAAHf//6g=")</f>
        <v>#REF!</v>
      </c>
      <c r="FN26" t="e">
        <f>AND(#REF!,"AAAAAHf//6k=")</f>
        <v>#REF!</v>
      </c>
      <c r="FO26" t="e">
        <f>AND(#REF!,"AAAAAHf//6o=")</f>
        <v>#REF!</v>
      </c>
      <c r="FP26" t="e">
        <f>AND(#REF!,"AAAAAHf//6s=")</f>
        <v>#REF!</v>
      </c>
      <c r="FQ26" t="e">
        <f>AND(#REF!,"AAAAAHf//6w=")</f>
        <v>#REF!</v>
      </c>
      <c r="FR26" t="e">
        <f>AND(#REF!,"AAAAAHf//60=")</f>
        <v>#REF!</v>
      </c>
      <c r="FS26" t="e">
        <f>AND(#REF!,"AAAAAHf//64=")</f>
        <v>#REF!</v>
      </c>
      <c r="FT26" t="e">
        <f>AND(#REF!,"AAAAAHf//68=")</f>
        <v>#REF!</v>
      </c>
      <c r="FU26" t="e">
        <f>AND(#REF!,"AAAAAHf//7A=")</f>
        <v>#REF!</v>
      </c>
      <c r="FV26" t="e">
        <f>AND(#REF!,"AAAAAHf//7E=")</f>
        <v>#REF!</v>
      </c>
      <c r="FW26" t="e">
        <f>AND(#REF!,"AAAAAHf//7I=")</f>
        <v>#REF!</v>
      </c>
      <c r="FX26" t="e">
        <f>AND(#REF!,"AAAAAHf//7M=")</f>
        <v>#REF!</v>
      </c>
      <c r="FY26" t="e">
        <f>AND(#REF!,"AAAAAHf//7Q=")</f>
        <v>#REF!</v>
      </c>
      <c r="FZ26" t="e">
        <f>AND(#REF!,"AAAAAHf//7U=")</f>
        <v>#REF!</v>
      </c>
      <c r="GA26" t="e">
        <f>AND(#REF!,"AAAAAHf//7Y=")</f>
        <v>#REF!</v>
      </c>
      <c r="GB26" t="e">
        <f>AND(#REF!,"AAAAAHf//7c=")</f>
        <v>#REF!</v>
      </c>
      <c r="GC26" t="e">
        <f>AND(#REF!,"AAAAAHf//7g=")</f>
        <v>#REF!</v>
      </c>
      <c r="GD26" t="e">
        <f>AND(#REF!,"AAAAAHf//7k=")</f>
        <v>#REF!</v>
      </c>
      <c r="GE26" t="e">
        <f>AND(#REF!,"AAAAAHf//7o=")</f>
        <v>#REF!</v>
      </c>
      <c r="GF26" t="e">
        <f>AND(#REF!,"AAAAAHf//7s=")</f>
        <v>#REF!</v>
      </c>
      <c r="GG26" t="e">
        <f>AND(#REF!,"AAAAAHf//7w=")</f>
        <v>#REF!</v>
      </c>
      <c r="GH26" t="e">
        <f>AND(#REF!,"AAAAAHf//70=")</f>
        <v>#REF!</v>
      </c>
      <c r="GI26" t="e">
        <f>AND(#REF!,"AAAAAHf//74=")</f>
        <v>#REF!</v>
      </c>
      <c r="GJ26" t="e">
        <f>AND(#REF!,"AAAAAHf//78=")</f>
        <v>#REF!</v>
      </c>
      <c r="GK26" t="e">
        <f>AND(#REF!,"AAAAAHf//8A=")</f>
        <v>#REF!</v>
      </c>
      <c r="GL26" t="e">
        <f>AND(#REF!,"AAAAAHf//8E=")</f>
        <v>#REF!</v>
      </c>
      <c r="GM26" t="e">
        <f>AND(#REF!,"AAAAAHf//8I=")</f>
        <v>#REF!</v>
      </c>
      <c r="GN26" t="e">
        <f>AND(#REF!,"AAAAAHf//8M=")</f>
        <v>#REF!</v>
      </c>
      <c r="GO26" t="e">
        <f>AND(#REF!,"AAAAAHf//8Q=")</f>
        <v>#REF!</v>
      </c>
      <c r="GP26" t="e">
        <f>AND(#REF!,"AAAAAHf//8U=")</f>
        <v>#REF!</v>
      </c>
      <c r="GQ26" t="e">
        <f>AND(#REF!,"AAAAAHf//8Y=")</f>
        <v>#REF!</v>
      </c>
      <c r="GR26" t="e">
        <f>AND(#REF!,"AAAAAHf//8c=")</f>
        <v>#REF!</v>
      </c>
      <c r="GS26" t="e">
        <f>AND(#REF!,"AAAAAHf//8g=")</f>
        <v>#REF!</v>
      </c>
      <c r="GT26" t="e">
        <f>AND(#REF!,"AAAAAHf//8k=")</f>
        <v>#REF!</v>
      </c>
      <c r="GU26" t="e">
        <f>AND(#REF!,"AAAAAHf//8o=")</f>
        <v>#REF!</v>
      </c>
      <c r="GV26" t="e">
        <f>AND(#REF!,"AAAAAHf//8s=")</f>
        <v>#REF!</v>
      </c>
      <c r="GW26" t="e">
        <f>AND(#REF!,"AAAAAHf//8w=")</f>
        <v>#REF!</v>
      </c>
      <c r="GX26" t="e">
        <f>AND(#REF!,"AAAAAHf//80=")</f>
        <v>#REF!</v>
      </c>
      <c r="GY26" t="e">
        <f>AND(#REF!,"AAAAAHf//84=")</f>
        <v>#REF!</v>
      </c>
      <c r="GZ26" t="e">
        <f>AND(#REF!,"AAAAAHf//88=")</f>
        <v>#REF!</v>
      </c>
      <c r="HA26" t="e">
        <f>AND(#REF!,"AAAAAHf//9A=")</f>
        <v>#REF!</v>
      </c>
      <c r="HB26" t="e">
        <f>AND(#REF!,"AAAAAHf//9E=")</f>
        <v>#REF!</v>
      </c>
      <c r="HC26" t="e">
        <f>AND(#REF!,"AAAAAHf//9I=")</f>
        <v>#REF!</v>
      </c>
      <c r="HD26" t="e">
        <f>AND(#REF!,"AAAAAHf//9M=")</f>
        <v>#REF!</v>
      </c>
      <c r="HE26" t="e">
        <f>AND(#REF!,"AAAAAHf//9Q=")</f>
        <v>#REF!</v>
      </c>
      <c r="HF26" t="e">
        <f>AND(#REF!,"AAAAAHf//9U=")</f>
        <v>#REF!</v>
      </c>
      <c r="HG26" t="e">
        <f>AND(#REF!,"AAAAAHf//9Y=")</f>
        <v>#REF!</v>
      </c>
      <c r="HH26" t="e">
        <f>AND(#REF!,"AAAAAHf//9c=")</f>
        <v>#REF!</v>
      </c>
      <c r="HI26" t="e">
        <f>AND(#REF!,"AAAAAHf//9g=")</f>
        <v>#REF!</v>
      </c>
      <c r="HJ26" t="e">
        <f>AND(#REF!,"AAAAAHf//9k=")</f>
        <v>#REF!</v>
      </c>
      <c r="HK26" t="e">
        <f>AND(#REF!,"AAAAAHf//9o=")</f>
        <v>#REF!</v>
      </c>
      <c r="HL26" t="e">
        <f>AND(#REF!,"AAAAAHf//9s=")</f>
        <v>#REF!</v>
      </c>
      <c r="HM26" t="e">
        <f>AND(#REF!,"AAAAAHf//9w=")</f>
        <v>#REF!</v>
      </c>
      <c r="HN26" t="e">
        <f>AND(#REF!,"AAAAAHf//90=")</f>
        <v>#REF!</v>
      </c>
      <c r="HO26" t="e">
        <f>AND(#REF!,"AAAAAHf//94=")</f>
        <v>#REF!</v>
      </c>
      <c r="HP26" t="e">
        <f>AND(#REF!,"AAAAAHf//98=")</f>
        <v>#REF!</v>
      </c>
      <c r="HQ26" t="e">
        <f>AND(#REF!,"AAAAAHf//+A=")</f>
        <v>#REF!</v>
      </c>
      <c r="HR26" t="e">
        <f>AND(#REF!,"AAAAAHf//+E=")</f>
        <v>#REF!</v>
      </c>
      <c r="HS26" t="e">
        <f>AND(#REF!,"AAAAAHf//+I=")</f>
        <v>#REF!</v>
      </c>
      <c r="HT26" t="e">
        <f>AND(#REF!,"AAAAAHf//+M=")</f>
        <v>#REF!</v>
      </c>
      <c r="HU26" t="e">
        <f>AND(#REF!,"AAAAAHf//+Q=")</f>
        <v>#REF!</v>
      </c>
      <c r="HV26" t="e">
        <f>AND(#REF!,"AAAAAHf//+U=")</f>
        <v>#REF!</v>
      </c>
      <c r="HW26" t="e">
        <f>AND(#REF!,"AAAAAHf//+Y=")</f>
        <v>#REF!</v>
      </c>
      <c r="HX26" t="e">
        <f>AND(#REF!,"AAAAAHf//+c=")</f>
        <v>#REF!</v>
      </c>
      <c r="HY26" t="e">
        <f>AND(#REF!,"AAAAAHf//+g=")</f>
        <v>#REF!</v>
      </c>
      <c r="HZ26" t="e">
        <f>AND(#REF!,"AAAAAHf//+k=")</f>
        <v>#REF!</v>
      </c>
      <c r="IA26" t="e">
        <f>AND(#REF!,"AAAAAHf//+o=")</f>
        <v>#REF!</v>
      </c>
      <c r="IB26" t="e">
        <f>AND(#REF!,"AAAAAHf//+s=")</f>
        <v>#REF!</v>
      </c>
      <c r="IC26" t="e">
        <f>AND(#REF!,"AAAAAHf//+w=")</f>
        <v>#REF!</v>
      </c>
      <c r="ID26" t="e">
        <f>AND(#REF!,"AAAAAHf//+0=")</f>
        <v>#REF!</v>
      </c>
      <c r="IE26" t="e">
        <f>AND(#REF!,"AAAAAHf//+4=")</f>
        <v>#REF!</v>
      </c>
      <c r="IF26" t="e">
        <f>AND(#REF!,"AAAAAHf//+8=")</f>
        <v>#REF!</v>
      </c>
      <c r="IG26" t="e">
        <f>AND(#REF!,"AAAAAHf///A=")</f>
        <v>#REF!</v>
      </c>
      <c r="IH26" t="e">
        <f>AND(#REF!,"AAAAAHf///E=")</f>
        <v>#REF!</v>
      </c>
      <c r="II26" t="e">
        <f>AND(#REF!,"AAAAAHf///I=")</f>
        <v>#REF!</v>
      </c>
      <c r="IJ26" t="e">
        <f>AND(#REF!,"AAAAAHf///M=")</f>
        <v>#REF!</v>
      </c>
      <c r="IK26" t="e">
        <f>AND(#REF!,"AAAAAHf///Q=")</f>
        <v>#REF!</v>
      </c>
      <c r="IL26" t="e">
        <f>AND(#REF!,"AAAAAHf///U=")</f>
        <v>#REF!</v>
      </c>
      <c r="IM26" t="e">
        <f>AND(#REF!,"AAAAAHf///Y=")</f>
        <v>#REF!</v>
      </c>
      <c r="IN26" t="e">
        <f>AND(#REF!,"AAAAAHf///c=")</f>
        <v>#REF!</v>
      </c>
      <c r="IO26" t="e">
        <f>AND(#REF!,"AAAAAHf///g=")</f>
        <v>#REF!</v>
      </c>
      <c r="IP26" t="e">
        <f>AND(#REF!,"AAAAAHf///k=")</f>
        <v>#REF!</v>
      </c>
      <c r="IQ26" t="e">
        <f>AND(#REF!,"AAAAAHf///o=")</f>
        <v>#REF!</v>
      </c>
      <c r="IR26" t="e">
        <f>AND(#REF!,"AAAAAHf///s=")</f>
        <v>#REF!</v>
      </c>
      <c r="IS26" t="e">
        <f>AND(#REF!,"AAAAAHf///w=")</f>
        <v>#REF!</v>
      </c>
      <c r="IT26" t="e">
        <f>AND(#REF!,"AAAAAHf///0=")</f>
        <v>#REF!</v>
      </c>
      <c r="IU26" t="e">
        <f>AND(#REF!,"AAAAAHf///4=")</f>
        <v>#REF!</v>
      </c>
      <c r="IV26" t="e">
        <f>AND(#REF!,"AAAAAHf///8=")</f>
        <v>#REF!</v>
      </c>
    </row>
    <row r="27" spans="1:256">
      <c r="A27" t="e">
        <f>AND(#REF!,"AAAAAF+5+wA=")</f>
        <v>#REF!</v>
      </c>
      <c r="B27" t="e">
        <f>AND(#REF!,"AAAAAF+5+wE=")</f>
        <v>#REF!</v>
      </c>
      <c r="C27" t="e">
        <f>AND(#REF!,"AAAAAF+5+wI=")</f>
        <v>#REF!</v>
      </c>
      <c r="D27" t="e">
        <f>AND(#REF!,"AAAAAF+5+wM=")</f>
        <v>#REF!</v>
      </c>
      <c r="E27" t="e">
        <f>AND(#REF!,"AAAAAF+5+wQ=")</f>
        <v>#REF!</v>
      </c>
      <c r="F27" t="e">
        <f>AND(#REF!,"AAAAAF+5+wU=")</f>
        <v>#REF!</v>
      </c>
      <c r="G27" t="e">
        <f>AND(#REF!,"AAAAAF+5+wY=")</f>
        <v>#REF!</v>
      </c>
      <c r="H27" t="e">
        <f>AND(#REF!,"AAAAAF+5+wc=")</f>
        <v>#REF!</v>
      </c>
      <c r="I27" t="e">
        <f>AND(#REF!,"AAAAAF+5+wg=")</f>
        <v>#REF!</v>
      </c>
      <c r="J27" t="e">
        <f>AND(#REF!,"AAAAAF+5+wk=")</f>
        <v>#REF!</v>
      </c>
      <c r="K27" t="e">
        <f>AND(#REF!,"AAAAAF+5+wo=")</f>
        <v>#REF!</v>
      </c>
      <c r="L27" t="e">
        <f>AND(#REF!,"AAAAAF+5+ws=")</f>
        <v>#REF!</v>
      </c>
      <c r="M27" t="e">
        <f>AND(#REF!,"AAAAAF+5+ww=")</f>
        <v>#REF!</v>
      </c>
      <c r="N27" t="e">
        <f>AND(#REF!,"AAAAAF+5+w0=")</f>
        <v>#REF!</v>
      </c>
      <c r="O27" t="e">
        <f>AND(#REF!,"AAAAAF+5+w4=")</f>
        <v>#REF!</v>
      </c>
      <c r="P27" t="e">
        <f>AND(#REF!,"AAAAAF+5+w8=")</f>
        <v>#REF!</v>
      </c>
      <c r="Q27" t="e">
        <f>AND(#REF!,"AAAAAF+5+xA=")</f>
        <v>#REF!</v>
      </c>
      <c r="R27" t="e">
        <f>AND(#REF!,"AAAAAF+5+xE=")</f>
        <v>#REF!</v>
      </c>
      <c r="S27" t="e">
        <f>AND(#REF!,"AAAAAF+5+xI=")</f>
        <v>#REF!</v>
      </c>
      <c r="T27" t="e">
        <f>AND(#REF!,"AAAAAF+5+xM=")</f>
        <v>#REF!</v>
      </c>
      <c r="U27" t="e">
        <f>AND(#REF!,"AAAAAF+5+xQ=")</f>
        <v>#REF!</v>
      </c>
      <c r="V27" t="e">
        <f>AND(#REF!,"AAAAAF+5+xU=")</f>
        <v>#REF!</v>
      </c>
      <c r="W27" t="e">
        <f>AND(#REF!,"AAAAAF+5+xY=")</f>
        <v>#REF!</v>
      </c>
      <c r="X27" t="e">
        <f>AND(#REF!,"AAAAAF+5+xc=")</f>
        <v>#REF!</v>
      </c>
      <c r="Y27" t="e">
        <f>AND(#REF!,"AAAAAF+5+xg=")</f>
        <v>#REF!</v>
      </c>
      <c r="Z27" t="e">
        <f>AND(#REF!,"AAAAAF+5+xk=")</f>
        <v>#REF!</v>
      </c>
      <c r="AA27" t="e">
        <f>AND(#REF!,"AAAAAF+5+xo=")</f>
        <v>#REF!</v>
      </c>
      <c r="AB27" t="e">
        <f>AND(#REF!,"AAAAAF+5+xs=")</f>
        <v>#REF!</v>
      </c>
      <c r="AC27" t="e">
        <f>AND(#REF!,"AAAAAF+5+xw=")</f>
        <v>#REF!</v>
      </c>
      <c r="AD27" t="e">
        <f>AND(#REF!,"AAAAAF+5+x0=")</f>
        <v>#REF!</v>
      </c>
      <c r="AE27" t="e">
        <f>AND(#REF!,"AAAAAF+5+x4=")</f>
        <v>#REF!</v>
      </c>
      <c r="AF27" t="e">
        <f>AND(#REF!,"AAAAAF+5+x8=")</f>
        <v>#REF!</v>
      </c>
      <c r="AG27" t="e">
        <f>AND(#REF!,"AAAAAF+5+yA=")</f>
        <v>#REF!</v>
      </c>
      <c r="AH27" t="e">
        <f>AND(#REF!,"AAAAAF+5+yE=")</f>
        <v>#REF!</v>
      </c>
      <c r="AI27" t="e">
        <f>AND(#REF!,"AAAAAF+5+yI=")</f>
        <v>#REF!</v>
      </c>
      <c r="AJ27" t="e">
        <f>AND(#REF!,"AAAAAF+5+yM=")</f>
        <v>#REF!</v>
      </c>
      <c r="AK27" t="e">
        <f>AND(#REF!,"AAAAAF+5+yQ=")</f>
        <v>#REF!</v>
      </c>
      <c r="AL27" t="e">
        <f>AND(#REF!,"AAAAAF+5+yU=")</f>
        <v>#REF!</v>
      </c>
      <c r="AM27" t="e">
        <f>AND(#REF!,"AAAAAF+5+yY=")</f>
        <v>#REF!</v>
      </c>
      <c r="AN27" t="e">
        <f>AND(#REF!,"AAAAAF+5+yc=")</f>
        <v>#REF!</v>
      </c>
      <c r="AO27" t="e">
        <f>AND(#REF!,"AAAAAF+5+yg=")</f>
        <v>#REF!</v>
      </c>
      <c r="AP27" t="e">
        <f>AND(#REF!,"AAAAAF+5+yk=")</f>
        <v>#REF!</v>
      </c>
      <c r="AQ27" t="e">
        <f>AND(#REF!,"AAAAAF+5+yo=")</f>
        <v>#REF!</v>
      </c>
      <c r="AR27" t="e">
        <f>AND(#REF!,"AAAAAF+5+ys=")</f>
        <v>#REF!</v>
      </c>
      <c r="AS27" t="e">
        <f>AND(#REF!,"AAAAAF+5+yw=")</f>
        <v>#REF!</v>
      </c>
      <c r="AT27" t="e">
        <f>AND(#REF!,"AAAAAF+5+y0=")</f>
        <v>#REF!</v>
      </c>
      <c r="AU27" t="e">
        <f>AND(#REF!,"AAAAAF+5+y4=")</f>
        <v>#REF!</v>
      </c>
      <c r="AV27" t="e">
        <f>AND(#REF!,"AAAAAF+5+y8=")</f>
        <v>#REF!</v>
      </c>
      <c r="AW27" t="e">
        <f>AND(#REF!,"AAAAAF+5+zA=")</f>
        <v>#REF!</v>
      </c>
      <c r="AX27" t="e">
        <f>AND(#REF!,"AAAAAF+5+zE=")</f>
        <v>#REF!</v>
      </c>
      <c r="AY27" t="e">
        <f>AND(#REF!,"AAAAAF+5+zI=")</f>
        <v>#REF!</v>
      </c>
      <c r="AZ27" t="e">
        <f>AND(#REF!,"AAAAAF+5+zM=")</f>
        <v>#REF!</v>
      </c>
      <c r="BA27" t="e">
        <f>AND(#REF!,"AAAAAF+5+zQ=")</f>
        <v>#REF!</v>
      </c>
      <c r="BB27" t="e">
        <f>AND(#REF!,"AAAAAF+5+zU=")</f>
        <v>#REF!</v>
      </c>
      <c r="BC27" t="e">
        <f>AND(#REF!,"AAAAAF+5+zY=")</f>
        <v>#REF!</v>
      </c>
      <c r="BD27" t="e">
        <f>AND(#REF!,"AAAAAF+5+zc=")</f>
        <v>#REF!</v>
      </c>
      <c r="BE27" t="e">
        <f>AND(#REF!,"AAAAAF+5+zg=")</f>
        <v>#REF!</v>
      </c>
      <c r="BF27" t="e">
        <f>AND(#REF!,"AAAAAF+5+zk=")</f>
        <v>#REF!</v>
      </c>
      <c r="BG27" t="e">
        <f>AND(#REF!,"AAAAAF+5+zo=")</f>
        <v>#REF!</v>
      </c>
      <c r="BH27" t="e">
        <f>AND(#REF!,"AAAAAF+5+zs=")</f>
        <v>#REF!</v>
      </c>
      <c r="BI27" t="e">
        <f>AND(#REF!,"AAAAAF+5+zw=")</f>
        <v>#REF!</v>
      </c>
      <c r="BJ27" t="e">
        <f>AND(#REF!,"AAAAAF+5+z0=")</f>
        <v>#REF!</v>
      </c>
      <c r="BK27" t="e">
        <f>AND(#REF!,"AAAAAF+5+z4=")</f>
        <v>#REF!</v>
      </c>
      <c r="BL27" t="e">
        <f>AND(#REF!,"AAAAAF+5+z8=")</f>
        <v>#REF!</v>
      </c>
      <c r="BM27" t="e">
        <f>AND(#REF!,"AAAAAF+5+0A=")</f>
        <v>#REF!</v>
      </c>
      <c r="BN27" t="e">
        <f>AND(#REF!,"AAAAAF+5+0E=")</f>
        <v>#REF!</v>
      </c>
      <c r="BO27" t="e">
        <f>AND(#REF!,"AAAAAF+5+0I=")</f>
        <v>#REF!</v>
      </c>
      <c r="BP27" t="e">
        <f>AND(#REF!,"AAAAAF+5+0M=")</f>
        <v>#REF!</v>
      </c>
      <c r="BQ27" t="e">
        <f>AND(#REF!,"AAAAAF+5+0Q=")</f>
        <v>#REF!</v>
      </c>
      <c r="BR27" t="e">
        <f>AND(#REF!,"AAAAAF+5+0U=")</f>
        <v>#REF!</v>
      </c>
      <c r="BS27" t="e">
        <f>AND(#REF!,"AAAAAF+5+0Y=")</f>
        <v>#REF!</v>
      </c>
      <c r="BT27" t="e">
        <f>AND(#REF!,"AAAAAF+5+0c=")</f>
        <v>#REF!</v>
      </c>
      <c r="BU27" t="e">
        <f>AND(#REF!,"AAAAAF+5+0g=")</f>
        <v>#REF!</v>
      </c>
      <c r="BV27" t="e">
        <f>AND(#REF!,"AAAAAF+5+0k=")</f>
        <v>#REF!</v>
      </c>
      <c r="BW27" t="e">
        <f>AND(#REF!,"AAAAAF+5+0o=")</f>
        <v>#REF!</v>
      </c>
      <c r="BX27" t="e">
        <f>AND(#REF!,"AAAAAF+5+0s=")</f>
        <v>#REF!</v>
      </c>
      <c r="BY27" t="e">
        <f>AND(#REF!,"AAAAAF+5+0w=")</f>
        <v>#REF!</v>
      </c>
      <c r="BZ27" t="e">
        <f>AND(#REF!,"AAAAAF+5+00=")</f>
        <v>#REF!</v>
      </c>
      <c r="CA27" t="e">
        <f>AND(#REF!,"AAAAAF+5+04=")</f>
        <v>#REF!</v>
      </c>
      <c r="CB27" t="e">
        <f>AND(#REF!,"AAAAAF+5+08=")</f>
        <v>#REF!</v>
      </c>
      <c r="CC27" t="e">
        <f>AND(#REF!,"AAAAAF+5+1A=")</f>
        <v>#REF!</v>
      </c>
      <c r="CD27" t="e">
        <f>AND(#REF!,"AAAAAF+5+1E=")</f>
        <v>#REF!</v>
      </c>
      <c r="CE27" t="e">
        <f>AND(#REF!,"AAAAAF+5+1I=")</f>
        <v>#REF!</v>
      </c>
      <c r="CF27" t="e">
        <f>AND(#REF!,"AAAAAF+5+1M=")</f>
        <v>#REF!</v>
      </c>
      <c r="CG27" t="e">
        <f>AND(#REF!,"AAAAAF+5+1Q=")</f>
        <v>#REF!</v>
      </c>
      <c r="CH27" t="e">
        <f>AND(#REF!,"AAAAAF+5+1U=")</f>
        <v>#REF!</v>
      </c>
      <c r="CI27" t="e">
        <f>AND(#REF!,"AAAAAF+5+1Y=")</f>
        <v>#REF!</v>
      </c>
      <c r="CJ27" t="e">
        <f>AND(#REF!,"AAAAAF+5+1c=")</f>
        <v>#REF!</v>
      </c>
      <c r="CK27" t="e">
        <f>AND(#REF!,"AAAAAF+5+1g=")</f>
        <v>#REF!</v>
      </c>
      <c r="CL27" t="e">
        <f>AND(#REF!,"AAAAAF+5+1k=")</f>
        <v>#REF!</v>
      </c>
      <c r="CM27" t="e">
        <f>AND(#REF!,"AAAAAF+5+1o=")</f>
        <v>#REF!</v>
      </c>
      <c r="CN27" t="e">
        <f>AND(#REF!,"AAAAAF+5+1s=")</f>
        <v>#REF!</v>
      </c>
      <c r="CO27" t="e">
        <f>AND(#REF!,"AAAAAF+5+1w=")</f>
        <v>#REF!</v>
      </c>
      <c r="CP27" t="e">
        <f>AND(#REF!,"AAAAAF+5+10=")</f>
        <v>#REF!</v>
      </c>
      <c r="CQ27" t="e">
        <f>AND(#REF!,"AAAAAF+5+14=")</f>
        <v>#REF!</v>
      </c>
      <c r="CR27" t="e">
        <f>AND(#REF!,"AAAAAF+5+18=")</f>
        <v>#REF!</v>
      </c>
      <c r="CS27" t="e">
        <f>AND(#REF!,"AAAAAF+5+2A=")</f>
        <v>#REF!</v>
      </c>
      <c r="CT27" t="e">
        <f>AND(#REF!,"AAAAAF+5+2E=")</f>
        <v>#REF!</v>
      </c>
      <c r="CU27" t="e">
        <f>AND(#REF!,"AAAAAF+5+2I=")</f>
        <v>#REF!</v>
      </c>
      <c r="CV27" t="e">
        <f>AND(#REF!,"AAAAAF+5+2M=")</f>
        <v>#REF!</v>
      </c>
      <c r="CW27" t="e">
        <f>AND(#REF!,"AAAAAF+5+2Q=")</f>
        <v>#REF!</v>
      </c>
      <c r="CX27" t="e">
        <f>AND(#REF!,"AAAAAF+5+2U=")</f>
        <v>#REF!</v>
      </c>
      <c r="CY27" t="e">
        <f>AND(#REF!,"AAAAAF+5+2Y=")</f>
        <v>#REF!</v>
      </c>
      <c r="CZ27" t="e">
        <f>AND(#REF!,"AAAAAF+5+2c=")</f>
        <v>#REF!</v>
      </c>
      <c r="DA27" t="e">
        <f>AND(#REF!,"AAAAAF+5+2g=")</f>
        <v>#REF!</v>
      </c>
      <c r="DB27" t="e">
        <f>AND(#REF!,"AAAAAF+5+2k=")</f>
        <v>#REF!</v>
      </c>
      <c r="DC27" t="e">
        <f>AND(#REF!,"AAAAAF+5+2o=")</f>
        <v>#REF!</v>
      </c>
      <c r="DD27" t="e">
        <f>AND(#REF!,"AAAAAF+5+2s=")</f>
        <v>#REF!</v>
      </c>
      <c r="DE27" t="e">
        <f>AND(#REF!,"AAAAAF+5+2w=")</f>
        <v>#REF!</v>
      </c>
      <c r="DF27" t="e">
        <f>AND(#REF!,"AAAAAF+5+20=")</f>
        <v>#REF!</v>
      </c>
      <c r="DG27" t="e">
        <f>AND(#REF!,"AAAAAF+5+24=")</f>
        <v>#REF!</v>
      </c>
      <c r="DH27" t="e">
        <f>AND(#REF!,"AAAAAF+5+28=")</f>
        <v>#REF!</v>
      </c>
      <c r="DI27" t="e">
        <f>AND(#REF!,"AAAAAF+5+3A=")</f>
        <v>#REF!</v>
      </c>
      <c r="DJ27" t="e">
        <f>AND(#REF!,"AAAAAF+5+3E=")</f>
        <v>#REF!</v>
      </c>
      <c r="DK27" t="e">
        <f>AND(#REF!,"AAAAAF+5+3I=")</f>
        <v>#REF!</v>
      </c>
      <c r="DL27" t="e">
        <f>AND(#REF!,"AAAAAF+5+3M=")</f>
        <v>#REF!</v>
      </c>
      <c r="DM27" t="e">
        <f>AND(#REF!,"AAAAAF+5+3Q=")</f>
        <v>#REF!</v>
      </c>
      <c r="DN27" t="e">
        <f>AND(#REF!,"AAAAAF+5+3U=")</f>
        <v>#REF!</v>
      </c>
      <c r="DO27" t="e">
        <f>AND(#REF!,"AAAAAF+5+3Y=")</f>
        <v>#REF!</v>
      </c>
      <c r="DP27" t="e">
        <f>AND(#REF!,"AAAAAF+5+3c=")</f>
        <v>#REF!</v>
      </c>
      <c r="DQ27" t="e">
        <f>AND(#REF!,"AAAAAF+5+3g=")</f>
        <v>#REF!</v>
      </c>
      <c r="DR27" t="e">
        <f>AND(#REF!,"AAAAAF+5+3k=")</f>
        <v>#REF!</v>
      </c>
      <c r="DS27" t="e">
        <f>AND(#REF!,"AAAAAF+5+3o=")</f>
        <v>#REF!</v>
      </c>
      <c r="DT27" t="e">
        <f>AND(#REF!,"AAAAAF+5+3s=")</f>
        <v>#REF!</v>
      </c>
      <c r="DU27" t="e">
        <f>AND(#REF!,"AAAAAF+5+3w=")</f>
        <v>#REF!</v>
      </c>
      <c r="DV27" t="e">
        <f>AND(#REF!,"AAAAAF+5+30=")</f>
        <v>#REF!</v>
      </c>
      <c r="DW27" t="e">
        <f>AND(#REF!,"AAAAAF+5+34=")</f>
        <v>#REF!</v>
      </c>
      <c r="DX27" t="e">
        <f>AND(#REF!,"AAAAAF+5+38=")</f>
        <v>#REF!</v>
      </c>
      <c r="DY27" t="e">
        <f>AND(#REF!,"AAAAAF+5+4A=")</f>
        <v>#REF!</v>
      </c>
      <c r="DZ27" t="e">
        <f>AND(#REF!,"AAAAAF+5+4E=")</f>
        <v>#REF!</v>
      </c>
      <c r="EA27" t="e">
        <f>AND(#REF!,"AAAAAF+5+4I=")</f>
        <v>#REF!</v>
      </c>
      <c r="EB27" t="e">
        <f>AND(#REF!,"AAAAAF+5+4M=")</f>
        <v>#REF!</v>
      </c>
      <c r="EC27" t="e">
        <f>AND(#REF!,"AAAAAF+5+4Q=")</f>
        <v>#REF!</v>
      </c>
      <c r="ED27" t="e">
        <f>AND(#REF!,"AAAAAF+5+4U=")</f>
        <v>#REF!</v>
      </c>
      <c r="EE27" t="e">
        <f>AND(#REF!,"AAAAAF+5+4Y=")</f>
        <v>#REF!</v>
      </c>
      <c r="EF27" t="e">
        <f>AND(#REF!,"AAAAAF+5+4c=")</f>
        <v>#REF!</v>
      </c>
      <c r="EG27" t="e">
        <f>AND(#REF!,"AAAAAF+5+4g=")</f>
        <v>#REF!</v>
      </c>
      <c r="EH27" t="e">
        <f>AND(#REF!,"AAAAAF+5+4k=")</f>
        <v>#REF!</v>
      </c>
      <c r="EI27" t="e">
        <f>AND(#REF!,"AAAAAF+5+4o=")</f>
        <v>#REF!</v>
      </c>
      <c r="EJ27" t="e">
        <f>AND(#REF!,"AAAAAF+5+4s=")</f>
        <v>#REF!</v>
      </c>
      <c r="EK27" t="e">
        <f>AND(#REF!,"AAAAAF+5+4w=")</f>
        <v>#REF!</v>
      </c>
      <c r="EL27" t="e">
        <f>AND(#REF!,"AAAAAF+5+40=")</f>
        <v>#REF!</v>
      </c>
      <c r="EM27" t="e">
        <f>AND(#REF!,"AAAAAF+5+44=")</f>
        <v>#REF!</v>
      </c>
      <c r="EN27" t="e">
        <f>AND(#REF!,"AAAAAF+5+48=")</f>
        <v>#REF!</v>
      </c>
      <c r="EO27" t="e">
        <f>AND(#REF!,"AAAAAF+5+5A=")</f>
        <v>#REF!</v>
      </c>
      <c r="EP27" t="e">
        <f>AND(#REF!,"AAAAAF+5+5E=")</f>
        <v>#REF!</v>
      </c>
      <c r="EQ27" t="e">
        <f>AND(#REF!,"AAAAAF+5+5I=")</f>
        <v>#REF!</v>
      </c>
      <c r="ER27" t="e">
        <f>AND(#REF!,"AAAAAF+5+5M=")</f>
        <v>#REF!</v>
      </c>
      <c r="ES27" t="e">
        <f>AND(#REF!,"AAAAAF+5+5Q=")</f>
        <v>#REF!</v>
      </c>
      <c r="ET27" t="e">
        <f>AND(#REF!,"AAAAAF+5+5U=")</f>
        <v>#REF!</v>
      </c>
      <c r="EU27" t="e">
        <f>AND(#REF!,"AAAAAF+5+5Y=")</f>
        <v>#REF!</v>
      </c>
      <c r="EV27" t="e">
        <f>AND(#REF!,"AAAAAF+5+5c=")</f>
        <v>#REF!</v>
      </c>
      <c r="EW27" t="e">
        <f>AND(#REF!,"AAAAAF+5+5g=")</f>
        <v>#REF!</v>
      </c>
      <c r="EX27" t="e">
        <f>AND(#REF!,"AAAAAF+5+5k=")</f>
        <v>#REF!</v>
      </c>
      <c r="EY27" t="e">
        <f>AND(#REF!,"AAAAAF+5+5o=")</f>
        <v>#REF!</v>
      </c>
      <c r="EZ27" t="e">
        <f>AND(#REF!,"AAAAAF+5+5s=")</f>
        <v>#REF!</v>
      </c>
      <c r="FA27" t="e">
        <f>AND(#REF!,"AAAAAF+5+5w=")</f>
        <v>#REF!</v>
      </c>
      <c r="FB27" t="e">
        <f>AND(#REF!,"AAAAAF+5+50=")</f>
        <v>#REF!</v>
      </c>
      <c r="FC27" t="e">
        <f>AND(#REF!,"AAAAAF+5+54=")</f>
        <v>#REF!</v>
      </c>
      <c r="FD27" t="e">
        <f>AND(#REF!,"AAAAAF+5+58=")</f>
        <v>#REF!</v>
      </c>
      <c r="FE27" t="e">
        <f>AND(#REF!,"AAAAAF+5+6A=")</f>
        <v>#REF!</v>
      </c>
      <c r="FF27" t="e">
        <f>AND(#REF!,"AAAAAF+5+6E=")</f>
        <v>#REF!</v>
      </c>
      <c r="FG27" t="e">
        <f>AND(#REF!,"AAAAAF+5+6I=")</f>
        <v>#REF!</v>
      </c>
      <c r="FH27" t="e">
        <f>AND(#REF!,"AAAAAF+5+6M=")</f>
        <v>#REF!</v>
      </c>
      <c r="FI27" t="e">
        <f>AND(#REF!,"AAAAAF+5+6Q=")</f>
        <v>#REF!</v>
      </c>
      <c r="FJ27" t="e">
        <f>AND(#REF!,"AAAAAF+5+6U=")</f>
        <v>#REF!</v>
      </c>
      <c r="FK27" t="e">
        <f>AND(#REF!,"AAAAAF+5+6Y=")</f>
        <v>#REF!</v>
      </c>
      <c r="FL27" t="e">
        <f>AND(#REF!,"AAAAAF+5+6c=")</f>
        <v>#REF!</v>
      </c>
      <c r="FM27" t="e">
        <f>AND(#REF!,"AAAAAF+5+6g=")</f>
        <v>#REF!</v>
      </c>
      <c r="FN27" t="e">
        <f>AND(#REF!,"AAAAAF+5+6k=")</f>
        <v>#REF!</v>
      </c>
      <c r="FO27" t="e">
        <f>AND(#REF!,"AAAAAF+5+6o=")</f>
        <v>#REF!</v>
      </c>
      <c r="FP27" t="e">
        <f>AND(#REF!,"AAAAAF+5+6s=")</f>
        <v>#REF!</v>
      </c>
      <c r="FQ27" t="e">
        <f>AND(#REF!,"AAAAAF+5+6w=")</f>
        <v>#REF!</v>
      </c>
      <c r="FR27" t="e">
        <f>AND(#REF!,"AAAAAF+5+60=")</f>
        <v>#REF!</v>
      </c>
      <c r="FS27" t="e">
        <f>AND(#REF!,"AAAAAF+5+64=")</f>
        <v>#REF!</v>
      </c>
      <c r="FT27" t="e">
        <f>AND(#REF!,"AAAAAF+5+68=")</f>
        <v>#REF!</v>
      </c>
      <c r="FU27" t="e">
        <f>AND(#REF!,"AAAAAF+5+7A=")</f>
        <v>#REF!</v>
      </c>
      <c r="FV27" t="e">
        <f>AND(#REF!,"AAAAAF+5+7E=")</f>
        <v>#REF!</v>
      </c>
      <c r="FW27" t="e">
        <f>AND(#REF!,"AAAAAF+5+7I=")</f>
        <v>#REF!</v>
      </c>
      <c r="FX27" t="e">
        <f>AND(#REF!,"AAAAAF+5+7M=")</f>
        <v>#REF!</v>
      </c>
      <c r="FY27" t="e">
        <f>AND(#REF!,"AAAAAF+5+7Q=")</f>
        <v>#REF!</v>
      </c>
      <c r="FZ27" t="e">
        <f>AND(#REF!,"AAAAAF+5+7U=")</f>
        <v>#REF!</v>
      </c>
      <c r="GA27" t="e">
        <f>AND(#REF!,"AAAAAF+5+7Y=")</f>
        <v>#REF!</v>
      </c>
      <c r="GB27" t="e">
        <f>AND(#REF!,"AAAAAF+5+7c=")</f>
        <v>#REF!</v>
      </c>
      <c r="GC27" t="e">
        <f>AND(#REF!,"AAAAAF+5+7g=")</f>
        <v>#REF!</v>
      </c>
      <c r="GD27" t="e">
        <f>AND(#REF!,"AAAAAF+5+7k=")</f>
        <v>#REF!</v>
      </c>
      <c r="GE27" t="e">
        <f>AND(#REF!,"AAAAAF+5+7o=")</f>
        <v>#REF!</v>
      </c>
      <c r="GF27" t="e">
        <f>AND(#REF!,"AAAAAF+5+7s=")</f>
        <v>#REF!</v>
      </c>
      <c r="GG27" t="e">
        <f>AND(#REF!,"AAAAAF+5+7w=")</f>
        <v>#REF!</v>
      </c>
      <c r="GH27" t="e">
        <f>AND(#REF!,"AAAAAF+5+70=")</f>
        <v>#REF!</v>
      </c>
      <c r="GI27" t="e">
        <f>AND(#REF!,"AAAAAF+5+74=")</f>
        <v>#REF!</v>
      </c>
      <c r="GJ27" t="e">
        <f>AND(#REF!,"AAAAAF+5+78=")</f>
        <v>#REF!</v>
      </c>
      <c r="GK27" t="e">
        <f>AND(#REF!,"AAAAAF+5+8A=")</f>
        <v>#REF!</v>
      </c>
      <c r="GL27" t="e">
        <f>AND(#REF!,"AAAAAF+5+8E=")</f>
        <v>#REF!</v>
      </c>
      <c r="GM27" t="e">
        <f>AND(#REF!,"AAAAAF+5+8I=")</f>
        <v>#REF!</v>
      </c>
      <c r="GN27" t="e">
        <f>AND(#REF!,"AAAAAF+5+8M=")</f>
        <v>#REF!</v>
      </c>
      <c r="GO27" t="e">
        <f>AND(#REF!,"AAAAAF+5+8Q=")</f>
        <v>#REF!</v>
      </c>
      <c r="GP27" t="e">
        <f>AND(#REF!,"AAAAAF+5+8U=")</f>
        <v>#REF!</v>
      </c>
      <c r="GQ27" t="e">
        <f>AND(#REF!,"AAAAAF+5+8Y=")</f>
        <v>#REF!</v>
      </c>
      <c r="GR27" t="e">
        <f>AND(#REF!,"AAAAAF+5+8c=")</f>
        <v>#REF!</v>
      </c>
      <c r="GS27" t="e">
        <f>AND(#REF!,"AAAAAF+5+8g=")</f>
        <v>#REF!</v>
      </c>
      <c r="GT27" t="e">
        <f>AND(#REF!,"AAAAAF+5+8k=")</f>
        <v>#REF!</v>
      </c>
      <c r="GU27" t="e">
        <f>AND(#REF!,"AAAAAF+5+8o=")</f>
        <v>#REF!</v>
      </c>
      <c r="GV27" t="e">
        <f>AND(#REF!,"AAAAAF+5+8s=")</f>
        <v>#REF!</v>
      </c>
      <c r="GW27" t="e">
        <f>AND(#REF!,"AAAAAF+5+8w=")</f>
        <v>#REF!</v>
      </c>
      <c r="GX27" t="e">
        <f>AND(#REF!,"AAAAAF+5+80=")</f>
        <v>#REF!</v>
      </c>
      <c r="GY27" t="e">
        <f>AND(#REF!,"AAAAAF+5+84=")</f>
        <v>#REF!</v>
      </c>
      <c r="GZ27" t="e">
        <f>AND(#REF!,"AAAAAF+5+88=")</f>
        <v>#REF!</v>
      </c>
      <c r="HA27" t="e">
        <f>AND(#REF!,"AAAAAF+5+9A=")</f>
        <v>#REF!</v>
      </c>
      <c r="HB27" t="e">
        <f>AND(#REF!,"AAAAAF+5+9E=")</f>
        <v>#REF!</v>
      </c>
      <c r="HC27" t="e">
        <f>AND(#REF!,"AAAAAF+5+9I=")</f>
        <v>#REF!</v>
      </c>
      <c r="HD27" t="e">
        <f>AND(#REF!,"AAAAAF+5+9M=")</f>
        <v>#REF!</v>
      </c>
      <c r="HE27" t="e">
        <f>AND(#REF!,"AAAAAF+5+9Q=")</f>
        <v>#REF!</v>
      </c>
      <c r="HF27" t="e">
        <f>AND(#REF!,"AAAAAF+5+9U=")</f>
        <v>#REF!</v>
      </c>
      <c r="HG27" t="e">
        <f>AND(#REF!,"AAAAAF+5+9Y=")</f>
        <v>#REF!</v>
      </c>
      <c r="HH27" t="e">
        <f>AND(#REF!,"AAAAAF+5+9c=")</f>
        <v>#REF!</v>
      </c>
      <c r="HI27" t="e">
        <f>AND(#REF!,"AAAAAF+5+9g=")</f>
        <v>#REF!</v>
      </c>
      <c r="HJ27" t="e">
        <f>AND(#REF!,"AAAAAF+5+9k=")</f>
        <v>#REF!</v>
      </c>
      <c r="HK27" t="e">
        <f>AND(#REF!,"AAAAAF+5+9o=")</f>
        <v>#REF!</v>
      </c>
      <c r="HL27" t="e">
        <f>AND(#REF!,"AAAAAF+5+9s=")</f>
        <v>#REF!</v>
      </c>
      <c r="HM27" t="e">
        <f>AND(#REF!,"AAAAAF+5+9w=")</f>
        <v>#REF!</v>
      </c>
      <c r="HN27" t="e">
        <f>AND(#REF!,"AAAAAF+5+90=")</f>
        <v>#REF!</v>
      </c>
      <c r="HO27" t="e">
        <f>AND(#REF!,"AAAAAF+5+94=")</f>
        <v>#REF!</v>
      </c>
      <c r="HP27" t="e">
        <f>AND(#REF!,"AAAAAF+5+98=")</f>
        <v>#REF!</v>
      </c>
      <c r="HQ27" t="e">
        <f>AND(#REF!,"AAAAAF+5++A=")</f>
        <v>#REF!</v>
      </c>
      <c r="HR27" t="e">
        <f>AND(#REF!,"AAAAAF+5++E=")</f>
        <v>#REF!</v>
      </c>
      <c r="HS27" t="e">
        <f>AND(#REF!,"AAAAAF+5++I=")</f>
        <v>#REF!</v>
      </c>
      <c r="HT27" t="e">
        <f>AND(#REF!,"AAAAAF+5++M=")</f>
        <v>#REF!</v>
      </c>
      <c r="HU27" t="e">
        <f>AND(#REF!,"AAAAAF+5++Q=")</f>
        <v>#REF!</v>
      </c>
      <c r="HV27" t="e">
        <f>AND(#REF!,"AAAAAF+5++U=")</f>
        <v>#REF!</v>
      </c>
      <c r="HW27" t="e">
        <f>AND(#REF!,"AAAAAF+5++Y=")</f>
        <v>#REF!</v>
      </c>
      <c r="HX27" t="e">
        <f>AND(#REF!,"AAAAAF+5++c=")</f>
        <v>#REF!</v>
      </c>
      <c r="HY27" t="e">
        <f>AND(#REF!,"AAAAAF+5++g=")</f>
        <v>#REF!</v>
      </c>
      <c r="HZ27" t="e">
        <f>AND(#REF!,"AAAAAF+5++k=")</f>
        <v>#REF!</v>
      </c>
      <c r="IA27" t="e">
        <f>AND(#REF!,"AAAAAF+5++o=")</f>
        <v>#REF!</v>
      </c>
      <c r="IB27" t="e">
        <f>AND(#REF!,"AAAAAF+5++s=")</f>
        <v>#REF!</v>
      </c>
      <c r="IC27" t="e">
        <f>AND(#REF!,"AAAAAF+5++w=")</f>
        <v>#REF!</v>
      </c>
      <c r="ID27" t="e">
        <f>AND(#REF!,"AAAAAF+5++0=")</f>
        <v>#REF!</v>
      </c>
      <c r="IE27" t="e">
        <f>AND(#REF!,"AAAAAF+5++4=")</f>
        <v>#REF!</v>
      </c>
      <c r="IF27" t="e">
        <f>AND(#REF!,"AAAAAF+5++8=")</f>
        <v>#REF!</v>
      </c>
      <c r="IG27" t="e">
        <f>AND(#REF!,"AAAAAF+5+/A=")</f>
        <v>#REF!</v>
      </c>
      <c r="IH27" t="e">
        <f>AND(#REF!,"AAAAAF+5+/E=")</f>
        <v>#REF!</v>
      </c>
      <c r="II27" t="e">
        <f>AND(#REF!,"AAAAAF+5+/I=")</f>
        <v>#REF!</v>
      </c>
      <c r="IJ27" t="e">
        <f>AND(#REF!,"AAAAAF+5+/M=")</f>
        <v>#REF!</v>
      </c>
      <c r="IK27" t="e">
        <f>AND(#REF!,"AAAAAF+5+/Q=")</f>
        <v>#REF!</v>
      </c>
      <c r="IL27" t="e">
        <f>AND(#REF!,"AAAAAF+5+/U=")</f>
        <v>#REF!</v>
      </c>
      <c r="IM27" t="e">
        <f>AND(#REF!,"AAAAAF+5+/Y=")</f>
        <v>#REF!</v>
      </c>
      <c r="IN27" t="e">
        <f>AND(#REF!,"AAAAAF+5+/c=")</f>
        <v>#REF!</v>
      </c>
      <c r="IO27" t="e">
        <f>AND(#REF!,"AAAAAF+5+/g=")</f>
        <v>#REF!</v>
      </c>
      <c r="IP27" t="e">
        <f>AND(#REF!,"AAAAAF+5+/k=")</f>
        <v>#REF!</v>
      </c>
      <c r="IQ27" t="e">
        <f>AND(#REF!,"AAAAAF+5+/o=")</f>
        <v>#REF!</v>
      </c>
      <c r="IR27" t="e">
        <f>AND(#REF!,"AAAAAF+5+/s=")</f>
        <v>#REF!</v>
      </c>
      <c r="IS27" t="e">
        <f>AND(#REF!,"AAAAAF+5+/w=")</f>
        <v>#REF!</v>
      </c>
      <c r="IT27" t="e">
        <f>AND(#REF!,"AAAAAF+5+/0=")</f>
        <v>#REF!</v>
      </c>
      <c r="IU27" t="e">
        <f>AND(#REF!,"AAAAAF+5+/4=")</f>
        <v>#REF!</v>
      </c>
      <c r="IV27" t="e">
        <f>AND(#REF!,"AAAAAF+5+/8=")</f>
        <v>#REF!</v>
      </c>
    </row>
    <row r="28" spans="1:256">
      <c r="A28" t="e">
        <f>AND(#REF!,"AAAAAHud7wA=")</f>
        <v>#REF!</v>
      </c>
      <c r="B28" t="e">
        <f>AND(#REF!,"AAAAAHud7wE=")</f>
        <v>#REF!</v>
      </c>
      <c r="C28" t="e">
        <f>AND(#REF!,"AAAAAHud7wI=")</f>
        <v>#REF!</v>
      </c>
      <c r="D28" t="e">
        <f>AND(#REF!,"AAAAAHud7wM=")</f>
        <v>#REF!</v>
      </c>
      <c r="E28" t="e">
        <f>AND(#REF!,"AAAAAHud7wQ=")</f>
        <v>#REF!</v>
      </c>
      <c r="F28" t="e">
        <f>AND(#REF!,"AAAAAHud7wU=")</f>
        <v>#REF!</v>
      </c>
      <c r="G28" t="e">
        <f>AND(#REF!,"AAAAAHud7wY=")</f>
        <v>#REF!</v>
      </c>
      <c r="H28" t="e">
        <f>AND(#REF!,"AAAAAHud7wc=")</f>
        <v>#REF!</v>
      </c>
      <c r="I28" t="e">
        <f>AND(#REF!,"AAAAAHud7wg=")</f>
        <v>#REF!</v>
      </c>
      <c r="J28" t="e">
        <f>AND(#REF!,"AAAAAHud7wk=")</f>
        <v>#REF!</v>
      </c>
      <c r="K28" t="e">
        <f>AND(#REF!,"AAAAAHud7wo=")</f>
        <v>#REF!</v>
      </c>
      <c r="L28" t="e">
        <f>AND(#REF!,"AAAAAHud7ws=")</f>
        <v>#REF!</v>
      </c>
      <c r="M28" t="e">
        <f>AND(#REF!,"AAAAAHud7ww=")</f>
        <v>#REF!</v>
      </c>
      <c r="N28" t="e">
        <f>AND(#REF!,"AAAAAHud7w0=")</f>
        <v>#REF!</v>
      </c>
      <c r="O28" t="e">
        <f>AND(#REF!,"AAAAAHud7w4=")</f>
        <v>#REF!</v>
      </c>
      <c r="P28" t="e">
        <f>AND(#REF!,"AAAAAHud7w8=")</f>
        <v>#REF!</v>
      </c>
      <c r="Q28" t="e">
        <f>AND(#REF!,"AAAAAHud7xA=")</f>
        <v>#REF!</v>
      </c>
      <c r="R28" t="e">
        <f>AND(#REF!,"AAAAAHud7xE=")</f>
        <v>#REF!</v>
      </c>
      <c r="S28" t="e">
        <f>AND(#REF!,"AAAAAHud7xI=")</f>
        <v>#REF!</v>
      </c>
      <c r="T28" t="e">
        <f>AND(#REF!,"AAAAAHud7xM=")</f>
        <v>#REF!</v>
      </c>
      <c r="U28" t="e">
        <f>AND(#REF!,"AAAAAHud7xQ=")</f>
        <v>#REF!</v>
      </c>
      <c r="V28" t="e">
        <f>AND(#REF!,"AAAAAHud7xU=")</f>
        <v>#REF!</v>
      </c>
      <c r="W28" t="e">
        <f>AND(#REF!,"AAAAAHud7xY=")</f>
        <v>#REF!</v>
      </c>
      <c r="X28" t="e">
        <f>AND(#REF!,"AAAAAHud7xc=")</f>
        <v>#REF!</v>
      </c>
      <c r="Y28" t="e">
        <f>AND(#REF!,"AAAAAHud7xg=")</f>
        <v>#REF!</v>
      </c>
      <c r="Z28" t="e">
        <f>AND(#REF!,"AAAAAHud7xk=")</f>
        <v>#REF!</v>
      </c>
      <c r="AA28" t="e">
        <f>AND(#REF!,"AAAAAHud7xo=")</f>
        <v>#REF!</v>
      </c>
      <c r="AB28" t="e">
        <f>AND(#REF!,"AAAAAHud7xs=")</f>
        <v>#REF!</v>
      </c>
      <c r="AC28" t="e">
        <f>AND(#REF!,"AAAAAHud7xw=")</f>
        <v>#REF!</v>
      </c>
      <c r="AD28" t="e">
        <f>AND(#REF!,"AAAAAHud7x0=")</f>
        <v>#REF!</v>
      </c>
      <c r="AE28" t="e">
        <f>AND(#REF!,"AAAAAHud7x4=")</f>
        <v>#REF!</v>
      </c>
      <c r="AF28" t="e">
        <f>AND(#REF!,"AAAAAHud7x8=")</f>
        <v>#REF!</v>
      </c>
      <c r="AG28" t="e">
        <f>AND(#REF!,"AAAAAHud7yA=")</f>
        <v>#REF!</v>
      </c>
      <c r="AH28" t="e">
        <f>AND(#REF!,"AAAAAHud7yE=")</f>
        <v>#REF!</v>
      </c>
      <c r="AI28" t="e">
        <f>AND(#REF!,"AAAAAHud7yI=")</f>
        <v>#REF!</v>
      </c>
      <c r="AJ28" t="e">
        <f>AND(#REF!,"AAAAAHud7yM=")</f>
        <v>#REF!</v>
      </c>
      <c r="AK28" t="e">
        <f>AND(#REF!,"AAAAAHud7yQ=")</f>
        <v>#REF!</v>
      </c>
      <c r="AL28" t="e">
        <f>AND(#REF!,"AAAAAHud7yU=")</f>
        <v>#REF!</v>
      </c>
      <c r="AM28" t="e">
        <f>AND(#REF!,"AAAAAHud7yY=")</f>
        <v>#REF!</v>
      </c>
      <c r="AN28" t="e">
        <f>AND(#REF!,"AAAAAHud7yc=")</f>
        <v>#REF!</v>
      </c>
      <c r="AO28" t="e">
        <f>AND(#REF!,"AAAAAHud7yg=")</f>
        <v>#REF!</v>
      </c>
      <c r="AP28" t="e">
        <f>AND(#REF!,"AAAAAHud7yk=")</f>
        <v>#REF!</v>
      </c>
      <c r="AQ28" t="e">
        <f>AND(#REF!,"AAAAAHud7yo=")</f>
        <v>#REF!</v>
      </c>
      <c r="AR28" t="e">
        <f>AND(#REF!,"AAAAAHud7ys=")</f>
        <v>#REF!</v>
      </c>
      <c r="AS28" t="e">
        <f>AND(#REF!,"AAAAAHud7yw=")</f>
        <v>#REF!</v>
      </c>
      <c r="AT28" t="e">
        <f>AND(#REF!,"AAAAAHud7y0=")</f>
        <v>#REF!</v>
      </c>
      <c r="AU28" t="e">
        <f>AND(#REF!,"AAAAAHud7y4=")</f>
        <v>#REF!</v>
      </c>
      <c r="AV28" t="e">
        <f>AND(#REF!,"AAAAAHud7y8=")</f>
        <v>#REF!</v>
      </c>
      <c r="AW28" t="e">
        <f>AND(#REF!,"AAAAAHud7zA=")</f>
        <v>#REF!</v>
      </c>
      <c r="AX28" t="e">
        <f>AND(#REF!,"AAAAAHud7zE=")</f>
        <v>#REF!</v>
      </c>
      <c r="AY28" t="e">
        <f>AND(#REF!,"AAAAAHud7zI=")</f>
        <v>#REF!</v>
      </c>
      <c r="AZ28" t="e">
        <f>AND(#REF!,"AAAAAHud7zM=")</f>
        <v>#REF!</v>
      </c>
      <c r="BA28" t="e">
        <f>AND(#REF!,"AAAAAHud7zQ=")</f>
        <v>#REF!</v>
      </c>
      <c r="BB28" t="e">
        <f>AND(#REF!,"AAAAAHud7zU=")</f>
        <v>#REF!</v>
      </c>
      <c r="BC28" t="e">
        <f>AND(#REF!,"AAAAAHud7zY=")</f>
        <v>#REF!</v>
      </c>
      <c r="BD28" t="e">
        <f>AND(#REF!,"AAAAAHud7zc=")</f>
        <v>#REF!</v>
      </c>
      <c r="BE28" t="e">
        <f>AND(#REF!,"AAAAAHud7zg=")</f>
        <v>#REF!</v>
      </c>
      <c r="BF28" t="e">
        <f>AND(#REF!,"AAAAAHud7zk=")</f>
        <v>#REF!</v>
      </c>
      <c r="BG28" t="e">
        <f>AND(#REF!,"AAAAAHud7zo=")</f>
        <v>#REF!</v>
      </c>
      <c r="BH28" t="e">
        <f>AND(#REF!,"AAAAAHud7zs=")</f>
        <v>#REF!</v>
      </c>
      <c r="BI28" t="e">
        <f>AND(#REF!,"AAAAAHud7zw=")</f>
        <v>#REF!</v>
      </c>
      <c r="BJ28" t="e">
        <f>AND(#REF!,"AAAAAHud7z0=")</f>
        <v>#REF!</v>
      </c>
      <c r="BK28" t="e">
        <f>AND(#REF!,"AAAAAHud7z4=")</f>
        <v>#REF!</v>
      </c>
      <c r="BL28" t="e">
        <f>AND(#REF!,"AAAAAHud7z8=")</f>
        <v>#REF!</v>
      </c>
      <c r="BM28" t="e">
        <f>AND(#REF!,"AAAAAHud70A=")</f>
        <v>#REF!</v>
      </c>
      <c r="BN28" t="e">
        <f>AND(#REF!,"AAAAAHud70E=")</f>
        <v>#REF!</v>
      </c>
      <c r="BO28" t="e">
        <f>AND(#REF!,"AAAAAHud70I=")</f>
        <v>#REF!</v>
      </c>
      <c r="BP28" t="e">
        <f>AND(#REF!,"AAAAAHud70M=")</f>
        <v>#REF!</v>
      </c>
      <c r="BQ28" t="e">
        <f>AND(#REF!,"AAAAAHud70Q=")</f>
        <v>#REF!</v>
      </c>
      <c r="BR28" t="e">
        <f>AND(#REF!,"AAAAAHud70U=")</f>
        <v>#REF!</v>
      </c>
      <c r="BS28" t="e">
        <f>AND(#REF!,"AAAAAHud70Y=")</f>
        <v>#REF!</v>
      </c>
      <c r="BT28" t="e">
        <f>AND(#REF!,"AAAAAHud70c=")</f>
        <v>#REF!</v>
      </c>
      <c r="BU28" t="e">
        <f>AND(#REF!,"AAAAAHud70g=")</f>
        <v>#REF!</v>
      </c>
      <c r="BV28" t="e">
        <f>AND(#REF!,"AAAAAHud70k=")</f>
        <v>#REF!</v>
      </c>
      <c r="BW28" t="e">
        <f>AND(#REF!,"AAAAAHud70o=")</f>
        <v>#REF!</v>
      </c>
      <c r="BX28" t="e">
        <f>AND(#REF!,"AAAAAHud70s=")</f>
        <v>#REF!</v>
      </c>
      <c r="BY28" t="e">
        <f>AND(#REF!,"AAAAAHud70w=")</f>
        <v>#REF!</v>
      </c>
      <c r="BZ28" t="e">
        <f>AND(#REF!,"AAAAAHud700=")</f>
        <v>#REF!</v>
      </c>
      <c r="CA28" t="e">
        <f>AND(#REF!,"AAAAAHud704=")</f>
        <v>#REF!</v>
      </c>
      <c r="CB28" t="e">
        <f>AND(#REF!,"AAAAAHud708=")</f>
        <v>#REF!</v>
      </c>
      <c r="CC28" t="e">
        <f>AND(#REF!,"AAAAAHud71A=")</f>
        <v>#REF!</v>
      </c>
      <c r="CD28" t="e">
        <f>AND(#REF!,"AAAAAHud71E=")</f>
        <v>#REF!</v>
      </c>
      <c r="CE28" t="e">
        <f>AND(#REF!,"AAAAAHud71I=")</f>
        <v>#REF!</v>
      </c>
      <c r="CF28" t="e">
        <f>AND(#REF!,"AAAAAHud71M=")</f>
        <v>#REF!</v>
      </c>
      <c r="CG28" t="e">
        <f>AND(#REF!,"AAAAAHud71Q=")</f>
        <v>#REF!</v>
      </c>
      <c r="CH28" t="e">
        <f>AND(#REF!,"AAAAAHud71U=")</f>
        <v>#REF!</v>
      </c>
      <c r="CI28" t="e">
        <f>AND(#REF!,"AAAAAHud71Y=")</f>
        <v>#REF!</v>
      </c>
      <c r="CJ28" t="e">
        <f>AND(#REF!,"AAAAAHud71c=")</f>
        <v>#REF!</v>
      </c>
      <c r="CK28" t="e">
        <f>AND(#REF!,"AAAAAHud71g=")</f>
        <v>#REF!</v>
      </c>
      <c r="CL28" t="e">
        <f>AND(#REF!,"AAAAAHud71k=")</f>
        <v>#REF!</v>
      </c>
      <c r="CM28" t="e">
        <f>AND(#REF!,"AAAAAHud71o=")</f>
        <v>#REF!</v>
      </c>
      <c r="CN28" t="e">
        <f>AND(#REF!,"AAAAAHud71s=")</f>
        <v>#REF!</v>
      </c>
      <c r="CO28" t="e">
        <f>AND(#REF!,"AAAAAHud71w=")</f>
        <v>#REF!</v>
      </c>
      <c r="CP28" t="e">
        <f>AND(#REF!,"AAAAAHud710=")</f>
        <v>#REF!</v>
      </c>
      <c r="CQ28" t="e">
        <f>AND(#REF!,"AAAAAHud714=")</f>
        <v>#REF!</v>
      </c>
      <c r="CR28" t="e">
        <f>AND(#REF!,"AAAAAHud718=")</f>
        <v>#REF!</v>
      </c>
      <c r="CS28" t="e">
        <f>AND(#REF!,"AAAAAHud72A=")</f>
        <v>#REF!</v>
      </c>
      <c r="CT28" t="e">
        <f>AND(#REF!,"AAAAAHud72E=")</f>
        <v>#REF!</v>
      </c>
      <c r="CU28" t="e">
        <f>AND(#REF!,"AAAAAHud72I=")</f>
        <v>#REF!</v>
      </c>
      <c r="CV28" t="e">
        <f>AND(#REF!,"AAAAAHud72M=")</f>
        <v>#REF!</v>
      </c>
      <c r="CW28" t="e">
        <f>AND(#REF!,"AAAAAHud72Q=")</f>
        <v>#REF!</v>
      </c>
      <c r="CX28" t="e">
        <f>AND(#REF!,"AAAAAHud72U=")</f>
        <v>#REF!</v>
      </c>
      <c r="CY28" t="e">
        <f>AND(#REF!,"AAAAAHud72Y=")</f>
        <v>#REF!</v>
      </c>
      <c r="CZ28" t="e">
        <f>AND(#REF!,"AAAAAHud72c=")</f>
        <v>#REF!</v>
      </c>
      <c r="DA28" t="e">
        <f>AND(#REF!,"AAAAAHud72g=")</f>
        <v>#REF!</v>
      </c>
      <c r="DB28" t="e">
        <f>AND(#REF!,"AAAAAHud72k=")</f>
        <v>#REF!</v>
      </c>
      <c r="DC28" t="e">
        <f>AND(#REF!,"AAAAAHud72o=")</f>
        <v>#REF!</v>
      </c>
      <c r="DD28" t="e">
        <f>AND(#REF!,"AAAAAHud72s=")</f>
        <v>#REF!</v>
      </c>
      <c r="DE28" t="e">
        <f>AND(#REF!,"AAAAAHud72w=")</f>
        <v>#REF!</v>
      </c>
      <c r="DF28" t="e">
        <f>AND(#REF!,"AAAAAHud720=")</f>
        <v>#REF!</v>
      </c>
      <c r="DG28" t="e">
        <f>AND(#REF!,"AAAAAHud724=")</f>
        <v>#REF!</v>
      </c>
      <c r="DH28" t="e">
        <f>AND(#REF!,"AAAAAHud728=")</f>
        <v>#REF!</v>
      </c>
      <c r="DI28" t="e">
        <f>AND(#REF!,"AAAAAHud73A=")</f>
        <v>#REF!</v>
      </c>
      <c r="DJ28" t="e">
        <f>AND(#REF!,"AAAAAHud73E=")</f>
        <v>#REF!</v>
      </c>
      <c r="DK28" t="e">
        <f>AND(#REF!,"AAAAAHud73I=")</f>
        <v>#REF!</v>
      </c>
      <c r="DL28" t="e">
        <f>AND(#REF!,"AAAAAHud73M=")</f>
        <v>#REF!</v>
      </c>
      <c r="DM28" t="e">
        <f>AND(#REF!,"AAAAAHud73Q=")</f>
        <v>#REF!</v>
      </c>
      <c r="DN28" t="e">
        <f>AND(#REF!,"AAAAAHud73U=")</f>
        <v>#REF!</v>
      </c>
      <c r="DO28" t="e">
        <f>AND(#REF!,"AAAAAHud73Y=")</f>
        <v>#REF!</v>
      </c>
      <c r="DP28" t="e">
        <f>AND(#REF!,"AAAAAHud73c=")</f>
        <v>#REF!</v>
      </c>
      <c r="DQ28" t="e">
        <f>AND(#REF!,"AAAAAHud73g=")</f>
        <v>#REF!</v>
      </c>
      <c r="DR28" t="e">
        <f>AND(#REF!,"AAAAAHud73k=")</f>
        <v>#REF!</v>
      </c>
      <c r="DS28" t="e">
        <f>AND(#REF!,"AAAAAHud73o=")</f>
        <v>#REF!</v>
      </c>
      <c r="DT28" t="e">
        <f>AND(#REF!,"AAAAAHud73s=")</f>
        <v>#REF!</v>
      </c>
      <c r="DU28" t="e">
        <f>AND(#REF!,"AAAAAHud73w=")</f>
        <v>#REF!</v>
      </c>
      <c r="DV28" t="e">
        <f>AND(#REF!,"AAAAAHud730=")</f>
        <v>#REF!</v>
      </c>
      <c r="DW28" t="e">
        <f>AND(#REF!,"AAAAAHud734=")</f>
        <v>#REF!</v>
      </c>
      <c r="DX28" t="e">
        <f>AND(#REF!,"AAAAAHud738=")</f>
        <v>#REF!</v>
      </c>
      <c r="DY28" t="e">
        <f>AND(#REF!,"AAAAAHud74A=")</f>
        <v>#REF!</v>
      </c>
      <c r="DZ28" t="e">
        <f>AND(#REF!,"AAAAAHud74E=")</f>
        <v>#REF!</v>
      </c>
      <c r="EA28" t="e">
        <f>AND(#REF!,"AAAAAHud74I=")</f>
        <v>#REF!</v>
      </c>
      <c r="EB28" t="e">
        <f>AND(#REF!,"AAAAAHud74M=")</f>
        <v>#REF!</v>
      </c>
      <c r="EC28" t="e">
        <f>AND(#REF!,"AAAAAHud74Q=")</f>
        <v>#REF!</v>
      </c>
      <c r="ED28" t="e">
        <f>AND(#REF!,"AAAAAHud74U=")</f>
        <v>#REF!</v>
      </c>
      <c r="EE28" t="e">
        <f>AND(#REF!,"AAAAAHud74Y=")</f>
        <v>#REF!</v>
      </c>
      <c r="EF28" t="e">
        <f>AND(#REF!,"AAAAAHud74c=")</f>
        <v>#REF!</v>
      </c>
      <c r="EG28" t="e">
        <f>AND(#REF!,"AAAAAHud74g=")</f>
        <v>#REF!</v>
      </c>
      <c r="EH28" t="e">
        <f>AND(#REF!,"AAAAAHud74k=")</f>
        <v>#REF!</v>
      </c>
      <c r="EI28" t="e">
        <f>AND(#REF!,"AAAAAHud74o=")</f>
        <v>#REF!</v>
      </c>
      <c r="EJ28" t="e">
        <f>AND(#REF!,"AAAAAHud74s=")</f>
        <v>#REF!</v>
      </c>
      <c r="EK28" t="e">
        <f>AND(#REF!,"AAAAAHud74w=")</f>
        <v>#REF!</v>
      </c>
      <c r="EL28" t="e">
        <f>AND(#REF!,"AAAAAHud740=")</f>
        <v>#REF!</v>
      </c>
      <c r="EM28" t="e">
        <f>AND(#REF!,"AAAAAHud744=")</f>
        <v>#REF!</v>
      </c>
      <c r="EN28" t="e">
        <f>AND(#REF!,"AAAAAHud748=")</f>
        <v>#REF!</v>
      </c>
      <c r="EO28" t="e">
        <f>AND(#REF!,"AAAAAHud75A=")</f>
        <v>#REF!</v>
      </c>
      <c r="EP28" t="e">
        <f>AND(#REF!,"AAAAAHud75E=")</f>
        <v>#REF!</v>
      </c>
      <c r="EQ28" t="e">
        <f>AND(#REF!,"AAAAAHud75I=")</f>
        <v>#REF!</v>
      </c>
      <c r="ER28" t="e">
        <f>AND(#REF!,"AAAAAHud75M=")</f>
        <v>#REF!</v>
      </c>
      <c r="ES28" t="e">
        <f>AND(#REF!,"AAAAAHud75Q=")</f>
        <v>#REF!</v>
      </c>
      <c r="ET28" t="e">
        <f>AND(#REF!,"AAAAAHud75U=")</f>
        <v>#REF!</v>
      </c>
      <c r="EU28" t="e">
        <f>AND(#REF!,"AAAAAHud75Y=")</f>
        <v>#REF!</v>
      </c>
      <c r="EV28" t="e">
        <f>AND(#REF!,"AAAAAHud75c=")</f>
        <v>#REF!</v>
      </c>
      <c r="EW28" t="e">
        <f>AND(#REF!,"AAAAAHud75g=")</f>
        <v>#REF!</v>
      </c>
      <c r="EX28" t="e">
        <f>AND(#REF!,"AAAAAHud75k=")</f>
        <v>#REF!</v>
      </c>
      <c r="EY28" t="e">
        <f>AND(#REF!,"AAAAAHud75o=")</f>
        <v>#REF!</v>
      </c>
      <c r="EZ28" t="e">
        <f>AND(#REF!,"AAAAAHud75s=")</f>
        <v>#REF!</v>
      </c>
      <c r="FA28" t="e">
        <f>AND(#REF!,"AAAAAHud75w=")</f>
        <v>#REF!</v>
      </c>
      <c r="FB28" t="e">
        <f>AND(#REF!,"AAAAAHud750=")</f>
        <v>#REF!</v>
      </c>
      <c r="FC28" t="e">
        <f>AND(#REF!,"AAAAAHud754=")</f>
        <v>#REF!</v>
      </c>
      <c r="FD28" t="e">
        <f>AND(#REF!,"AAAAAHud758=")</f>
        <v>#REF!</v>
      </c>
      <c r="FE28" t="e">
        <f>AND(#REF!,"AAAAAHud76A=")</f>
        <v>#REF!</v>
      </c>
      <c r="FF28" t="e">
        <f>AND(#REF!,"AAAAAHud76E=")</f>
        <v>#REF!</v>
      </c>
      <c r="FG28" t="e">
        <f>AND(#REF!,"AAAAAHud76I=")</f>
        <v>#REF!</v>
      </c>
      <c r="FH28" t="e">
        <f>AND(#REF!,"AAAAAHud76M=")</f>
        <v>#REF!</v>
      </c>
      <c r="FI28" t="e">
        <f>AND(#REF!,"AAAAAHud76Q=")</f>
        <v>#REF!</v>
      </c>
      <c r="FJ28" t="e">
        <f>AND(#REF!,"AAAAAHud76U=")</f>
        <v>#REF!</v>
      </c>
      <c r="FK28" t="e">
        <f>AND(#REF!,"AAAAAHud76Y=")</f>
        <v>#REF!</v>
      </c>
      <c r="FL28" t="e">
        <f>AND(#REF!,"AAAAAHud76c=")</f>
        <v>#REF!</v>
      </c>
      <c r="FM28" t="e">
        <f>AND(#REF!,"AAAAAHud76g=")</f>
        <v>#REF!</v>
      </c>
      <c r="FN28" t="e">
        <f>AND(#REF!,"AAAAAHud76k=")</f>
        <v>#REF!</v>
      </c>
      <c r="FO28" t="e">
        <f>AND(#REF!,"AAAAAHud76o=")</f>
        <v>#REF!</v>
      </c>
      <c r="FP28" t="e">
        <f>AND(#REF!,"AAAAAHud76s=")</f>
        <v>#REF!</v>
      </c>
      <c r="FQ28" t="e">
        <f>AND(#REF!,"AAAAAHud76w=")</f>
        <v>#REF!</v>
      </c>
      <c r="FR28" t="e">
        <f>AND(#REF!,"AAAAAHud760=")</f>
        <v>#REF!</v>
      </c>
      <c r="FS28" t="e">
        <f>AND(#REF!,"AAAAAHud764=")</f>
        <v>#REF!</v>
      </c>
      <c r="FT28" t="e">
        <f>AND(#REF!,"AAAAAHud768=")</f>
        <v>#REF!</v>
      </c>
      <c r="FU28" t="e">
        <f>AND(#REF!,"AAAAAHud77A=")</f>
        <v>#REF!</v>
      </c>
      <c r="FV28" t="e">
        <f>AND(#REF!,"AAAAAHud77E=")</f>
        <v>#REF!</v>
      </c>
      <c r="FW28" t="e">
        <f>AND(#REF!,"AAAAAHud77I=")</f>
        <v>#REF!</v>
      </c>
      <c r="FX28" t="e">
        <f>AND(#REF!,"AAAAAHud77M=")</f>
        <v>#REF!</v>
      </c>
      <c r="FY28" t="e">
        <f>AND(#REF!,"AAAAAHud77Q=")</f>
        <v>#REF!</v>
      </c>
      <c r="FZ28" t="e">
        <f>AND(#REF!,"AAAAAHud77U=")</f>
        <v>#REF!</v>
      </c>
      <c r="GA28" t="e">
        <f>AND(#REF!,"AAAAAHud77Y=")</f>
        <v>#REF!</v>
      </c>
      <c r="GB28" t="e">
        <f>AND(#REF!,"AAAAAHud77c=")</f>
        <v>#REF!</v>
      </c>
      <c r="GC28" t="e">
        <f>AND(#REF!,"AAAAAHud77g=")</f>
        <v>#REF!</v>
      </c>
      <c r="GD28" t="e">
        <f>AND(#REF!,"AAAAAHud77k=")</f>
        <v>#REF!</v>
      </c>
      <c r="GE28" t="e">
        <f>AND(#REF!,"AAAAAHud77o=")</f>
        <v>#REF!</v>
      </c>
      <c r="GF28" t="e">
        <f>AND(#REF!,"AAAAAHud77s=")</f>
        <v>#REF!</v>
      </c>
      <c r="GG28" t="e">
        <f>AND(#REF!,"AAAAAHud77w=")</f>
        <v>#REF!</v>
      </c>
      <c r="GH28" t="e">
        <f>AND(#REF!,"AAAAAHud770=")</f>
        <v>#REF!</v>
      </c>
      <c r="GI28" t="e">
        <f>AND(#REF!,"AAAAAHud774=")</f>
        <v>#REF!</v>
      </c>
      <c r="GJ28" t="e">
        <f>AND(#REF!,"AAAAAHud778=")</f>
        <v>#REF!</v>
      </c>
      <c r="GK28" t="e">
        <f>AND(#REF!,"AAAAAHud78A=")</f>
        <v>#REF!</v>
      </c>
      <c r="GL28" t="e">
        <f>AND(#REF!,"AAAAAHud78E=")</f>
        <v>#REF!</v>
      </c>
      <c r="GM28" t="e">
        <f>AND(#REF!,"AAAAAHud78I=")</f>
        <v>#REF!</v>
      </c>
      <c r="GN28" t="e">
        <f>AND(#REF!,"AAAAAHud78M=")</f>
        <v>#REF!</v>
      </c>
      <c r="GO28" t="e">
        <f>AND(#REF!,"AAAAAHud78Q=")</f>
        <v>#REF!</v>
      </c>
      <c r="GP28" t="e">
        <f>AND(#REF!,"AAAAAHud78U=")</f>
        <v>#REF!</v>
      </c>
      <c r="GQ28" t="e">
        <f>AND(#REF!,"AAAAAHud78Y=")</f>
        <v>#REF!</v>
      </c>
      <c r="GR28" t="e">
        <f>AND(#REF!,"AAAAAHud78c=")</f>
        <v>#REF!</v>
      </c>
      <c r="GS28" t="e">
        <f>AND(#REF!,"AAAAAHud78g=")</f>
        <v>#REF!</v>
      </c>
      <c r="GT28" t="e">
        <f>AND(#REF!,"AAAAAHud78k=")</f>
        <v>#REF!</v>
      </c>
      <c r="GU28" t="e">
        <f>AND(#REF!,"AAAAAHud78o=")</f>
        <v>#REF!</v>
      </c>
      <c r="GV28" t="e">
        <f>AND(#REF!,"AAAAAHud78s=")</f>
        <v>#REF!</v>
      </c>
      <c r="GW28" t="e">
        <f>AND(#REF!,"AAAAAHud78w=")</f>
        <v>#REF!</v>
      </c>
      <c r="GX28" t="e">
        <f>AND(#REF!,"AAAAAHud780=")</f>
        <v>#REF!</v>
      </c>
      <c r="GY28" t="e">
        <f>AND(#REF!,"AAAAAHud784=")</f>
        <v>#REF!</v>
      </c>
      <c r="GZ28" t="e">
        <f>AND(#REF!,"AAAAAHud788=")</f>
        <v>#REF!</v>
      </c>
      <c r="HA28" t="e">
        <f>AND(#REF!,"AAAAAHud79A=")</f>
        <v>#REF!</v>
      </c>
      <c r="HB28" t="e">
        <f>AND(#REF!,"AAAAAHud79E=")</f>
        <v>#REF!</v>
      </c>
      <c r="HC28" t="e">
        <f>AND(#REF!,"AAAAAHud79I=")</f>
        <v>#REF!</v>
      </c>
      <c r="HD28" t="e">
        <f>AND(#REF!,"AAAAAHud79M=")</f>
        <v>#REF!</v>
      </c>
      <c r="HE28" t="e">
        <f>AND(#REF!,"AAAAAHud79Q=")</f>
        <v>#REF!</v>
      </c>
      <c r="HF28" t="e">
        <f>AND(#REF!,"AAAAAHud79U=")</f>
        <v>#REF!</v>
      </c>
      <c r="HG28" t="e">
        <f>AND(#REF!,"AAAAAHud79Y=")</f>
        <v>#REF!</v>
      </c>
      <c r="HH28" t="e">
        <f>AND(#REF!,"AAAAAHud79c=")</f>
        <v>#REF!</v>
      </c>
      <c r="HI28" t="e">
        <f>AND(#REF!,"AAAAAHud79g=")</f>
        <v>#REF!</v>
      </c>
      <c r="HJ28" t="e">
        <f>AND(#REF!,"AAAAAHud79k=")</f>
        <v>#REF!</v>
      </c>
      <c r="HK28" t="e">
        <f>AND(#REF!,"AAAAAHud79o=")</f>
        <v>#REF!</v>
      </c>
      <c r="HL28" t="e">
        <f>AND(#REF!,"AAAAAHud79s=")</f>
        <v>#REF!</v>
      </c>
      <c r="HM28" t="e">
        <f>AND(#REF!,"AAAAAHud79w=")</f>
        <v>#REF!</v>
      </c>
      <c r="HN28" t="e">
        <f>AND(#REF!,"AAAAAHud790=")</f>
        <v>#REF!</v>
      </c>
      <c r="HO28" t="e">
        <f>AND(#REF!,"AAAAAHud794=")</f>
        <v>#REF!</v>
      </c>
      <c r="HP28" t="e">
        <f>AND(#REF!,"AAAAAHud798=")</f>
        <v>#REF!</v>
      </c>
      <c r="HQ28" t="e">
        <f>AND(#REF!,"AAAAAHud7+A=")</f>
        <v>#REF!</v>
      </c>
      <c r="HR28" t="e">
        <f>AND(#REF!,"AAAAAHud7+E=")</f>
        <v>#REF!</v>
      </c>
      <c r="HS28" t="e">
        <f>AND(#REF!,"AAAAAHud7+I=")</f>
        <v>#REF!</v>
      </c>
      <c r="HT28" t="e">
        <f>AND(#REF!,"AAAAAHud7+M=")</f>
        <v>#REF!</v>
      </c>
      <c r="HU28" t="e">
        <f>AND(#REF!,"AAAAAHud7+Q=")</f>
        <v>#REF!</v>
      </c>
      <c r="HV28" t="e">
        <f>AND(#REF!,"AAAAAHud7+U=")</f>
        <v>#REF!</v>
      </c>
      <c r="HW28" t="e">
        <f>AND(#REF!,"AAAAAHud7+Y=")</f>
        <v>#REF!</v>
      </c>
      <c r="HX28" t="e">
        <f>AND(#REF!,"AAAAAHud7+c=")</f>
        <v>#REF!</v>
      </c>
      <c r="HY28" t="e">
        <f>AND(#REF!,"AAAAAHud7+g=")</f>
        <v>#REF!</v>
      </c>
      <c r="HZ28" t="e">
        <f>AND(#REF!,"AAAAAHud7+k=")</f>
        <v>#REF!</v>
      </c>
      <c r="IA28" t="e">
        <f>AND(#REF!,"AAAAAHud7+o=")</f>
        <v>#REF!</v>
      </c>
      <c r="IB28" t="e">
        <f>AND(#REF!,"AAAAAHud7+s=")</f>
        <v>#REF!</v>
      </c>
      <c r="IC28" t="e">
        <f>AND(#REF!,"AAAAAHud7+w=")</f>
        <v>#REF!</v>
      </c>
      <c r="ID28" t="e">
        <f>AND(#REF!,"AAAAAHud7+0=")</f>
        <v>#REF!</v>
      </c>
      <c r="IE28" t="e">
        <f>AND(#REF!,"AAAAAHud7+4=")</f>
        <v>#REF!</v>
      </c>
      <c r="IF28" t="e">
        <f>AND(#REF!,"AAAAAHud7+8=")</f>
        <v>#REF!</v>
      </c>
      <c r="IG28" t="e">
        <f>AND(#REF!,"AAAAAHud7/A=")</f>
        <v>#REF!</v>
      </c>
      <c r="IH28" t="e">
        <f>AND(#REF!,"AAAAAHud7/E=")</f>
        <v>#REF!</v>
      </c>
      <c r="II28" t="e">
        <f>AND(#REF!,"AAAAAHud7/I=")</f>
        <v>#REF!</v>
      </c>
      <c r="IJ28" t="e">
        <f>AND(#REF!,"AAAAAHud7/M=")</f>
        <v>#REF!</v>
      </c>
      <c r="IK28" t="e">
        <f>AND(#REF!,"AAAAAHud7/Q=")</f>
        <v>#REF!</v>
      </c>
      <c r="IL28" t="e">
        <f>AND(#REF!,"AAAAAHud7/U=")</f>
        <v>#REF!</v>
      </c>
      <c r="IM28" t="e">
        <f>AND(#REF!,"AAAAAHud7/Y=")</f>
        <v>#REF!</v>
      </c>
      <c r="IN28" t="e">
        <f>AND(#REF!,"AAAAAHud7/c=")</f>
        <v>#REF!</v>
      </c>
      <c r="IO28" t="e">
        <f>AND(#REF!,"AAAAAHud7/g=")</f>
        <v>#REF!</v>
      </c>
      <c r="IP28" t="e">
        <f>AND(#REF!,"AAAAAHud7/k=")</f>
        <v>#REF!</v>
      </c>
      <c r="IQ28" t="e">
        <f>AND(#REF!,"AAAAAHud7/o=")</f>
        <v>#REF!</v>
      </c>
      <c r="IR28" t="e">
        <f>AND(#REF!,"AAAAAHud7/s=")</f>
        <v>#REF!</v>
      </c>
      <c r="IS28" t="e">
        <f>AND(#REF!,"AAAAAHud7/w=")</f>
        <v>#REF!</v>
      </c>
      <c r="IT28" t="e">
        <f>AND(#REF!,"AAAAAHud7/0=")</f>
        <v>#REF!</v>
      </c>
      <c r="IU28" t="e">
        <f>AND(#REF!,"AAAAAHud7/4=")</f>
        <v>#REF!</v>
      </c>
      <c r="IV28" t="e">
        <f>AND(#REF!,"AAAAAHud7/8=")</f>
        <v>#REF!</v>
      </c>
    </row>
    <row r="29" spans="1:256">
      <c r="A29" t="e">
        <f>AND(#REF!,"AAAAAH/N/wA=")</f>
        <v>#REF!</v>
      </c>
      <c r="B29" t="e">
        <f>AND(#REF!,"AAAAAH/N/wE=")</f>
        <v>#REF!</v>
      </c>
      <c r="C29" t="e">
        <f>AND(#REF!,"AAAAAH/N/wI=")</f>
        <v>#REF!</v>
      </c>
      <c r="D29" t="e">
        <f>AND(#REF!,"AAAAAH/N/wM=")</f>
        <v>#REF!</v>
      </c>
      <c r="E29" t="e">
        <f>AND(#REF!,"AAAAAH/N/wQ=")</f>
        <v>#REF!</v>
      </c>
      <c r="F29" t="e">
        <f>AND(#REF!,"AAAAAH/N/wU=")</f>
        <v>#REF!</v>
      </c>
      <c r="G29" t="e">
        <f>AND(#REF!,"AAAAAH/N/wY=")</f>
        <v>#REF!</v>
      </c>
      <c r="H29" t="e">
        <f>AND(#REF!,"AAAAAH/N/wc=")</f>
        <v>#REF!</v>
      </c>
      <c r="I29" t="e">
        <f>AND(#REF!,"AAAAAH/N/wg=")</f>
        <v>#REF!</v>
      </c>
      <c r="J29" t="e">
        <f>AND(#REF!,"AAAAAH/N/wk=")</f>
        <v>#REF!</v>
      </c>
      <c r="K29" t="e">
        <f>AND(#REF!,"AAAAAH/N/wo=")</f>
        <v>#REF!</v>
      </c>
      <c r="L29" t="e">
        <f>AND(#REF!,"AAAAAH/N/ws=")</f>
        <v>#REF!</v>
      </c>
      <c r="M29" t="e">
        <f>AND(#REF!,"AAAAAH/N/ww=")</f>
        <v>#REF!</v>
      </c>
      <c r="N29" t="e">
        <f>AND(#REF!,"AAAAAH/N/w0=")</f>
        <v>#REF!</v>
      </c>
      <c r="O29" t="e">
        <f>AND(#REF!,"AAAAAH/N/w4=")</f>
        <v>#REF!</v>
      </c>
      <c r="P29" t="e">
        <f>AND(#REF!,"AAAAAH/N/w8=")</f>
        <v>#REF!</v>
      </c>
      <c r="Q29" t="e">
        <f>AND(#REF!,"AAAAAH/N/xA=")</f>
        <v>#REF!</v>
      </c>
      <c r="R29" t="e">
        <f>AND(#REF!,"AAAAAH/N/xE=")</f>
        <v>#REF!</v>
      </c>
      <c r="S29" t="e">
        <f>AND(#REF!,"AAAAAH/N/xI=")</f>
        <v>#REF!</v>
      </c>
      <c r="T29" t="e">
        <f>AND(#REF!,"AAAAAH/N/xM=")</f>
        <v>#REF!</v>
      </c>
      <c r="U29" t="e">
        <f>AND(#REF!,"AAAAAH/N/xQ=")</f>
        <v>#REF!</v>
      </c>
      <c r="V29" t="e">
        <f>AND(#REF!,"AAAAAH/N/xU=")</f>
        <v>#REF!</v>
      </c>
      <c r="W29" t="e">
        <f>AND(#REF!,"AAAAAH/N/xY=")</f>
        <v>#REF!</v>
      </c>
      <c r="X29" t="e">
        <f>AND(#REF!,"AAAAAH/N/xc=")</f>
        <v>#REF!</v>
      </c>
      <c r="Y29" t="e">
        <f>AND(#REF!,"AAAAAH/N/xg=")</f>
        <v>#REF!</v>
      </c>
      <c r="Z29" t="e">
        <f>AND(#REF!,"AAAAAH/N/xk=")</f>
        <v>#REF!</v>
      </c>
      <c r="AA29" t="e">
        <f>AND(#REF!,"AAAAAH/N/xo=")</f>
        <v>#REF!</v>
      </c>
      <c r="AB29" t="e">
        <f>AND(#REF!,"AAAAAH/N/xs=")</f>
        <v>#REF!</v>
      </c>
      <c r="AC29" t="e">
        <f>AND(#REF!,"AAAAAH/N/xw=")</f>
        <v>#REF!</v>
      </c>
      <c r="AD29" t="e">
        <f>AND(#REF!,"AAAAAH/N/x0=")</f>
        <v>#REF!</v>
      </c>
      <c r="AE29" t="e">
        <f>AND(#REF!,"AAAAAH/N/x4=")</f>
        <v>#REF!</v>
      </c>
      <c r="AF29" t="e">
        <f>AND(#REF!,"AAAAAH/N/x8=")</f>
        <v>#REF!</v>
      </c>
      <c r="AG29" t="e">
        <f>AND(#REF!,"AAAAAH/N/yA=")</f>
        <v>#REF!</v>
      </c>
      <c r="AH29" t="e">
        <f>AND(#REF!,"AAAAAH/N/yE=")</f>
        <v>#REF!</v>
      </c>
      <c r="AI29" t="e">
        <f>AND(#REF!,"AAAAAH/N/yI=")</f>
        <v>#REF!</v>
      </c>
      <c r="AJ29" t="e">
        <f>AND(#REF!,"AAAAAH/N/yM=")</f>
        <v>#REF!</v>
      </c>
      <c r="AK29" t="e">
        <f>AND(#REF!,"AAAAAH/N/yQ=")</f>
        <v>#REF!</v>
      </c>
      <c r="AL29" t="e">
        <f>AND(#REF!,"AAAAAH/N/yU=")</f>
        <v>#REF!</v>
      </c>
      <c r="AM29" t="e">
        <f>AND(#REF!,"AAAAAH/N/yY=")</f>
        <v>#REF!</v>
      </c>
      <c r="AN29" t="e">
        <f>AND(#REF!,"AAAAAH/N/yc=")</f>
        <v>#REF!</v>
      </c>
      <c r="AO29" t="e">
        <f>AND(#REF!,"AAAAAH/N/yg=")</f>
        <v>#REF!</v>
      </c>
      <c r="AP29" t="e">
        <f>AND(#REF!,"AAAAAH/N/yk=")</f>
        <v>#REF!</v>
      </c>
      <c r="AQ29" t="e">
        <f>AND(#REF!,"AAAAAH/N/yo=")</f>
        <v>#REF!</v>
      </c>
      <c r="AR29" t="e">
        <f>AND(#REF!,"AAAAAH/N/ys=")</f>
        <v>#REF!</v>
      </c>
      <c r="AS29" t="e">
        <f>AND(#REF!,"AAAAAH/N/yw=")</f>
        <v>#REF!</v>
      </c>
      <c r="AT29" t="e">
        <f>AND(#REF!,"AAAAAH/N/y0=")</f>
        <v>#REF!</v>
      </c>
      <c r="AU29" t="e">
        <f>AND(#REF!,"AAAAAH/N/y4=")</f>
        <v>#REF!</v>
      </c>
      <c r="AV29" t="e">
        <f>AND(#REF!,"AAAAAH/N/y8=")</f>
        <v>#REF!</v>
      </c>
      <c r="AW29" t="e">
        <f>AND(#REF!,"AAAAAH/N/zA=")</f>
        <v>#REF!</v>
      </c>
      <c r="AX29" t="e">
        <f>AND(#REF!,"AAAAAH/N/zE=")</f>
        <v>#REF!</v>
      </c>
      <c r="AY29" t="e">
        <f>AND(#REF!,"AAAAAH/N/zI=")</f>
        <v>#REF!</v>
      </c>
      <c r="AZ29" t="e">
        <f>AND(#REF!,"AAAAAH/N/zM=")</f>
        <v>#REF!</v>
      </c>
      <c r="BA29" t="e">
        <f>AND(#REF!,"AAAAAH/N/zQ=")</f>
        <v>#REF!</v>
      </c>
      <c r="BB29" t="e">
        <f>AND(#REF!,"AAAAAH/N/zU=")</f>
        <v>#REF!</v>
      </c>
      <c r="BC29" t="e">
        <f>AND(#REF!,"AAAAAH/N/zY=")</f>
        <v>#REF!</v>
      </c>
      <c r="BD29" t="e">
        <f>AND(#REF!,"AAAAAH/N/zc=")</f>
        <v>#REF!</v>
      </c>
      <c r="BE29" t="e">
        <f>AND(#REF!,"AAAAAH/N/zg=")</f>
        <v>#REF!</v>
      </c>
      <c r="BF29" t="e">
        <f>AND(#REF!,"AAAAAH/N/zk=")</f>
        <v>#REF!</v>
      </c>
      <c r="BG29" t="e">
        <f>AND(#REF!,"AAAAAH/N/zo=")</f>
        <v>#REF!</v>
      </c>
      <c r="BH29" t="e">
        <f>AND(#REF!,"AAAAAH/N/zs=")</f>
        <v>#REF!</v>
      </c>
      <c r="BI29" t="e">
        <f>AND(#REF!,"AAAAAH/N/zw=")</f>
        <v>#REF!</v>
      </c>
      <c r="BJ29" t="e">
        <f>AND(#REF!,"AAAAAH/N/z0=")</f>
        <v>#REF!</v>
      </c>
      <c r="BK29" t="e">
        <f>AND(#REF!,"AAAAAH/N/z4=")</f>
        <v>#REF!</v>
      </c>
      <c r="BL29" t="e">
        <f>AND(#REF!,"AAAAAH/N/z8=")</f>
        <v>#REF!</v>
      </c>
      <c r="BM29" t="e">
        <f>AND(#REF!,"AAAAAH/N/0A=")</f>
        <v>#REF!</v>
      </c>
      <c r="BN29" t="e">
        <f>AND(#REF!,"AAAAAH/N/0E=")</f>
        <v>#REF!</v>
      </c>
      <c r="BO29" t="e">
        <f>AND(#REF!,"AAAAAH/N/0I=")</f>
        <v>#REF!</v>
      </c>
      <c r="BP29" t="e">
        <f>AND(#REF!,"AAAAAH/N/0M=")</f>
        <v>#REF!</v>
      </c>
      <c r="BQ29" t="e">
        <f>AND(#REF!,"AAAAAH/N/0Q=")</f>
        <v>#REF!</v>
      </c>
      <c r="BR29" t="e">
        <f>AND(#REF!,"AAAAAH/N/0U=")</f>
        <v>#REF!</v>
      </c>
      <c r="BS29" t="e">
        <f>AND(#REF!,"AAAAAH/N/0Y=")</f>
        <v>#REF!</v>
      </c>
      <c r="BT29" t="e">
        <f>AND(#REF!,"AAAAAH/N/0c=")</f>
        <v>#REF!</v>
      </c>
      <c r="BU29" t="e">
        <f>AND(#REF!,"AAAAAH/N/0g=")</f>
        <v>#REF!</v>
      </c>
      <c r="BV29" t="e">
        <f>AND(#REF!,"AAAAAH/N/0k=")</f>
        <v>#REF!</v>
      </c>
      <c r="BW29" t="e">
        <f>AND(#REF!,"AAAAAH/N/0o=")</f>
        <v>#REF!</v>
      </c>
      <c r="BX29" t="e">
        <f>AND(#REF!,"AAAAAH/N/0s=")</f>
        <v>#REF!</v>
      </c>
      <c r="BY29" t="e">
        <f>AND(#REF!,"AAAAAH/N/0w=")</f>
        <v>#REF!</v>
      </c>
      <c r="BZ29" t="e">
        <f>AND(#REF!,"AAAAAH/N/00=")</f>
        <v>#REF!</v>
      </c>
      <c r="CA29" t="e">
        <f>AND(#REF!,"AAAAAH/N/04=")</f>
        <v>#REF!</v>
      </c>
      <c r="CB29" t="e">
        <f>AND(#REF!,"AAAAAH/N/08=")</f>
        <v>#REF!</v>
      </c>
      <c r="CC29" t="e">
        <f>AND(#REF!,"AAAAAH/N/1A=")</f>
        <v>#REF!</v>
      </c>
      <c r="CD29" t="e">
        <f>AND(#REF!,"AAAAAH/N/1E=")</f>
        <v>#REF!</v>
      </c>
      <c r="CE29" t="e">
        <f>AND(#REF!,"AAAAAH/N/1I=")</f>
        <v>#REF!</v>
      </c>
      <c r="CF29" t="e">
        <f>AND(#REF!,"AAAAAH/N/1M=")</f>
        <v>#REF!</v>
      </c>
      <c r="CG29" t="e">
        <f>AND(#REF!,"AAAAAH/N/1Q=")</f>
        <v>#REF!</v>
      </c>
      <c r="CH29" t="e">
        <f>AND(#REF!,"AAAAAH/N/1U=")</f>
        <v>#REF!</v>
      </c>
      <c r="CI29" t="e">
        <f>AND(#REF!,"AAAAAH/N/1Y=")</f>
        <v>#REF!</v>
      </c>
      <c r="CJ29" t="e">
        <f>AND(#REF!,"AAAAAH/N/1c=")</f>
        <v>#REF!</v>
      </c>
      <c r="CK29" t="e">
        <f>AND(#REF!,"AAAAAH/N/1g=")</f>
        <v>#REF!</v>
      </c>
      <c r="CL29" t="e">
        <f>AND(#REF!,"AAAAAH/N/1k=")</f>
        <v>#REF!</v>
      </c>
      <c r="CM29" t="e">
        <f>AND(#REF!,"AAAAAH/N/1o=")</f>
        <v>#REF!</v>
      </c>
      <c r="CN29" t="e">
        <f>AND(#REF!,"AAAAAH/N/1s=")</f>
        <v>#REF!</v>
      </c>
      <c r="CO29" t="e">
        <f>AND(#REF!,"AAAAAH/N/1w=")</f>
        <v>#REF!</v>
      </c>
      <c r="CP29" t="e">
        <f>AND(#REF!,"AAAAAH/N/10=")</f>
        <v>#REF!</v>
      </c>
      <c r="CQ29" t="e">
        <f>AND(#REF!,"AAAAAH/N/14=")</f>
        <v>#REF!</v>
      </c>
      <c r="CR29" t="e">
        <f>AND(#REF!,"AAAAAH/N/18=")</f>
        <v>#REF!</v>
      </c>
      <c r="CS29" t="e">
        <f>AND(#REF!,"AAAAAH/N/2A=")</f>
        <v>#REF!</v>
      </c>
      <c r="CT29" t="e">
        <f>AND(#REF!,"AAAAAH/N/2E=")</f>
        <v>#REF!</v>
      </c>
      <c r="CU29" t="e">
        <f>AND(#REF!,"AAAAAH/N/2I=")</f>
        <v>#REF!</v>
      </c>
      <c r="CV29" t="e">
        <f>AND(#REF!,"AAAAAH/N/2M=")</f>
        <v>#REF!</v>
      </c>
      <c r="CW29" t="e">
        <f>AND(#REF!,"AAAAAH/N/2Q=")</f>
        <v>#REF!</v>
      </c>
      <c r="CX29" t="e">
        <f>AND(#REF!,"AAAAAH/N/2U=")</f>
        <v>#REF!</v>
      </c>
      <c r="CY29" t="e">
        <f>AND(#REF!,"AAAAAH/N/2Y=")</f>
        <v>#REF!</v>
      </c>
      <c r="CZ29" t="e">
        <f>AND(#REF!,"AAAAAH/N/2c=")</f>
        <v>#REF!</v>
      </c>
      <c r="DA29" t="e">
        <f>AND(#REF!,"AAAAAH/N/2g=")</f>
        <v>#REF!</v>
      </c>
      <c r="DB29" t="e">
        <f>AND(#REF!,"AAAAAH/N/2k=")</f>
        <v>#REF!</v>
      </c>
      <c r="DC29" t="e">
        <f>AND(#REF!,"AAAAAH/N/2o=")</f>
        <v>#REF!</v>
      </c>
      <c r="DD29" t="e">
        <f>AND(#REF!,"AAAAAH/N/2s=")</f>
        <v>#REF!</v>
      </c>
      <c r="DE29" t="e">
        <f>AND(#REF!,"AAAAAH/N/2w=")</f>
        <v>#REF!</v>
      </c>
      <c r="DF29" t="e">
        <f>AND(#REF!,"AAAAAH/N/20=")</f>
        <v>#REF!</v>
      </c>
      <c r="DG29" t="e">
        <f>AND(#REF!,"AAAAAH/N/24=")</f>
        <v>#REF!</v>
      </c>
      <c r="DH29" t="e">
        <f>AND(#REF!,"AAAAAH/N/28=")</f>
        <v>#REF!</v>
      </c>
      <c r="DI29" t="e">
        <f>AND(#REF!,"AAAAAH/N/3A=")</f>
        <v>#REF!</v>
      </c>
      <c r="DJ29" t="e">
        <f>AND(#REF!,"AAAAAH/N/3E=")</f>
        <v>#REF!</v>
      </c>
      <c r="DK29" t="e">
        <f>AND(#REF!,"AAAAAH/N/3I=")</f>
        <v>#REF!</v>
      </c>
      <c r="DL29" t="e">
        <f>AND(#REF!,"AAAAAH/N/3M=")</f>
        <v>#REF!</v>
      </c>
      <c r="DM29" t="e">
        <f>AND(#REF!,"AAAAAH/N/3Q=")</f>
        <v>#REF!</v>
      </c>
      <c r="DN29" t="e">
        <f>AND(#REF!,"AAAAAH/N/3U=")</f>
        <v>#REF!</v>
      </c>
      <c r="DO29" t="e">
        <f>AND(#REF!,"AAAAAH/N/3Y=")</f>
        <v>#REF!</v>
      </c>
      <c r="DP29" t="e">
        <f>AND(#REF!,"AAAAAH/N/3c=")</f>
        <v>#REF!</v>
      </c>
      <c r="DQ29" t="e">
        <f>AND(#REF!,"AAAAAH/N/3g=")</f>
        <v>#REF!</v>
      </c>
      <c r="DR29" t="e">
        <f>AND(#REF!,"AAAAAH/N/3k=")</f>
        <v>#REF!</v>
      </c>
      <c r="DS29" t="e">
        <f>AND(#REF!,"AAAAAH/N/3o=")</f>
        <v>#REF!</v>
      </c>
      <c r="DT29" t="e">
        <f>AND(#REF!,"AAAAAH/N/3s=")</f>
        <v>#REF!</v>
      </c>
      <c r="DU29" t="e">
        <f>AND(#REF!,"AAAAAH/N/3w=")</f>
        <v>#REF!</v>
      </c>
      <c r="DV29" t="e">
        <f>AND(#REF!,"AAAAAH/N/30=")</f>
        <v>#REF!</v>
      </c>
      <c r="DW29" t="e">
        <f>AND(#REF!,"AAAAAH/N/34=")</f>
        <v>#REF!</v>
      </c>
      <c r="DX29" t="e">
        <f>AND(#REF!,"AAAAAH/N/38=")</f>
        <v>#REF!</v>
      </c>
      <c r="DY29" t="e">
        <f>AND(#REF!,"AAAAAH/N/4A=")</f>
        <v>#REF!</v>
      </c>
      <c r="DZ29" t="e">
        <f>AND(#REF!,"AAAAAH/N/4E=")</f>
        <v>#REF!</v>
      </c>
      <c r="EA29" t="e">
        <f>AND(#REF!,"AAAAAH/N/4I=")</f>
        <v>#REF!</v>
      </c>
      <c r="EB29" t="e">
        <f>AND(#REF!,"AAAAAH/N/4M=")</f>
        <v>#REF!</v>
      </c>
      <c r="EC29" t="e">
        <f>AND(#REF!,"AAAAAH/N/4Q=")</f>
        <v>#REF!</v>
      </c>
      <c r="ED29" t="e">
        <f>AND(#REF!,"AAAAAH/N/4U=")</f>
        <v>#REF!</v>
      </c>
      <c r="EE29" t="e">
        <f>AND(#REF!,"AAAAAH/N/4Y=")</f>
        <v>#REF!</v>
      </c>
      <c r="EF29" t="e">
        <f>AND(#REF!,"AAAAAH/N/4c=")</f>
        <v>#REF!</v>
      </c>
      <c r="EG29" t="e">
        <f>AND(#REF!,"AAAAAH/N/4g=")</f>
        <v>#REF!</v>
      </c>
      <c r="EH29" t="e">
        <f>AND(#REF!,"AAAAAH/N/4k=")</f>
        <v>#REF!</v>
      </c>
      <c r="EI29" t="e">
        <f>AND(#REF!,"AAAAAH/N/4o=")</f>
        <v>#REF!</v>
      </c>
      <c r="EJ29" t="e">
        <f>AND(#REF!,"AAAAAH/N/4s=")</f>
        <v>#REF!</v>
      </c>
      <c r="EK29" t="e">
        <f>AND(#REF!,"AAAAAH/N/4w=")</f>
        <v>#REF!</v>
      </c>
      <c r="EL29" t="e">
        <f>AND(#REF!,"AAAAAH/N/40=")</f>
        <v>#REF!</v>
      </c>
      <c r="EM29" t="e">
        <f>AND(#REF!,"AAAAAH/N/44=")</f>
        <v>#REF!</v>
      </c>
      <c r="EN29" t="e">
        <f>AND(#REF!,"AAAAAH/N/48=")</f>
        <v>#REF!</v>
      </c>
      <c r="EO29" t="e">
        <f>AND(#REF!,"AAAAAH/N/5A=")</f>
        <v>#REF!</v>
      </c>
      <c r="EP29" t="e">
        <f>AND(#REF!,"AAAAAH/N/5E=")</f>
        <v>#REF!</v>
      </c>
      <c r="EQ29" t="e">
        <f>AND(#REF!,"AAAAAH/N/5I=")</f>
        <v>#REF!</v>
      </c>
      <c r="ER29" t="e">
        <f>AND(#REF!,"AAAAAH/N/5M=")</f>
        <v>#REF!</v>
      </c>
      <c r="ES29" t="e">
        <f>AND(#REF!,"AAAAAH/N/5Q=")</f>
        <v>#REF!</v>
      </c>
      <c r="ET29" t="e">
        <f>AND(#REF!,"AAAAAH/N/5U=")</f>
        <v>#REF!</v>
      </c>
      <c r="EU29" t="e">
        <f>AND(#REF!,"AAAAAH/N/5Y=")</f>
        <v>#REF!</v>
      </c>
      <c r="EV29" t="e">
        <f>AND(#REF!,"AAAAAH/N/5c=")</f>
        <v>#REF!</v>
      </c>
      <c r="EW29" t="e">
        <f>AND(#REF!,"AAAAAH/N/5g=")</f>
        <v>#REF!</v>
      </c>
      <c r="EX29" t="e">
        <f>AND(#REF!,"AAAAAH/N/5k=")</f>
        <v>#REF!</v>
      </c>
      <c r="EY29" t="e">
        <f>AND(#REF!,"AAAAAH/N/5o=")</f>
        <v>#REF!</v>
      </c>
      <c r="EZ29" t="e">
        <f>AND(#REF!,"AAAAAH/N/5s=")</f>
        <v>#REF!</v>
      </c>
      <c r="FA29" t="e">
        <f>AND(#REF!,"AAAAAH/N/5w=")</f>
        <v>#REF!</v>
      </c>
      <c r="FB29" t="e">
        <f>AND(#REF!,"AAAAAH/N/50=")</f>
        <v>#REF!</v>
      </c>
      <c r="FC29" t="e">
        <f>AND(#REF!,"AAAAAH/N/54=")</f>
        <v>#REF!</v>
      </c>
      <c r="FD29" t="e">
        <f>AND(#REF!,"AAAAAH/N/58=")</f>
        <v>#REF!</v>
      </c>
      <c r="FE29" t="e">
        <f>AND(#REF!,"AAAAAH/N/6A=")</f>
        <v>#REF!</v>
      </c>
      <c r="FF29" t="e">
        <f>AND(#REF!,"AAAAAH/N/6E=")</f>
        <v>#REF!</v>
      </c>
      <c r="FG29" t="e">
        <f>AND(#REF!,"AAAAAH/N/6I=")</f>
        <v>#REF!</v>
      </c>
      <c r="FH29" t="e">
        <f>AND(#REF!,"AAAAAH/N/6M=")</f>
        <v>#REF!</v>
      </c>
      <c r="FI29" t="e">
        <f>AND(#REF!,"AAAAAH/N/6Q=")</f>
        <v>#REF!</v>
      </c>
      <c r="FJ29" t="e">
        <f>AND(#REF!,"AAAAAH/N/6U=")</f>
        <v>#REF!</v>
      </c>
      <c r="FK29" t="e">
        <f>AND(#REF!,"AAAAAH/N/6Y=")</f>
        <v>#REF!</v>
      </c>
      <c r="FL29" t="e">
        <f>AND(#REF!,"AAAAAH/N/6c=")</f>
        <v>#REF!</v>
      </c>
      <c r="FM29" t="e">
        <f>AND(#REF!,"AAAAAH/N/6g=")</f>
        <v>#REF!</v>
      </c>
      <c r="FN29" t="e">
        <f>AND(#REF!,"AAAAAH/N/6k=")</f>
        <v>#REF!</v>
      </c>
      <c r="FO29" t="e">
        <f>AND(#REF!,"AAAAAH/N/6o=")</f>
        <v>#REF!</v>
      </c>
      <c r="FP29" t="e">
        <f>AND(#REF!,"AAAAAH/N/6s=")</f>
        <v>#REF!</v>
      </c>
      <c r="FQ29" t="e">
        <f>AND(#REF!,"AAAAAH/N/6w=")</f>
        <v>#REF!</v>
      </c>
      <c r="FR29" t="e">
        <f>AND(#REF!,"AAAAAH/N/60=")</f>
        <v>#REF!</v>
      </c>
      <c r="FS29" t="e">
        <f>AND(#REF!,"AAAAAH/N/64=")</f>
        <v>#REF!</v>
      </c>
      <c r="FT29" t="e">
        <f>AND(#REF!,"AAAAAH/N/68=")</f>
        <v>#REF!</v>
      </c>
      <c r="FU29" t="e">
        <f>AND(#REF!,"AAAAAH/N/7A=")</f>
        <v>#REF!</v>
      </c>
      <c r="FV29" t="e">
        <f>AND(#REF!,"AAAAAH/N/7E=")</f>
        <v>#REF!</v>
      </c>
      <c r="FW29" t="e">
        <f>AND(#REF!,"AAAAAH/N/7I=")</f>
        <v>#REF!</v>
      </c>
      <c r="FX29" t="e">
        <f>AND(#REF!,"AAAAAH/N/7M=")</f>
        <v>#REF!</v>
      </c>
      <c r="FY29" t="e">
        <f>AND(#REF!,"AAAAAH/N/7Q=")</f>
        <v>#REF!</v>
      </c>
      <c r="FZ29" t="e">
        <f>AND(#REF!,"AAAAAH/N/7U=")</f>
        <v>#REF!</v>
      </c>
      <c r="GA29" t="e">
        <f>AND(#REF!,"AAAAAH/N/7Y=")</f>
        <v>#REF!</v>
      </c>
      <c r="GB29" t="e">
        <f>AND(#REF!,"AAAAAH/N/7c=")</f>
        <v>#REF!</v>
      </c>
      <c r="GC29" t="e">
        <f>AND(#REF!,"AAAAAH/N/7g=")</f>
        <v>#REF!</v>
      </c>
      <c r="GD29" t="e">
        <f>AND(#REF!,"AAAAAH/N/7k=")</f>
        <v>#REF!</v>
      </c>
      <c r="GE29" t="e">
        <f>AND(#REF!,"AAAAAH/N/7o=")</f>
        <v>#REF!</v>
      </c>
      <c r="GF29" t="e">
        <f>AND(#REF!,"AAAAAH/N/7s=")</f>
        <v>#REF!</v>
      </c>
      <c r="GG29" t="e">
        <f>AND(#REF!,"AAAAAH/N/7w=")</f>
        <v>#REF!</v>
      </c>
      <c r="GH29" t="e">
        <f>AND(#REF!,"AAAAAH/N/70=")</f>
        <v>#REF!</v>
      </c>
      <c r="GI29" t="e">
        <f>AND(#REF!,"AAAAAH/N/74=")</f>
        <v>#REF!</v>
      </c>
      <c r="GJ29" t="e">
        <f>AND(#REF!,"AAAAAH/N/78=")</f>
        <v>#REF!</v>
      </c>
      <c r="GK29" t="e">
        <f>AND(#REF!,"AAAAAH/N/8A=")</f>
        <v>#REF!</v>
      </c>
      <c r="GL29" t="e">
        <f>AND(#REF!,"AAAAAH/N/8E=")</f>
        <v>#REF!</v>
      </c>
      <c r="GM29" t="e">
        <f>AND(#REF!,"AAAAAH/N/8I=")</f>
        <v>#REF!</v>
      </c>
      <c r="GN29" t="e">
        <f>AND(#REF!,"AAAAAH/N/8M=")</f>
        <v>#REF!</v>
      </c>
      <c r="GO29" t="e">
        <f>AND(#REF!,"AAAAAH/N/8Q=")</f>
        <v>#REF!</v>
      </c>
      <c r="GP29" t="e">
        <f>AND(#REF!,"AAAAAH/N/8U=")</f>
        <v>#REF!</v>
      </c>
      <c r="GQ29" t="e">
        <f>AND(#REF!,"AAAAAH/N/8Y=")</f>
        <v>#REF!</v>
      </c>
      <c r="GR29" t="e">
        <f>AND(#REF!,"AAAAAH/N/8c=")</f>
        <v>#REF!</v>
      </c>
      <c r="GS29" t="e">
        <f>AND(#REF!,"AAAAAH/N/8g=")</f>
        <v>#REF!</v>
      </c>
      <c r="GT29" t="e">
        <f>AND(#REF!,"AAAAAH/N/8k=")</f>
        <v>#REF!</v>
      </c>
      <c r="GU29" t="e">
        <f>AND(#REF!,"AAAAAH/N/8o=")</f>
        <v>#REF!</v>
      </c>
      <c r="GV29" t="e">
        <f>AND(#REF!,"AAAAAH/N/8s=")</f>
        <v>#REF!</v>
      </c>
      <c r="GW29" t="e">
        <f>AND(#REF!,"AAAAAH/N/8w=")</f>
        <v>#REF!</v>
      </c>
      <c r="GX29" t="e">
        <f>AND(#REF!,"AAAAAH/N/80=")</f>
        <v>#REF!</v>
      </c>
      <c r="GY29" t="e">
        <f>AND(#REF!,"AAAAAH/N/84=")</f>
        <v>#REF!</v>
      </c>
      <c r="GZ29" t="e">
        <f>AND(#REF!,"AAAAAH/N/88=")</f>
        <v>#REF!</v>
      </c>
      <c r="HA29" t="e">
        <f>AND(#REF!,"AAAAAH/N/9A=")</f>
        <v>#REF!</v>
      </c>
      <c r="HB29" t="e">
        <f>AND(#REF!,"AAAAAH/N/9E=")</f>
        <v>#REF!</v>
      </c>
      <c r="HC29" t="e">
        <f>AND(#REF!,"AAAAAH/N/9I=")</f>
        <v>#REF!</v>
      </c>
      <c r="HD29" t="e">
        <f>AND(#REF!,"AAAAAH/N/9M=")</f>
        <v>#REF!</v>
      </c>
      <c r="HE29" t="e">
        <f>AND(#REF!,"AAAAAH/N/9Q=")</f>
        <v>#REF!</v>
      </c>
      <c r="HF29" t="e">
        <f>AND(#REF!,"AAAAAH/N/9U=")</f>
        <v>#REF!</v>
      </c>
      <c r="HG29" t="e">
        <f>AND(#REF!,"AAAAAH/N/9Y=")</f>
        <v>#REF!</v>
      </c>
      <c r="HH29" t="e">
        <f>AND(#REF!,"AAAAAH/N/9c=")</f>
        <v>#REF!</v>
      </c>
      <c r="HI29" t="e">
        <f>AND(#REF!,"AAAAAH/N/9g=")</f>
        <v>#REF!</v>
      </c>
      <c r="HJ29" t="e">
        <f>AND(#REF!,"AAAAAH/N/9k=")</f>
        <v>#REF!</v>
      </c>
      <c r="HK29" t="e">
        <f>AND(#REF!,"AAAAAH/N/9o=")</f>
        <v>#REF!</v>
      </c>
      <c r="HL29" t="e">
        <f>AND(#REF!,"AAAAAH/N/9s=")</f>
        <v>#REF!</v>
      </c>
      <c r="HM29" t="e">
        <f>AND(#REF!,"AAAAAH/N/9w=")</f>
        <v>#REF!</v>
      </c>
      <c r="HN29" t="e">
        <f>AND(#REF!,"AAAAAH/N/90=")</f>
        <v>#REF!</v>
      </c>
      <c r="HO29" t="e">
        <f>AND(#REF!,"AAAAAH/N/94=")</f>
        <v>#REF!</v>
      </c>
      <c r="HP29" t="e">
        <f>AND(#REF!,"AAAAAH/N/98=")</f>
        <v>#REF!</v>
      </c>
      <c r="HQ29" t="e">
        <f>AND(#REF!,"AAAAAH/N/+A=")</f>
        <v>#REF!</v>
      </c>
      <c r="HR29" t="e">
        <f>AND(#REF!,"AAAAAH/N/+E=")</f>
        <v>#REF!</v>
      </c>
      <c r="HS29" t="e">
        <f>AND(#REF!,"AAAAAH/N/+I=")</f>
        <v>#REF!</v>
      </c>
      <c r="HT29" t="e">
        <f>AND(#REF!,"AAAAAH/N/+M=")</f>
        <v>#REF!</v>
      </c>
      <c r="HU29" t="e">
        <f>AND(#REF!,"AAAAAH/N/+Q=")</f>
        <v>#REF!</v>
      </c>
      <c r="HV29" t="e">
        <f>AND(#REF!,"AAAAAH/N/+U=")</f>
        <v>#REF!</v>
      </c>
      <c r="HW29" t="e">
        <f>AND(#REF!,"AAAAAH/N/+Y=")</f>
        <v>#REF!</v>
      </c>
      <c r="HX29" t="e">
        <f>AND(#REF!,"AAAAAH/N/+c=")</f>
        <v>#REF!</v>
      </c>
      <c r="HY29" t="e">
        <f>AND(#REF!,"AAAAAH/N/+g=")</f>
        <v>#REF!</v>
      </c>
      <c r="HZ29" t="e">
        <f>AND(#REF!,"AAAAAH/N/+k=")</f>
        <v>#REF!</v>
      </c>
      <c r="IA29" t="e">
        <f>AND(#REF!,"AAAAAH/N/+o=")</f>
        <v>#REF!</v>
      </c>
      <c r="IB29" t="e">
        <f>AND(#REF!,"AAAAAH/N/+s=")</f>
        <v>#REF!</v>
      </c>
      <c r="IC29" t="e">
        <f>AND(#REF!,"AAAAAH/N/+w=")</f>
        <v>#REF!</v>
      </c>
      <c r="ID29" t="e">
        <f>AND(#REF!,"AAAAAH/N/+0=")</f>
        <v>#REF!</v>
      </c>
      <c r="IE29" t="e">
        <f>AND(#REF!,"AAAAAH/N/+4=")</f>
        <v>#REF!</v>
      </c>
      <c r="IF29" t="e">
        <f>AND(#REF!,"AAAAAH/N/+8=")</f>
        <v>#REF!</v>
      </c>
      <c r="IG29" t="e">
        <f>AND(#REF!,"AAAAAH/N//A=")</f>
        <v>#REF!</v>
      </c>
      <c r="IH29" t="e">
        <f>AND(#REF!,"AAAAAH/N//E=")</f>
        <v>#REF!</v>
      </c>
      <c r="II29" t="e">
        <f>AND(#REF!,"AAAAAH/N//I=")</f>
        <v>#REF!</v>
      </c>
      <c r="IJ29" t="e">
        <f>AND(#REF!,"AAAAAH/N//M=")</f>
        <v>#REF!</v>
      </c>
      <c r="IK29" t="e">
        <f>AND(#REF!,"AAAAAH/N//Q=")</f>
        <v>#REF!</v>
      </c>
      <c r="IL29" t="e">
        <f>AND(#REF!,"AAAAAH/N//U=")</f>
        <v>#REF!</v>
      </c>
      <c r="IM29" t="e">
        <f>AND(#REF!,"AAAAAH/N//Y=")</f>
        <v>#REF!</v>
      </c>
      <c r="IN29" t="e">
        <f>AND(#REF!,"AAAAAH/N//c=")</f>
        <v>#REF!</v>
      </c>
      <c r="IO29" t="e">
        <f>AND(#REF!,"AAAAAH/N//g=")</f>
        <v>#REF!</v>
      </c>
      <c r="IP29" t="e">
        <f>AND(#REF!,"AAAAAH/N//k=")</f>
        <v>#REF!</v>
      </c>
      <c r="IQ29" t="e">
        <f>AND(#REF!,"AAAAAH/N//o=")</f>
        <v>#REF!</v>
      </c>
      <c r="IR29" t="e">
        <f>AND(#REF!,"AAAAAH/N//s=")</f>
        <v>#REF!</v>
      </c>
      <c r="IS29" t="e">
        <f>AND(#REF!,"AAAAAH/N//w=")</f>
        <v>#REF!</v>
      </c>
      <c r="IT29" t="e">
        <f>AND(#REF!,"AAAAAH/N//0=")</f>
        <v>#REF!</v>
      </c>
      <c r="IU29" t="e">
        <f>AND(#REF!,"AAAAAH/N//4=")</f>
        <v>#REF!</v>
      </c>
      <c r="IV29" t="e">
        <f>AND(#REF!,"AAAAAH/N//8=")</f>
        <v>#REF!</v>
      </c>
    </row>
    <row r="30" spans="1:256">
      <c r="A30" t="e">
        <f>AND(#REF!,"AAAAAFv//wA=")</f>
        <v>#REF!</v>
      </c>
      <c r="B30" t="e">
        <f>AND(#REF!,"AAAAAFv//wE=")</f>
        <v>#REF!</v>
      </c>
      <c r="C30" t="e">
        <f>AND(#REF!,"AAAAAFv//wI=")</f>
        <v>#REF!</v>
      </c>
      <c r="D30" t="e">
        <f>AND(#REF!,"AAAAAFv//wM=")</f>
        <v>#REF!</v>
      </c>
      <c r="E30" t="e">
        <f>AND(#REF!,"AAAAAFv//wQ=")</f>
        <v>#REF!</v>
      </c>
      <c r="F30" t="e">
        <f>AND(#REF!,"AAAAAFv//wU=")</f>
        <v>#REF!</v>
      </c>
      <c r="G30" t="e">
        <f>AND(#REF!,"AAAAAFv//wY=")</f>
        <v>#REF!</v>
      </c>
      <c r="H30" t="e">
        <f>AND(#REF!,"AAAAAFv//wc=")</f>
        <v>#REF!</v>
      </c>
      <c r="I30" t="e">
        <f>AND(#REF!,"AAAAAFv//wg=")</f>
        <v>#REF!</v>
      </c>
      <c r="J30" t="e">
        <f>AND(#REF!,"AAAAAFv//wk=")</f>
        <v>#REF!</v>
      </c>
      <c r="K30" t="e">
        <f>AND(#REF!,"AAAAAFv//wo=")</f>
        <v>#REF!</v>
      </c>
      <c r="L30" t="e">
        <f>AND(#REF!,"AAAAAFv//ws=")</f>
        <v>#REF!</v>
      </c>
      <c r="M30" t="e">
        <f>AND(#REF!,"AAAAAFv//ww=")</f>
        <v>#REF!</v>
      </c>
      <c r="N30" t="e">
        <f>AND(#REF!,"AAAAAFv//w0=")</f>
        <v>#REF!</v>
      </c>
      <c r="O30" t="e">
        <f>AND(#REF!,"AAAAAFv//w4=")</f>
        <v>#REF!</v>
      </c>
      <c r="P30" t="e">
        <f>AND(#REF!,"AAAAAFv//w8=")</f>
        <v>#REF!</v>
      </c>
      <c r="Q30" t="e">
        <f>AND(#REF!,"AAAAAFv//xA=")</f>
        <v>#REF!</v>
      </c>
      <c r="R30" t="e">
        <f>AND(#REF!,"AAAAAFv//xE=")</f>
        <v>#REF!</v>
      </c>
      <c r="S30" t="e">
        <f>AND(#REF!,"AAAAAFv//xI=")</f>
        <v>#REF!</v>
      </c>
      <c r="T30" t="e">
        <f>AND(#REF!,"AAAAAFv//xM=")</f>
        <v>#REF!</v>
      </c>
      <c r="U30" t="e">
        <f>AND(#REF!,"AAAAAFv//xQ=")</f>
        <v>#REF!</v>
      </c>
      <c r="V30" t="e">
        <f>AND(#REF!,"AAAAAFv//xU=")</f>
        <v>#REF!</v>
      </c>
      <c r="W30" t="e">
        <f>AND(#REF!,"AAAAAFv//xY=")</f>
        <v>#REF!</v>
      </c>
      <c r="X30" t="e">
        <f>AND(#REF!,"AAAAAFv//xc=")</f>
        <v>#REF!</v>
      </c>
      <c r="Y30" t="e">
        <f>AND(#REF!,"AAAAAFv//xg=")</f>
        <v>#REF!</v>
      </c>
      <c r="Z30" t="e">
        <f>AND(#REF!,"AAAAAFv//xk=")</f>
        <v>#REF!</v>
      </c>
      <c r="AA30" t="e">
        <f>AND(#REF!,"AAAAAFv//xo=")</f>
        <v>#REF!</v>
      </c>
      <c r="AB30" t="e">
        <f>AND(#REF!,"AAAAAFv//xs=")</f>
        <v>#REF!</v>
      </c>
      <c r="AC30" t="e">
        <f>AND(#REF!,"AAAAAFv//xw=")</f>
        <v>#REF!</v>
      </c>
      <c r="AD30" t="e">
        <f>AND(#REF!,"AAAAAFv//x0=")</f>
        <v>#REF!</v>
      </c>
      <c r="AE30" t="e">
        <f>AND(#REF!,"AAAAAFv//x4=")</f>
        <v>#REF!</v>
      </c>
      <c r="AF30" t="e">
        <f>AND(#REF!,"AAAAAFv//x8=")</f>
        <v>#REF!</v>
      </c>
      <c r="AG30" t="e">
        <f>AND(#REF!,"AAAAAFv//yA=")</f>
        <v>#REF!</v>
      </c>
      <c r="AH30" t="e">
        <f>AND(#REF!,"AAAAAFv//yE=")</f>
        <v>#REF!</v>
      </c>
      <c r="AI30" t="e">
        <f>AND(#REF!,"AAAAAFv//yI=")</f>
        <v>#REF!</v>
      </c>
      <c r="AJ30" t="e">
        <f>AND(#REF!,"AAAAAFv//yM=")</f>
        <v>#REF!</v>
      </c>
      <c r="AK30" t="e">
        <f>AND(#REF!,"AAAAAFv//yQ=")</f>
        <v>#REF!</v>
      </c>
      <c r="AL30" t="e">
        <f>AND(#REF!,"AAAAAFv//yU=")</f>
        <v>#REF!</v>
      </c>
      <c r="AM30" t="e">
        <f>AND(#REF!,"AAAAAFv//yY=")</f>
        <v>#REF!</v>
      </c>
      <c r="AN30" t="e">
        <f>AND(#REF!,"AAAAAFv//yc=")</f>
        <v>#REF!</v>
      </c>
      <c r="AO30" t="e">
        <f>AND(#REF!,"AAAAAFv//yg=")</f>
        <v>#REF!</v>
      </c>
      <c r="AP30" t="e">
        <f>AND(#REF!,"AAAAAFv//yk=")</f>
        <v>#REF!</v>
      </c>
      <c r="AQ30" t="e">
        <f>AND(#REF!,"AAAAAFv//yo=")</f>
        <v>#REF!</v>
      </c>
      <c r="AR30" t="e">
        <f>AND(#REF!,"AAAAAFv//ys=")</f>
        <v>#REF!</v>
      </c>
      <c r="AS30" t="e">
        <f>AND(#REF!,"AAAAAFv//yw=")</f>
        <v>#REF!</v>
      </c>
      <c r="AT30" t="e">
        <f>AND(#REF!,"AAAAAFv//y0=")</f>
        <v>#REF!</v>
      </c>
      <c r="AU30" t="e">
        <f>AND(#REF!,"AAAAAFv//y4=")</f>
        <v>#REF!</v>
      </c>
      <c r="AV30" t="e">
        <f>AND(#REF!,"AAAAAFv//y8=")</f>
        <v>#REF!</v>
      </c>
      <c r="AW30" t="e">
        <f>AND(#REF!,"AAAAAFv//zA=")</f>
        <v>#REF!</v>
      </c>
      <c r="AX30" t="e">
        <f>AND(#REF!,"AAAAAFv//zE=")</f>
        <v>#REF!</v>
      </c>
      <c r="AY30" t="e">
        <f>AND(#REF!,"AAAAAFv//zI=")</f>
        <v>#REF!</v>
      </c>
      <c r="AZ30" t="e">
        <f>AND(#REF!,"AAAAAFv//zM=")</f>
        <v>#REF!</v>
      </c>
      <c r="BA30" t="e">
        <f>AND(#REF!,"AAAAAFv//zQ=")</f>
        <v>#REF!</v>
      </c>
      <c r="BB30" t="e">
        <f>AND(#REF!,"AAAAAFv//zU=")</f>
        <v>#REF!</v>
      </c>
      <c r="BC30" t="e">
        <f>AND(#REF!,"AAAAAFv//zY=")</f>
        <v>#REF!</v>
      </c>
      <c r="BD30" t="e">
        <f>AND(#REF!,"AAAAAFv//zc=")</f>
        <v>#REF!</v>
      </c>
      <c r="BE30" t="e">
        <f>AND(#REF!,"AAAAAFv//zg=")</f>
        <v>#REF!</v>
      </c>
      <c r="BF30" t="e">
        <f>AND(#REF!,"AAAAAFv//zk=")</f>
        <v>#REF!</v>
      </c>
      <c r="BG30" t="e">
        <f>AND(#REF!,"AAAAAFv//zo=")</f>
        <v>#REF!</v>
      </c>
      <c r="BH30" t="e">
        <f>AND(#REF!,"AAAAAFv//zs=")</f>
        <v>#REF!</v>
      </c>
      <c r="BI30" t="e">
        <f>AND(#REF!,"AAAAAFv//zw=")</f>
        <v>#REF!</v>
      </c>
      <c r="BJ30" t="e">
        <f>AND(#REF!,"AAAAAFv//z0=")</f>
        <v>#REF!</v>
      </c>
      <c r="BK30" t="e">
        <f>AND(#REF!,"AAAAAFv//z4=")</f>
        <v>#REF!</v>
      </c>
      <c r="BL30" t="e">
        <f>AND(#REF!,"AAAAAFv//z8=")</f>
        <v>#REF!</v>
      </c>
      <c r="BM30" t="e">
        <f>AND(#REF!,"AAAAAFv//0A=")</f>
        <v>#REF!</v>
      </c>
      <c r="BN30" t="e">
        <f>AND(#REF!,"AAAAAFv//0E=")</f>
        <v>#REF!</v>
      </c>
      <c r="BO30" t="e">
        <f>AND(#REF!,"AAAAAFv//0I=")</f>
        <v>#REF!</v>
      </c>
      <c r="BP30" t="e">
        <f>AND(#REF!,"AAAAAFv//0M=")</f>
        <v>#REF!</v>
      </c>
      <c r="BQ30" t="e">
        <f>AND(#REF!,"AAAAAFv//0Q=")</f>
        <v>#REF!</v>
      </c>
      <c r="BR30" t="e">
        <f>AND(#REF!,"AAAAAFv//0U=")</f>
        <v>#REF!</v>
      </c>
      <c r="BS30" t="e">
        <f>AND(#REF!,"AAAAAFv//0Y=")</f>
        <v>#REF!</v>
      </c>
      <c r="BT30" t="e">
        <f>AND(#REF!,"AAAAAFv//0c=")</f>
        <v>#REF!</v>
      </c>
      <c r="BU30" t="e">
        <f>AND(#REF!,"AAAAAFv//0g=")</f>
        <v>#REF!</v>
      </c>
      <c r="BV30" t="e">
        <f>AND(#REF!,"AAAAAFv//0k=")</f>
        <v>#REF!</v>
      </c>
      <c r="BW30" t="e">
        <f>AND(#REF!,"AAAAAFv//0o=")</f>
        <v>#REF!</v>
      </c>
      <c r="BX30" t="e">
        <f>AND(#REF!,"AAAAAFv//0s=")</f>
        <v>#REF!</v>
      </c>
      <c r="BY30" t="e">
        <f>AND(#REF!,"AAAAAFv//0w=")</f>
        <v>#REF!</v>
      </c>
      <c r="BZ30" t="e">
        <f>AND(#REF!,"AAAAAFv//00=")</f>
        <v>#REF!</v>
      </c>
      <c r="CA30" t="e">
        <f>AND(#REF!,"AAAAAFv//04=")</f>
        <v>#REF!</v>
      </c>
      <c r="CB30" t="e">
        <f>AND(#REF!,"AAAAAFv//08=")</f>
        <v>#REF!</v>
      </c>
      <c r="CC30" t="e">
        <f>AND(#REF!,"AAAAAFv//1A=")</f>
        <v>#REF!</v>
      </c>
      <c r="CD30" t="e">
        <f>AND(#REF!,"AAAAAFv//1E=")</f>
        <v>#REF!</v>
      </c>
      <c r="CE30" t="e">
        <f>AND(#REF!,"AAAAAFv//1I=")</f>
        <v>#REF!</v>
      </c>
      <c r="CF30" t="e">
        <f>AND(#REF!,"AAAAAFv//1M=")</f>
        <v>#REF!</v>
      </c>
      <c r="CG30" t="e">
        <f>AND(#REF!,"AAAAAFv//1Q=")</f>
        <v>#REF!</v>
      </c>
      <c r="CH30" t="e">
        <f>AND(#REF!,"AAAAAFv//1U=")</f>
        <v>#REF!</v>
      </c>
      <c r="CI30" t="e">
        <f>AND(#REF!,"AAAAAFv//1Y=")</f>
        <v>#REF!</v>
      </c>
      <c r="CJ30" t="e">
        <f>AND(#REF!,"AAAAAFv//1c=")</f>
        <v>#REF!</v>
      </c>
      <c r="CK30" t="e">
        <f>AND(#REF!,"AAAAAFv//1g=")</f>
        <v>#REF!</v>
      </c>
      <c r="CL30" t="e">
        <f>AND(#REF!,"AAAAAFv//1k=")</f>
        <v>#REF!</v>
      </c>
      <c r="CM30" t="e">
        <f>AND(#REF!,"AAAAAFv//1o=")</f>
        <v>#REF!</v>
      </c>
      <c r="CN30" t="e">
        <f>AND(#REF!,"AAAAAFv//1s=")</f>
        <v>#REF!</v>
      </c>
      <c r="CO30" t="e">
        <f>AND(#REF!,"AAAAAFv//1w=")</f>
        <v>#REF!</v>
      </c>
      <c r="CP30" t="e">
        <f>AND(#REF!,"AAAAAFv//10=")</f>
        <v>#REF!</v>
      </c>
      <c r="CQ30" t="e">
        <f>AND(#REF!,"AAAAAFv//14=")</f>
        <v>#REF!</v>
      </c>
      <c r="CR30" t="e">
        <f>AND(#REF!,"AAAAAFv//18=")</f>
        <v>#REF!</v>
      </c>
      <c r="CS30" t="e">
        <f>AND(#REF!,"AAAAAFv//2A=")</f>
        <v>#REF!</v>
      </c>
      <c r="CT30" t="e">
        <f>AND(#REF!,"AAAAAFv//2E=")</f>
        <v>#REF!</v>
      </c>
      <c r="CU30" t="e">
        <f>AND(#REF!,"AAAAAFv//2I=")</f>
        <v>#REF!</v>
      </c>
      <c r="CV30" t="e">
        <f>AND(#REF!,"AAAAAFv//2M=")</f>
        <v>#REF!</v>
      </c>
      <c r="CW30" t="e">
        <f>AND(#REF!,"AAAAAFv//2Q=")</f>
        <v>#REF!</v>
      </c>
      <c r="CX30" t="e">
        <f>AND(#REF!,"AAAAAFv//2U=")</f>
        <v>#REF!</v>
      </c>
      <c r="CY30" t="e">
        <f>AND(#REF!,"AAAAAFv//2Y=")</f>
        <v>#REF!</v>
      </c>
      <c r="CZ30" t="e">
        <f>AND(#REF!,"AAAAAFv//2c=")</f>
        <v>#REF!</v>
      </c>
      <c r="DA30" t="e">
        <f>AND(#REF!,"AAAAAFv//2g=")</f>
        <v>#REF!</v>
      </c>
      <c r="DB30" t="e">
        <f>AND(#REF!,"AAAAAFv//2k=")</f>
        <v>#REF!</v>
      </c>
      <c r="DC30" t="e">
        <f>AND(#REF!,"AAAAAFv//2o=")</f>
        <v>#REF!</v>
      </c>
      <c r="DD30" t="e">
        <f>AND(#REF!,"AAAAAFv//2s=")</f>
        <v>#REF!</v>
      </c>
      <c r="DE30" t="e">
        <f>AND(#REF!,"AAAAAFv//2w=")</f>
        <v>#REF!</v>
      </c>
      <c r="DF30" t="e">
        <f>AND(#REF!,"AAAAAFv//20=")</f>
        <v>#REF!</v>
      </c>
      <c r="DG30" t="e">
        <f>AND(#REF!,"AAAAAFv//24=")</f>
        <v>#REF!</v>
      </c>
      <c r="DH30" t="e">
        <f>AND(#REF!,"AAAAAFv//28=")</f>
        <v>#REF!</v>
      </c>
      <c r="DI30" t="e">
        <f>AND(#REF!,"AAAAAFv//3A=")</f>
        <v>#REF!</v>
      </c>
      <c r="DJ30" t="e">
        <f>AND(#REF!,"AAAAAFv//3E=")</f>
        <v>#REF!</v>
      </c>
      <c r="DK30" t="e">
        <f>AND(#REF!,"AAAAAFv//3I=")</f>
        <v>#REF!</v>
      </c>
      <c r="DL30" t="e">
        <f>AND(#REF!,"AAAAAFv//3M=")</f>
        <v>#REF!</v>
      </c>
      <c r="DM30" t="e">
        <f>AND(#REF!,"AAAAAFv//3Q=")</f>
        <v>#REF!</v>
      </c>
      <c r="DN30" t="e">
        <f>AND(#REF!,"AAAAAFv//3U=")</f>
        <v>#REF!</v>
      </c>
      <c r="DO30" t="e">
        <f>AND(#REF!,"AAAAAFv//3Y=")</f>
        <v>#REF!</v>
      </c>
      <c r="DP30" t="e">
        <f>AND(#REF!,"AAAAAFv//3c=")</f>
        <v>#REF!</v>
      </c>
      <c r="DQ30" t="e">
        <f>AND(#REF!,"AAAAAFv//3g=")</f>
        <v>#REF!</v>
      </c>
      <c r="DR30" t="e">
        <f>AND(#REF!,"AAAAAFv//3k=")</f>
        <v>#REF!</v>
      </c>
      <c r="DS30" t="e">
        <f>AND(#REF!,"AAAAAFv//3o=")</f>
        <v>#REF!</v>
      </c>
      <c r="DT30" t="e">
        <f>AND(#REF!,"AAAAAFv//3s=")</f>
        <v>#REF!</v>
      </c>
      <c r="DU30" t="e">
        <f>AND(#REF!,"AAAAAFv//3w=")</f>
        <v>#REF!</v>
      </c>
      <c r="DV30" t="e">
        <f>AND(#REF!,"AAAAAFv//30=")</f>
        <v>#REF!</v>
      </c>
      <c r="DW30" t="e">
        <f>AND(#REF!,"AAAAAFv//34=")</f>
        <v>#REF!</v>
      </c>
      <c r="DX30" t="e">
        <f>AND(#REF!,"AAAAAFv//38=")</f>
        <v>#REF!</v>
      </c>
      <c r="DY30" t="e">
        <f>AND(#REF!,"AAAAAFv//4A=")</f>
        <v>#REF!</v>
      </c>
      <c r="DZ30" t="e">
        <f>AND(#REF!,"AAAAAFv//4E=")</f>
        <v>#REF!</v>
      </c>
      <c r="EA30" t="e">
        <f>AND(#REF!,"AAAAAFv//4I=")</f>
        <v>#REF!</v>
      </c>
      <c r="EB30" t="e">
        <f>AND(#REF!,"AAAAAFv//4M=")</f>
        <v>#REF!</v>
      </c>
      <c r="EC30" t="e">
        <f>AND(#REF!,"AAAAAFv//4Q=")</f>
        <v>#REF!</v>
      </c>
      <c r="ED30" t="e">
        <f>AND(#REF!,"AAAAAFv//4U=")</f>
        <v>#REF!</v>
      </c>
      <c r="EE30" t="e">
        <f>AND(#REF!,"AAAAAFv//4Y=")</f>
        <v>#REF!</v>
      </c>
      <c r="EF30" t="e">
        <f>AND(#REF!,"AAAAAFv//4c=")</f>
        <v>#REF!</v>
      </c>
      <c r="EG30" t="e">
        <f>AND(#REF!,"AAAAAFv//4g=")</f>
        <v>#REF!</v>
      </c>
      <c r="EH30" t="e">
        <f>AND(#REF!,"AAAAAFv//4k=")</f>
        <v>#REF!</v>
      </c>
      <c r="EI30" t="e">
        <f>AND(#REF!,"AAAAAFv//4o=")</f>
        <v>#REF!</v>
      </c>
      <c r="EJ30" t="e">
        <f>AND(#REF!,"AAAAAFv//4s=")</f>
        <v>#REF!</v>
      </c>
      <c r="EK30" t="e">
        <f>AND(#REF!,"AAAAAFv//4w=")</f>
        <v>#REF!</v>
      </c>
      <c r="EL30" t="e">
        <f>AND(#REF!,"AAAAAFv//40=")</f>
        <v>#REF!</v>
      </c>
      <c r="EM30" t="e">
        <f>AND(#REF!,"AAAAAFv//44=")</f>
        <v>#REF!</v>
      </c>
      <c r="EN30" t="e">
        <f>AND(#REF!,"AAAAAFv//48=")</f>
        <v>#REF!</v>
      </c>
      <c r="EO30" t="e">
        <f>AND(#REF!,"AAAAAFv//5A=")</f>
        <v>#REF!</v>
      </c>
      <c r="EP30" t="e">
        <f>AND(#REF!,"AAAAAFv//5E=")</f>
        <v>#REF!</v>
      </c>
      <c r="EQ30" t="e">
        <f>AND(#REF!,"AAAAAFv//5I=")</f>
        <v>#REF!</v>
      </c>
      <c r="ER30" t="e">
        <f>AND(#REF!,"AAAAAFv//5M=")</f>
        <v>#REF!</v>
      </c>
      <c r="ES30" t="e">
        <f>AND(#REF!,"AAAAAFv//5Q=")</f>
        <v>#REF!</v>
      </c>
      <c r="ET30" t="e">
        <f>AND(#REF!,"AAAAAFv//5U=")</f>
        <v>#REF!</v>
      </c>
      <c r="EU30" t="e">
        <f>AND(#REF!,"AAAAAFv//5Y=")</f>
        <v>#REF!</v>
      </c>
      <c r="EV30" t="e">
        <f>AND(#REF!,"AAAAAFv//5c=")</f>
        <v>#REF!</v>
      </c>
      <c r="EW30" t="e">
        <f>AND(#REF!,"AAAAAFv//5g=")</f>
        <v>#REF!</v>
      </c>
      <c r="EX30" t="e">
        <f>AND(#REF!,"AAAAAFv//5k=")</f>
        <v>#REF!</v>
      </c>
      <c r="EY30" t="e">
        <f>AND(#REF!,"AAAAAFv//5o=")</f>
        <v>#REF!</v>
      </c>
      <c r="EZ30" t="e">
        <f>AND(#REF!,"AAAAAFv//5s=")</f>
        <v>#REF!</v>
      </c>
      <c r="FA30" t="e">
        <f>AND(#REF!,"AAAAAFv//5w=")</f>
        <v>#REF!</v>
      </c>
      <c r="FB30" t="e">
        <f>AND(#REF!,"AAAAAFv//50=")</f>
        <v>#REF!</v>
      </c>
      <c r="FC30" t="e">
        <f>AND(#REF!,"AAAAAFv//54=")</f>
        <v>#REF!</v>
      </c>
      <c r="FD30" t="e">
        <f>AND(#REF!,"AAAAAFv//58=")</f>
        <v>#REF!</v>
      </c>
      <c r="FE30" t="e">
        <f>AND(#REF!,"AAAAAFv//6A=")</f>
        <v>#REF!</v>
      </c>
      <c r="FF30" t="e">
        <f>AND(#REF!,"AAAAAFv//6E=")</f>
        <v>#REF!</v>
      </c>
      <c r="FG30" t="e">
        <f>AND(#REF!,"AAAAAFv//6I=")</f>
        <v>#REF!</v>
      </c>
      <c r="FH30" t="e">
        <f>AND(#REF!,"AAAAAFv//6M=")</f>
        <v>#REF!</v>
      </c>
      <c r="FI30" t="e">
        <f>AND(#REF!,"AAAAAFv//6Q=")</f>
        <v>#REF!</v>
      </c>
      <c r="FJ30" t="e">
        <f>AND(#REF!,"AAAAAFv//6U=")</f>
        <v>#REF!</v>
      </c>
      <c r="FK30" t="e">
        <f>AND(#REF!,"AAAAAFv//6Y=")</f>
        <v>#REF!</v>
      </c>
      <c r="FL30" t="e">
        <f>AND(#REF!,"AAAAAFv//6c=")</f>
        <v>#REF!</v>
      </c>
      <c r="FM30" t="e">
        <f>AND(#REF!,"AAAAAFv//6g=")</f>
        <v>#REF!</v>
      </c>
      <c r="FN30" t="e">
        <f>AND(#REF!,"AAAAAFv//6k=")</f>
        <v>#REF!</v>
      </c>
      <c r="FO30" t="e">
        <f>AND(#REF!,"AAAAAFv//6o=")</f>
        <v>#REF!</v>
      </c>
      <c r="FP30" t="e">
        <f>AND(#REF!,"AAAAAFv//6s=")</f>
        <v>#REF!</v>
      </c>
      <c r="FQ30" t="e">
        <f>AND(#REF!,"AAAAAFv//6w=")</f>
        <v>#REF!</v>
      </c>
      <c r="FR30" t="e">
        <f>AND(#REF!,"AAAAAFv//60=")</f>
        <v>#REF!</v>
      </c>
      <c r="FS30" t="e">
        <f>AND(#REF!,"AAAAAFv//64=")</f>
        <v>#REF!</v>
      </c>
      <c r="FT30" t="e">
        <f>AND(#REF!,"AAAAAFv//68=")</f>
        <v>#REF!</v>
      </c>
      <c r="FU30" t="e">
        <f>AND(#REF!,"AAAAAFv//7A=")</f>
        <v>#REF!</v>
      </c>
      <c r="FV30" t="e">
        <f>AND(#REF!,"AAAAAFv//7E=")</f>
        <v>#REF!</v>
      </c>
      <c r="FW30" t="e">
        <f>AND(#REF!,"AAAAAFv//7I=")</f>
        <v>#REF!</v>
      </c>
      <c r="FX30" t="e">
        <f>AND(#REF!,"AAAAAFv//7M=")</f>
        <v>#REF!</v>
      </c>
      <c r="FY30" t="e">
        <f>AND(#REF!,"AAAAAFv//7Q=")</f>
        <v>#REF!</v>
      </c>
      <c r="FZ30" t="e">
        <f>AND(#REF!,"AAAAAFv//7U=")</f>
        <v>#REF!</v>
      </c>
      <c r="GA30" t="e">
        <f>AND(#REF!,"AAAAAFv//7Y=")</f>
        <v>#REF!</v>
      </c>
      <c r="GB30" t="e">
        <f>AND(#REF!,"AAAAAFv//7c=")</f>
        <v>#REF!</v>
      </c>
      <c r="GC30" t="e">
        <f>AND(#REF!,"AAAAAFv//7g=")</f>
        <v>#REF!</v>
      </c>
      <c r="GD30" t="e">
        <f>AND(#REF!,"AAAAAFv//7k=")</f>
        <v>#REF!</v>
      </c>
      <c r="GE30" t="e">
        <f>AND(#REF!,"AAAAAFv//7o=")</f>
        <v>#REF!</v>
      </c>
      <c r="GF30" t="e">
        <f>AND(#REF!,"AAAAAFv//7s=")</f>
        <v>#REF!</v>
      </c>
      <c r="GG30" t="e">
        <f>AND(#REF!,"AAAAAFv//7w=")</f>
        <v>#REF!</v>
      </c>
      <c r="GH30" t="e">
        <f>AND(#REF!,"AAAAAFv//70=")</f>
        <v>#REF!</v>
      </c>
      <c r="GI30" t="e">
        <f>AND(#REF!,"AAAAAFv//74=")</f>
        <v>#REF!</v>
      </c>
      <c r="GJ30" t="e">
        <f>AND(#REF!,"AAAAAFv//78=")</f>
        <v>#REF!</v>
      </c>
      <c r="GK30" t="e">
        <f>AND(#REF!,"AAAAAFv//8A=")</f>
        <v>#REF!</v>
      </c>
      <c r="GL30" t="e">
        <f>AND(#REF!,"AAAAAFv//8E=")</f>
        <v>#REF!</v>
      </c>
      <c r="GM30" t="e">
        <f>AND(#REF!,"AAAAAFv//8I=")</f>
        <v>#REF!</v>
      </c>
      <c r="GN30" t="e">
        <f>AND(#REF!,"AAAAAFv//8M=")</f>
        <v>#REF!</v>
      </c>
      <c r="GO30" t="e">
        <f>AND(#REF!,"AAAAAFv//8Q=")</f>
        <v>#REF!</v>
      </c>
      <c r="GP30" t="e">
        <f>AND(#REF!,"AAAAAFv//8U=")</f>
        <v>#REF!</v>
      </c>
      <c r="GQ30" t="e">
        <f>AND(#REF!,"AAAAAFv//8Y=")</f>
        <v>#REF!</v>
      </c>
      <c r="GR30" t="e">
        <f>AND(#REF!,"AAAAAFv//8c=")</f>
        <v>#REF!</v>
      </c>
      <c r="GS30" t="e">
        <f>AND(#REF!,"AAAAAFv//8g=")</f>
        <v>#REF!</v>
      </c>
      <c r="GT30" t="e">
        <f>AND(#REF!,"AAAAAFv//8k=")</f>
        <v>#REF!</v>
      </c>
      <c r="GU30" t="e">
        <f>AND(#REF!,"AAAAAFv//8o=")</f>
        <v>#REF!</v>
      </c>
      <c r="GV30" t="e">
        <f>AND(#REF!,"AAAAAFv//8s=")</f>
        <v>#REF!</v>
      </c>
      <c r="GW30" t="e">
        <f>AND(#REF!,"AAAAAFv//8w=")</f>
        <v>#REF!</v>
      </c>
      <c r="GX30" t="e">
        <f>AND(#REF!,"AAAAAFv//80=")</f>
        <v>#REF!</v>
      </c>
      <c r="GY30" t="e">
        <f>AND(#REF!,"AAAAAFv//84=")</f>
        <v>#REF!</v>
      </c>
      <c r="GZ30" t="e">
        <f>AND(#REF!,"AAAAAFv//88=")</f>
        <v>#REF!</v>
      </c>
      <c r="HA30" t="e">
        <f>AND(#REF!,"AAAAAFv//9A=")</f>
        <v>#REF!</v>
      </c>
      <c r="HB30" t="e">
        <f>AND(#REF!,"AAAAAFv//9E=")</f>
        <v>#REF!</v>
      </c>
      <c r="HC30" t="e">
        <f>AND(#REF!,"AAAAAFv//9I=")</f>
        <v>#REF!</v>
      </c>
      <c r="HD30" t="e">
        <f>AND(#REF!,"AAAAAFv//9M=")</f>
        <v>#REF!</v>
      </c>
      <c r="HE30" t="e">
        <f>AND(#REF!,"AAAAAFv//9Q=")</f>
        <v>#REF!</v>
      </c>
      <c r="HF30" t="e">
        <f>AND(#REF!,"AAAAAFv//9U=")</f>
        <v>#REF!</v>
      </c>
      <c r="HG30" t="e">
        <f>AND(#REF!,"AAAAAFv//9Y=")</f>
        <v>#REF!</v>
      </c>
      <c r="HH30" t="e">
        <f>AND(#REF!,"AAAAAFv//9c=")</f>
        <v>#REF!</v>
      </c>
      <c r="HI30" t="e">
        <f>AND(#REF!,"AAAAAFv//9g=")</f>
        <v>#REF!</v>
      </c>
      <c r="HJ30" t="e">
        <f>AND(#REF!,"AAAAAFv//9k=")</f>
        <v>#REF!</v>
      </c>
      <c r="HK30" t="e">
        <f>AND(#REF!,"AAAAAFv//9o=")</f>
        <v>#REF!</v>
      </c>
      <c r="HL30" t="e">
        <f>AND(#REF!,"AAAAAFv//9s=")</f>
        <v>#REF!</v>
      </c>
      <c r="HM30" t="e">
        <f>AND(#REF!,"AAAAAFv//9w=")</f>
        <v>#REF!</v>
      </c>
      <c r="HN30" t="e">
        <f>AND(#REF!,"AAAAAFv//90=")</f>
        <v>#REF!</v>
      </c>
      <c r="HO30" t="e">
        <f>AND(#REF!,"AAAAAFv//94=")</f>
        <v>#REF!</v>
      </c>
      <c r="HP30" t="e">
        <f>AND(#REF!,"AAAAAFv//98=")</f>
        <v>#REF!</v>
      </c>
      <c r="HQ30" t="e">
        <f>AND(#REF!,"AAAAAFv//+A=")</f>
        <v>#REF!</v>
      </c>
      <c r="HR30" t="e">
        <f>AND(#REF!,"AAAAAFv//+E=")</f>
        <v>#REF!</v>
      </c>
      <c r="HS30" t="e">
        <f>AND(#REF!,"AAAAAFv//+I=")</f>
        <v>#REF!</v>
      </c>
      <c r="HT30" t="e">
        <f>AND(#REF!,"AAAAAFv//+M=")</f>
        <v>#REF!</v>
      </c>
      <c r="HU30" t="e">
        <f>AND(#REF!,"AAAAAFv//+Q=")</f>
        <v>#REF!</v>
      </c>
      <c r="HV30" t="e">
        <f>AND(#REF!,"AAAAAFv//+U=")</f>
        <v>#REF!</v>
      </c>
      <c r="HW30" t="e">
        <f>AND(#REF!,"AAAAAFv//+Y=")</f>
        <v>#REF!</v>
      </c>
      <c r="HX30" t="e">
        <f>AND(#REF!,"AAAAAFv//+c=")</f>
        <v>#REF!</v>
      </c>
      <c r="HY30" t="e">
        <f>AND(#REF!,"AAAAAFv//+g=")</f>
        <v>#REF!</v>
      </c>
      <c r="HZ30" t="e">
        <f>AND(#REF!,"AAAAAFv//+k=")</f>
        <v>#REF!</v>
      </c>
      <c r="IA30" t="e">
        <f>AND(#REF!,"AAAAAFv//+o=")</f>
        <v>#REF!</v>
      </c>
      <c r="IB30" t="e">
        <f>AND(#REF!,"AAAAAFv//+s=")</f>
        <v>#REF!</v>
      </c>
      <c r="IC30" t="e">
        <f>AND(#REF!,"AAAAAFv//+w=")</f>
        <v>#REF!</v>
      </c>
      <c r="ID30" t="e">
        <f>AND(#REF!,"AAAAAFv//+0=")</f>
        <v>#REF!</v>
      </c>
      <c r="IE30" t="e">
        <f>AND(#REF!,"AAAAAFv//+4=")</f>
        <v>#REF!</v>
      </c>
      <c r="IF30" t="e">
        <f>AND(#REF!,"AAAAAFv//+8=")</f>
        <v>#REF!</v>
      </c>
      <c r="IG30" t="e">
        <f>AND(#REF!,"AAAAAFv///A=")</f>
        <v>#REF!</v>
      </c>
      <c r="IH30" t="e">
        <f>AND(#REF!,"AAAAAFv///E=")</f>
        <v>#REF!</v>
      </c>
      <c r="II30" t="e">
        <f>AND(#REF!,"AAAAAFv///I=")</f>
        <v>#REF!</v>
      </c>
      <c r="IJ30" t="e">
        <f>AND(#REF!,"AAAAAFv///M=")</f>
        <v>#REF!</v>
      </c>
      <c r="IK30" t="e">
        <f>AND(#REF!,"AAAAAFv///Q=")</f>
        <v>#REF!</v>
      </c>
      <c r="IL30" t="e">
        <f>AND(#REF!,"AAAAAFv///U=")</f>
        <v>#REF!</v>
      </c>
      <c r="IM30" t="e">
        <f>AND(#REF!,"AAAAAFv///Y=")</f>
        <v>#REF!</v>
      </c>
      <c r="IN30" t="e">
        <f>AND(#REF!,"AAAAAFv///c=")</f>
        <v>#REF!</v>
      </c>
      <c r="IO30" t="e">
        <f>AND(#REF!,"AAAAAFv///g=")</f>
        <v>#REF!</v>
      </c>
      <c r="IP30" t="e">
        <f>AND(#REF!,"AAAAAFv///k=")</f>
        <v>#REF!</v>
      </c>
      <c r="IQ30" t="e">
        <f>AND(#REF!,"AAAAAFv///o=")</f>
        <v>#REF!</v>
      </c>
      <c r="IR30" t="e">
        <f>AND(#REF!,"AAAAAFv///s=")</f>
        <v>#REF!</v>
      </c>
      <c r="IS30" t="e">
        <f>AND(#REF!,"AAAAAFv///w=")</f>
        <v>#REF!</v>
      </c>
      <c r="IT30" t="e">
        <f>AND(#REF!,"AAAAAFv///0=")</f>
        <v>#REF!</v>
      </c>
      <c r="IU30" t="e">
        <f>AND(#REF!,"AAAAAFv///4=")</f>
        <v>#REF!</v>
      </c>
      <c r="IV30" t="e">
        <f>AND(#REF!,"AAAAAFv///8=")</f>
        <v>#REF!</v>
      </c>
    </row>
    <row r="31" spans="1:256">
      <c r="A31" t="e">
        <f>AND(#REF!,"AAAAABE/5wA=")</f>
        <v>#REF!</v>
      </c>
      <c r="B31" t="e">
        <f>AND(#REF!,"AAAAABE/5wE=")</f>
        <v>#REF!</v>
      </c>
      <c r="C31" t="e">
        <f>AND(#REF!,"AAAAABE/5wI=")</f>
        <v>#REF!</v>
      </c>
      <c r="D31" t="e">
        <f>AND(#REF!,"AAAAABE/5wM=")</f>
        <v>#REF!</v>
      </c>
      <c r="E31" t="e">
        <f>AND(#REF!,"AAAAABE/5wQ=")</f>
        <v>#REF!</v>
      </c>
      <c r="F31" t="e">
        <f>AND(#REF!,"AAAAABE/5wU=")</f>
        <v>#REF!</v>
      </c>
      <c r="G31" t="e">
        <f>AND(#REF!,"AAAAABE/5wY=")</f>
        <v>#REF!</v>
      </c>
      <c r="H31" t="e">
        <f>AND(#REF!,"AAAAABE/5wc=")</f>
        <v>#REF!</v>
      </c>
      <c r="I31" t="e">
        <f>AND(#REF!,"AAAAABE/5wg=")</f>
        <v>#REF!</v>
      </c>
      <c r="J31" t="e">
        <f>AND(#REF!,"AAAAABE/5wk=")</f>
        <v>#REF!</v>
      </c>
      <c r="K31" t="e">
        <f>AND(#REF!,"AAAAABE/5wo=")</f>
        <v>#REF!</v>
      </c>
      <c r="L31" t="e">
        <f>AND(#REF!,"AAAAABE/5ws=")</f>
        <v>#REF!</v>
      </c>
      <c r="M31" t="e">
        <f>AND(#REF!,"AAAAABE/5ww=")</f>
        <v>#REF!</v>
      </c>
      <c r="N31" t="e">
        <f>AND(#REF!,"AAAAABE/5w0=")</f>
        <v>#REF!</v>
      </c>
      <c r="O31" t="e">
        <f>AND(#REF!,"AAAAABE/5w4=")</f>
        <v>#REF!</v>
      </c>
      <c r="P31" t="e">
        <f>AND(#REF!,"AAAAABE/5w8=")</f>
        <v>#REF!</v>
      </c>
      <c r="Q31" t="e">
        <f>AND(#REF!,"AAAAABE/5xA=")</f>
        <v>#REF!</v>
      </c>
      <c r="R31" t="e">
        <f>AND(#REF!,"AAAAABE/5xE=")</f>
        <v>#REF!</v>
      </c>
      <c r="S31" t="e">
        <f>AND(#REF!,"AAAAABE/5xI=")</f>
        <v>#REF!</v>
      </c>
      <c r="T31" t="e">
        <f>AND(#REF!,"AAAAABE/5xM=")</f>
        <v>#REF!</v>
      </c>
      <c r="U31" t="e">
        <f>AND(#REF!,"AAAAABE/5xQ=")</f>
        <v>#REF!</v>
      </c>
      <c r="V31" t="e">
        <f>AND(#REF!,"AAAAABE/5xU=")</f>
        <v>#REF!</v>
      </c>
      <c r="W31" t="e">
        <f>AND(#REF!,"AAAAABE/5xY=")</f>
        <v>#REF!</v>
      </c>
      <c r="X31" t="e">
        <f>AND(#REF!,"AAAAABE/5xc=")</f>
        <v>#REF!</v>
      </c>
      <c r="Y31" t="e">
        <f>AND(#REF!,"AAAAABE/5xg=")</f>
        <v>#REF!</v>
      </c>
      <c r="Z31" t="e">
        <f>AND(#REF!,"AAAAABE/5xk=")</f>
        <v>#REF!</v>
      </c>
      <c r="AA31" t="e">
        <f>AND(#REF!,"AAAAABE/5xo=")</f>
        <v>#REF!</v>
      </c>
      <c r="AB31" t="e">
        <f>AND(#REF!,"AAAAABE/5xs=")</f>
        <v>#REF!</v>
      </c>
      <c r="AC31" t="e">
        <f>AND(#REF!,"AAAAABE/5xw=")</f>
        <v>#REF!</v>
      </c>
      <c r="AD31" t="e">
        <f>AND(#REF!,"AAAAABE/5x0=")</f>
        <v>#REF!</v>
      </c>
      <c r="AE31" t="e">
        <f>AND(#REF!,"AAAAABE/5x4=")</f>
        <v>#REF!</v>
      </c>
      <c r="AF31" t="e">
        <f>AND(#REF!,"AAAAABE/5x8=")</f>
        <v>#REF!</v>
      </c>
      <c r="AG31" t="e">
        <f>AND(#REF!,"AAAAABE/5yA=")</f>
        <v>#REF!</v>
      </c>
      <c r="AH31" t="e">
        <f>AND(#REF!,"AAAAABE/5yE=")</f>
        <v>#REF!</v>
      </c>
      <c r="AI31" t="e">
        <f>AND(#REF!,"AAAAABE/5yI=")</f>
        <v>#REF!</v>
      </c>
      <c r="AJ31" t="e">
        <f>AND(#REF!,"AAAAABE/5yM=")</f>
        <v>#REF!</v>
      </c>
      <c r="AK31" t="e">
        <f>AND(#REF!,"AAAAABE/5yQ=")</f>
        <v>#REF!</v>
      </c>
      <c r="AL31" t="e">
        <f>AND(#REF!,"AAAAABE/5yU=")</f>
        <v>#REF!</v>
      </c>
      <c r="AM31" t="e">
        <f>AND(#REF!,"AAAAABE/5yY=")</f>
        <v>#REF!</v>
      </c>
      <c r="AN31" t="e">
        <f>AND(#REF!,"AAAAABE/5yc=")</f>
        <v>#REF!</v>
      </c>
      <c r="AO31" t="e">
        <f>AND(#REF!,"AAAAABE/5yg=")</f>
        <v>#REF!</v>
      </c>
      <c r="AP31" t="e">
        <f>AND(#REF!,"AAAAABE/5yk=")</f>
        <v>#REF!</v>
      </c>
      <c r="AQ31" t="e">
        <f>AND(#REF!,"AAAAABE/5yo=")</f>
        <v>#REF!</v>
      </c>
      <c r="AR31" t="e">
        <f>AND(#REF!,"AAAAABE/5ys=")</f>
        <v>#REF!</v>
      </c>
      <c r="AS31" t="e">
        <f>AND(#REF!,"AAAAABE/5yw=")</f>
        <v>#REF!</v>
      </c>
      <c r="AT31" t="e">
        <f>AND(#REF!,"AAAAABE/5y0=")</f>
        <v>#REF!</v>
      </c>
      <c r="AU31" t="e">
        <f>AND(#REF!,"AAAAABE/5y4=")</f>
        <v>#REF!</v>
      </c>
      <c r="AV31" t="e">
        <f>AND(#REF!,"AAAAABE/5y8=")</f>
        <v>#REF!</v>
      </c>
      <c r="AW31" t="e">
        <f>AND(#REF!,"AAAAABE/5zA=")</f>
        <v>#REF!</v>
      </c>
      <c r="AX31" t="e">
        <f>AND(#REF!,"AAAAABE/5zE=")</f>
        <v>#REF!</v>
      </c>
      <c r="AY31" t="e">
        <f>AND(#REF!,"AAAAABE/5zI=")</f>
        <v>#REF!</v>
      </c>
      <c r="AZ31" t="e">
        <f>AND(#REF!,"AAAAABE/5zM=")</f>
        <v>#REF!</v>
      </c>
      <c r="BA31" t="e">
        <f>AND(#REF!,"AAAAABE/5zQ=")</f>
        <v>#REF!</v>
      </c>
      <c r="BB31" t="e">
        <f>AND(#REF!,"AAAAABE/5zU=")</f>
        <v>#REF!</v>
      </c>
      <c r="BC31" t="e">
        <f>AND(#REF!,"AAAAABE/5zY=")</f>
        <v>#REF!</v>
      </c>
      <c r="BD31" t="e">
        <f>AND(#REF!,"AAAAABE/5zc=")</f>
        <v>#REF!</v>
      </c>
      <c r="BE31" t="e">
        <f>AND(#REF!,"AAAAABE/5zg=")</f>
        <v>#REF!</v>
      </c>
      <c r="BF31" t="e">
        <f>AND(#REF!,"AAAAABE/5zk=")</f>
        <v>#REF!</v>
      </c>
      <c r="BG31" t="e">
        <f>AND(#REF!,"AAAAABE/5zo=")</f>
        <v>#REF!</v>
      </c>
      <c r="BH31" t="e">
        <f>AND(#REF!,"AAAAABE/5zs=")</f>
        <v>#REF!</v>
      </c>
      <c r="BI31" t="e">
        <f>AND(#REF!,"AAAAABE/5zw=")</f>
        <v>#REF!</v>
      </c>
      <c r="BJ31" t="e">
        <f>AND(#REF!,"AAAAABE/5z0=")</f>
        <v>#REF!</v>
      </c>
      <c r="BK31" t="e">
        <f>AND(#REF!,"AAAAABE/5z4=")</f>
        <v>#REF!</v>
      </c>
      <c r="BL31" t="e">
        <f>AND(#REF!,"AAAAABE/5z8=")</f>
        <v>#REF!</v>
      </c>
      <c r="BM31" t="e">
        <f>AND(#REF!,"AAAAABE/50A=")</f>
        <v>#REF!</v>
      </c>
      <c r="BN31" t="e">
        <f>AND(#REF!,"AAAAABE/50E=")</f>
        <v>#REF!</v>
      </c>
      <c r="BO31" t="e">
        <f>AND(#REF!,"AAAAABE/50I=")</f>
        <v>#REF!</v>
      </c>
      <c r="BP31" t="e">
        <f>AND(#REF!,"AAAAABE/50M=")</f>
        <v>#REF!</v>
      </c>
      <c r="BQ31" t="e">
        <f>AND(#REF!,"AAAAABE/50Q=")</f>
        <v>#REF!</v>
      </c>
      <c r="BR31" t="e">
        <f>AND(#REF!,"AAAAABE/50U=")</f>
        <v>#REF!</v>
      </c>
      <c r="BS31" t="e">
        <f>AND(#REF!,"AAAAABE/50Y=")</f>
        <v>#REF!</v>
      </c>
      <c r="BT31" t="e">
        <f>AND(#REF!,"AAAAABE/50c=")</f>
        <v>#REF!</v>
      </c>
      <c r="BU31" t="e">
        <f>AND(#REF!,"AAAAABE/50g=")</f>
        <v>#REF!</v>
      </c>
      <c r="BV31" t="e">
        <f>AND(#REF!,"AAAAABE/50k=")</f>
        <v>#REF!</v>
      </c>
      <c r="BW31" t="e">
        <f>AND(#REF!,"AAAAABE/50o=")</f>
        <v>#REF!</v>
      </c>
      <c r="BX31" t="e">
        <f>AND(#REF!,"AAAAABE/50s=")</f>
        <v>#REF!</v>
      </c>
      <c r="BY31" t="e">
        <f>AND(#REF!,"AAAAABE/50w=")</f>
        <v>#REF!</v>
      </c>
      <c r="BZ31" t="e">
        <f>AND(#REF!,"AAAAABE/500=")</f>
        <v>#REF!</v>
      </c>
      <c r="CA31" t="e">
        <f>AND(#REF!,"AAAAABE/504=")</f>
        <v>#REF!</v>
      </c>
      <c r="CB31" t="e">
        <f>AND(#REF!,"AAAAABE/508=")</f>
        <v>#REF!</v>
      </c>
      <c r="CC31" t="e">
        <f>AND(#REF!,"AAAAABE/51A=")</f>
        <v>#REF!</v>
      </c>
      <c r="CD31" t="e">
        <f>AND(#REF!,"AAAAABE/51E=")</f>
        <v>#REF!</v>
      </c>
      <c r="CE31" t="e">
        <f>AND(#REF!,"AAAAABE/51I=")</f>
        <v>#REF!</v>
      </c>
      <c r="CF31" t="e">
        <f>AND(#REF!,"AAAAABE/51M=")</f>
        <v>#REF!</v>
      </c>
      <c r="CG31" t="e">
        <f>AND(#REF!,"AAAAABE/51Q=")</f>
        <v>#REF!</v>
      </c>
      <c r="CH31" t="e">
        <f>AND(#REF!,"AAAAABE/51U=")</f>
        <v>#REF!</v>
      </c>
      <c r="CI31" t="e">
        <f>AND(#REF!,"AAAAABE/51Y=")</f>
        <v>#REF!</v>
      </c>
      <c r="CJ31" t="e">
        <f>AND(#REF!,"AAAAABE/51c=")</f>
        <v>#REF!</v>
      </c>
      <c r="CK31" t="e">
        <f>AND(#REF!,"AAAAABE/51g=")</f>
        <v>#REF!</v>
      </c>
      <c r="CL31" t="e">
        <f>AND(#REF!,"AAAAABE/51k=")</f>
        <v>#REF!</v>
      </c>
      <c r="CM31" t="e">
        <f>AND(#REF!,"AAAAABE/51o=")</f>
        <v>#REF!</v>
      </c>
      <c r="CN31" t="e">
        <f>AND(#REF!,"AAAAABE/51s=")</f>
        <v>#REF!</v>
      </c>
      <c r="CO31" t="e">
        <f>AND(#REF!,"AAAAABE/51w=")</f>
        <v>#REF!</v>
      </c>
      <c r="CP31" t="e">
        <f>AND(#REF!,"AAAAABE/510=")</f>
        <v>#REF!</v>
      </c>
      <c r="CQ31" t="e">
        <f>AND(#REF!,"AAAAABE/514=")</f>
        <v>#REF!</v>
      </c>
      <c r="CR31" t="e">
        <f>AND(#REF!,"AAAAABE/518=")</f>
        <v>#REF!</v>
      </c>
      <c r="CS31" t="e">
        <f>AND(#REF!,"AAAAABE/52A=")</f>
        <v>#REF!</v>
      </c>
      <c r="CT31" t="e">
        <f>AND(#REF!,"AAAAABE/52E=")</f>
        <v>#REF!</v>
      </c>
      <c r="CU31" t="e">
        <f>AND(#REF!,"AAAAABE/52I=")</f>
        <v>#REF!</v>
      </c>
      <c r="CV31" t="e">
        <f>AND(#REF!,"AAAAABE/52M=")</f>
        <v>#REF!</v>
      </c>
      <c r="CW31" t="e">
        <f>AND(#REF!,"AAAAABE/52Q=")</f>
        <v>#REF!</v>
      </c>
      <c r="CX31" t="e">
        <f>AND(#REF!,"AAAAABE/52U=")</f>
        <v>#REF!</v>
      </c>
      <c r="CY31" t="e">
        <f>AND(#REF!,"AAAAABE/52Y=")</f>
        <v>#REF!</v>
      </c>
      <c r="CZ31" t="e">
        <f>AND(#REF!,"AAAAABE/52c=")</f>
        <v>#REF!</v>
      </c>
      <c r="DA31" t="e">
        <f>AND(#REF!,"AAAAABE/52g=")</f>
        <v>#REF!</v>
      </c>
      <c r="DB31" t="e">
        <f>AND(#REF!,"AAAAABE/52k=")</f>
        <v>#REF!</v>
      </c>
      <c r="DC31" t="e">
        <f>AND(#REF!,"AAAAABE/52o=")</f>
        <v>#REF!</v>
      </c>
      <c r="DD31" t="e">
        <f>AND(#REF!,"AAAAABE/52s=")</f>
        <v>#REF!</v>
      </c>
      <c r="DE31" t="e">
        <f>AND(#REF!,"AAAAABE/52w=")</f>
        <v>#REF!</v>
      </c>
      <c r="DF31" t="e">
        <f>AND(#REF!,"AAAAABE/520=")</f>
        <v>#REF!</v>
      </c>
      <c r="DG31" t="e">
        <f>AND(#REF!,"AAAAABE/524=")</f>
        <v>#REF!</v>
      </c>
      <c r="DH31" t="e">
        <f>AND(#REF!,"AAAAABE/528=")</f>
        <v>#REF!</v>
      </c>
      <c r="DI31" t="e">
        <f>AND(#REF!,"AAAAABE/53A=")</f>
        <v>#REF!</v>
      </c>
      <c r="DJ31" t="e">
        <f>AND(#REF!,"AAAAABE/53E=")</f>
        <v>#REF!</v>
      </c>
      <c r="DK31" t="e">
        <f>AND(#REF!,"AAAAABE/53I=")</f>
        <v>#REF!</v>
      </c>
      <c r="DL31" t="e">
        <f>AND(#REF!,"AAAAABE/53M=")</f>
        <v>#REF!</v>
      </c>
      <c r="DM31" t="e">
        <f>AND(#REF!,"AAAAABE/53Q=")</f>
        <v>#REF!</v>
      </c>
      <c r="DN31" t="e">
        <f>AND(#REF!,"AAAAABE/53U=")</f>
        <v>#REF!</v>
      </c>
      <c r="DO31" t="e">
        <f>AND(#REF!,"AAAAABE/53Y=")</f>
        <v>#REF!</v>
      </c>
      <c r="DP31" t="e">
        <f>AND(#REF!,"AAAAABE/53c=")</f>
        <v>#REF!</v>
      </c>
      <c r="DQ31" t="e">
        <f>AND(#REF!,"AAAAABE/53g=")</f>
        <v>#REF!</v>
      </c>
      <c r="DR31" t="e">
        <f>AND(#REF!,"AAAAABE/53k=")</f>
        <v>#REF!</v>
      </c>
      <c r="DS31" t="e">
        <f>AND(#REF!,"AAAAABE/53o=")</f>
        <v>#REF!</v>
      </c>
      <c r="DT31" t="e">
        <f>AND(#REF!,"AAAAABE/53s=")</f>
        <v>#REF!</v>
      </c>
      <c r="DU31" t="e">
        <f>AND(#REF!,"AAAAABE/53w=")</f>
        <v>#REF!</v>
      </c>
      <c r="DV31" t="e">
        <f>AND(#REF!,"AAAAABE/530=")</f>
        <v>#REF!</v>
      </c>
      <c r="DW31" t="e">
        <f>AND(#REF!,"AAAAABE/534=")</f>
        <v>#REF!</v>
      </c>
      <c r="DX31" t="e">
        <f>AND(#REF!,"AAAAABE/538=")</f>
        <v>#REF!</v>
      </c>
      <c r="DY31" t="e">
        <f>AND(#REF!,"AAAAABE/54A=")</f>
        <v>#REF!</v>
      </c>
      <c r="DZ31" t="e">
        <f>AND(#REF!,"AAAAABE/54E=")</f>
        <v>#REF!</v>
      </c>
      <c r="EA31" t="e">
        <f>AND(#REF!,"AAAAABE/54I=")</f>
        <v>#REF!</v>
      </c>
      <c r="EB31" t="e">
        <f>AND(#REF!,"AAAAABE/54M=")</f>
        <v>#REF!</v>
      </c>
      <c r="EC31" t="e">
        <f>AND(#REF!,"AAAAABE/54Q=")</f>
        <v>#REF!</v>
      </c>
      <c r="ED31" t="e">
        <f>AND(#REF!,"AAAAABE/54U=")</f>
        <v>#REF!</v>
      </c>
      <c r="EE31" t="e">
        <f>AND(#REF!,"AAAAABE/54Y=")</f>
        <v>#REF!</v>
      </c>
      <c r="EF31" t="e">
        <f>AND(#REF!,"AAAAABE/54c=")</f>
        <v>#REF!</v>
      </c>
      <c r="EG31" t="e">
        <f>AND(#REF!,"AAAAABE/54g=")</f>
        <v>#REF!</v>
      </c>
      <c r="EH31" t="e">
        <f>AND(#REF!,"AAAAABE/54k=")</f>
        <v>#REF!</v>
      </c>
      <c r="EI31" t="e">
        <f>AND(#REF!,"AAAAABE/54o=")</f>
        <v>#REF!</v>
      </c>
      <c r="EJ31" t="e">
        <f>AND(#REF!,"AAAAABE/54s=")</f>
        <v>#REF!</v>
      </c>
      <c r="EK31" t="e">
        <f>AND(#REF!,"AAAAABE/54w=")</f>
        <v>#REF!</v>
      </c>
      <c r="EL31" t="e">
        <f>AND(#REF!,"AAAAABE/540=")</f>
        <v>#REF!</v>
      </c>
      <c r="EM31" t="e">
        <f>AND(#REF!,"AAAAABE/544=")</f>
        <v>#REF!</v>
      </c>
      <c r="EN31" t="e">
        <f>AND(#REF!,"AAAAABE/548=")</f>
        <v>#REF!</v>
      </c>
      <c r="EO31" t="e">
        <f>AND(#REF!,"AAAAABE/55A=")</f>
        <v>#REF!</v>
      </c>
      <c r="EP31" t="e">
        <f>AND(#REF!,"AAAAABE/55E=")</f>
        <v>#REF!</v>
      </c>
      <c r="EQ31" t="e">
        <f>AND(#REF!,"AAAAABE/55I=")</f>
        <v>#REF!</v>
      </c>
      <c r="ER31" t="e">
        <f>AND(#REF!,"AAAAABE/55M=")</f>
        <v>#REF!</v>
      </c>
      <c r="ES31" t="e">
        <f>AND(#REF!,"AAAAABE/55Q=")</f>
        <v>#REF!</v>
      </c>
      <c r="ET31" t="e">
        <f>AND(#REF!,"AAAAABE/55U=")</f>
        <v>#REF!</v>
      </c>
      <c r="EU31" t="e">
        <f>AND(#REF!,"AAAAABE/55Y=")</f>
        <v>#REF!</v>
      </c>
      <c r="EV31" t="e">
        <f>AND(#REF!,"AAAAABE/55c=")</f>
        <v>#REF!</v>
      </c>
      <c r="EW31" t="e">
        <f>AND(#REF!,"AAAAABE/55g=")</f>
        <v>#REF!</v>
      </c>
      <c r="EX31" t="e">
        <f>AND(#REF!,"AAAAABE/55k=")</f>
        <v>#REF!</v>
      </c>
      <c r="EY31" t="e">
        <f>AND(#REF!,"AAAAABE/55o=")</f>
        <v>#REF!</v>
      </c>
      <c r="EZ31" t="e">
        <f>AND(#REF!,"AAAAABE/55s=")</f>
        <v>#REF!</v>
      </c>
      <c r="FA31" t="e">
        <f>AND(#REF!,"AAAAABE/55w=")</f>
        <v>#REF!</v>
      </c>
      <c r="FB31" t="e">
        <f>AND(#REF!,"AAAAABE/550=")</f>
        <v>#REF!</v>
      </c>
      <c r="FC31" t="e">
        <f>AND(#REF!,"AAAAABE/554=")</f>
        <v>#REF!</v>
      </c>
      <c r="FD31" t="e">
        <f>AND(#REF!,"AAAAABE/558=")</f>
        <v>#REF!</v>
      </c>
      <c r="FE31" t="e">
        <f>AND(#REF!,"AAAAABE/56A=")</f>
        <v>#REF!</v>
      </c>
      <c r="FF31" t="e">
        <f>AND(#REF!,"AAAAABE/56E=")</f>
        <v>#REF!</v>
      </c>
      <c r="FG31" t="e">
        <f>AND(#REF!,"AAAAABE/56I=")</f>
        <v>#REF!</v>
      </c>
      <c r="FH31" t="e">
        <f>AND(#REF!,"AAAAABE/56M=")</f>
        <v>#REF!</v>
      </c>
      <c r="FI31" t="e">
        <f>AND(#REF!,"AAAAABE/56Q=")</f>
        <v>#REF!</v>
      </c>
      <c r="FJ31" t="e">
        <f>AND(#REF!,"AAAAABE/56U=")</f>
        <v>#REF!</v>
      </c>
      <c r="FK31" t="e">
        <f>AND(#REF!,"AAAAABE/56Y=")</f>
        <v>#REF!</v>
      </c>
      <c r="FL31" t="e">
        <f>AND(#REF!,"AAAAABE/56c=")</f>
        <v>#REF!</v>
      </c>
      <c r="FM31" t="e">
        <f>AND(#REF!,"AAAAABE/56g=")</f>
        <v>#REF!</v>
      </c>
      <c r="FN31" t="e">
        <f>AND(#REF!,"AAAAABE/56k=")</f>
        <v>#REF!</v>
      </c>
      <c r="FO31" t="e">
        <f>AND(#REF!,"AAAAABE/56o=")</f>
        <v>#REF!</v>
      </c>
      <c r="FP31" t="e">
        <f>AND(#REF!,"AAAAABE/56s=")</f>
        <v>#REF!</v>
      </c>
      <c r="FQ31" t="e">
        <f>AND(#REF!,"AAAAABE/56w=")</f>
        <v>#REF!</v>
      </c>
      <c r="FR31" t="e">
        <f>AND(#REF!,"AAAAABE/560=")</f>
        <v>#REF!</v>
      </c>
      <c r="FS31" t="e">
        <f>AND(#REF!,"AAAAABE/564=")</f>
        <v>#REF!</v>
      </c>
      <c r="FT31" t="e">
        <f>AND(#REF!,"AAAAABE/568=")</f>
        <v>#REF!</v>
      </c>
      <c r="FU31" t="e">
        <f>AND(#REF!,"AAAAABE/57A=")</f>
        <v>#REF!</v>
      </c>
      <c r="FV31" t="e">
        <f>AND(#REF!,"AAAAABE/57E=")</f>
        <v>#REF!</v>
      </c>
      <c r="FW31" t="e">
        <f>AND(#REF!,"AAAAABE/57I=")</f>
        <v>#REF!</v>
      </c>
      <c r="FX31" t="e">
        <f>AND(#REF!,"AAAAABE/57M=")</f>
        <v>#REF!</v>
      </c>
      <c r="FY31" t="e">
        <f>AND(#REF!,"AAAAABE/57Q=")</f>
        <v>#REF!</v>
      </c>
      <c r="FZ31" t="e">
        <f>AND(#REF!,"AAAAABE/57U=")</f>
        <v>#REF!</v>
      </c>
      <c r="GA31" t="e">
        <f>AND(#REF!,"AAAAABE/57Y=")</f>
        <v>#REF!</v>
      </c>
      <c r="GB31" t="e">
        <f>AND(#REF!,"AAAAABE/57c=")</f>
        <v>#REF!</v>
      </c>
      <c r="GC31" t="e">
        <f>AND(#REF!,"AAAAABE/57g=")</f>
        <v>#REF!</v>
      </c>
      <c r="GD31" t="e">
        <f>AND(#REF!,"AAAAABE/57k=")</f>
        <v>#REF!</v>
      </c>
      <c r="GE31" t="e">
        <f>AND(#REF!,"AAAAABE/57o=")</f>
        <v>#REF!</v>
      </c>
      <c r="GF31" t="e">
        <f>AND(#REF!,"AAAAABE/57s=")</f>
        <v>#REF!</v>
      </c>
      <c r="GG31" t="e">
        <f>AND(#REF!,"AAAAABE/57w=")</f>
        <v>#REF!</v>
      </c>
      <c r="GH31" t="e">
        <f>AND(#REF!,"AAAAABE/570=")</f>
        <v>#REF!</v>
      </c>
      <c r="GI31" t="e">
        <f>AND(#REF!,"AAAAABE/574=")</f>
        <v>#REF!</v>
      </c>
      <c r="GJ31" t="e">
        <f>AND(#REF!,"AAAAABE/578=")</f>
        <v>#REF!</v>
      </c>
      <c r="GK31" t="e">
        <f>AND(#REF!,"AAAAABE/58A=")</f>
        <v>#REF!</v>
      </c>
      <c r="GL31" t="e">
        <f>AND(#REF!,"AAAAABE/58E=")</f>
        <v>#REF!</v>
      </c>
      <c r="GM31" t="e">
        <f>AND(#REF!,"AAAAABE/58I=")</f>
        <v>#REF!</v>
      </c>
      <c r="GN31" t="e">
        <f>AND(#REF!,"AAAAABE/58M=")</f>
        <v>#REF!</v>
      </c>
      <c r="GO31" t="e">
        <f>AND(#REF!,"AAAAABE/58Q=")</f>
        <v>#REF!</v>
      </c>
      <c r="GP31" t="e">
        <f>AND(#REF!,"AAAAABE/58U=")</f>
        <v>#REF!</v>
      </c>
      <c r="GQ31" t="e">
        <f>AND(#REF!,"AAAAABE/58Y=")</f>
        <v>#REF!</v>
      </c>
      <c r="GR31" t="e">
        <f>AND(#REF!,"AAAAABE/58c=")</f>
        <v>#REF!</v>
      </c>
      <c r="GS31" t="e">
        <f>AND(#REF!,"AAAAABE/58g=")</f>
        <v>#REF!</v>
      </c>
      <c r="GT31" t="e">
        <f>AND(#REF!,"AAAAABE/58k=")</f>
        <v>#REF!</v>
      </c>
      <c r="GU31" t="e">
        <f>AND(#REF!,"AAAAABE/58o=")</f>
        <v>#REF!</v>
      </c>
      <c r="GV31" t="e">
        <f>AND(#REF!,"AAAAABE/58s=")</f>
        <v>#REF!</v>
      </c>
      <c r="GW31" t="e">
        <f>AND(#REF!,"AAAAABE/58w=")</f>
        <v>#REF!</v>
      </c>
      <c r="GX31" t="e">
        <f>AND(#REF!,"AAAAABE/580=")</f>
        <v>#REF!</v>
      </c>
      <c r="GY31" t="e">
        <f>AND(#REF!,"AAAAABE/584=")</f>
        <v>#REF!</v>
      </c>
      <c r="GZ31" t="e">
        <f>AND(#REF!,"AAAAABE/588=")</f>
        <v>#REF!</v>
      </c>
      <c r="HA31" t="e">
        <f>AND(#REF!,"AAAAABE/59A=")</f>
        <v>#REF!</v>
      </c>
      <c r="HB31" t="e">
        <f>AND(#REF!,"AAAAABE/59E=")</f>
        <v>#REF!</v>
      </c>
      <c r="HC31" t="e">
        <f>AND(#REF!,"AAAAABE/59I=")</f>
        <v>#REF!</v>
      </c>
      <c r="HD31" t="e">
        <f>AND(#REF!,"AAAAABE/59M=")</f>
        <v>#REF!</v>
      </c>
      <c r="HE31" t="e">
        <f>AND(#REF!,"AAAAABE/59Q=")</f>
        <v>#REF!</v>
      </c>
      <c r="HF31" t="e">
        <f>AND(#REF!,"AAAAABE/59U=")</f>
        <v>#REF!</v>
      </c>
      <c r="HG31" t="e">
        <f>AND(#REF!,"AAAAABE/59Y=")</f>
        <v>#REF!</v>
      </c>
      <c r="HH31" t="e">
        <f>AND(#REF!,"AAAAABE/59c=")</f>
        <v>#REF!</v>
      </c>
      <c r="HI31" t="e">
        <f>AND(#REF!,"AAAAABE/59g=")</f>
        <v>#REF!</v>
      </c>
      <c r="HJ31" t="e">
        <f>AND(#REF!,"AAAAABE/59k=")</f>
        <v>#REF!</v>
      </c>
      <c r="HK31" t="e">
        <f>AND(#REF!,"AAAAABE/59o=")</f>
        <v>#REF!</v>
      </c>
      <c r="HL31" t="e">
        <f>AND(#REF!,"AAAAABE/59s=")</f>
        <v>#REF!</v>
      </c>
      <c r="HM31" t="e">
        <f>AND(#REF!,"AAAAABE/59w=")</f>
        <v>#REF!</v>
      </c>
      <c r="HN31" t="e">
        <f>AND(#REF!,"AAAAABE/590=")</f>
        <v>#REF!</v>
      </c>
      <c r="HO31" t="e">
        <f>AND(#REF!,"AAAAABE/594=")</f>
        <v>#REF!</v>
      </c>
      <c r="HP31" t="e">
        <f>AND(#REF!,"AAAAABE/598=")</f>
        <v>#REF!</v>
      </c>
      <c r="HQ31" t="e">
        <f>AND(#REF!,"AAAAABE/5+A=")</f>
        <v>#REF!</v>
      </c>
      <c r="HR31" t="e">
        <f>AND(#REF!,"AAAAABE/5+E=")</f>
        <v>#REF!</v>
      </c>
      <c r="HS31" t="e">
        <f>AND(#REF!,"AAAAABE/5+I=")</f>
        <v>#REF!</v>
      </c>
      <c r="HT31" t="e">
        <f>AND(#REF!,"AAAAABE/5+M=")</f>
        <v>#REF!</v>
      </c>
      <c r="HU31" t="e">
        <f>AND(#REF!,"AAAAABE/5+Q=")</f>
        <v>#REF!</v>
      </c>
      <c r="HV31" t="e">
        <f>AND(#REF!,"AAAAABE/5+U=")</f>
        <v>#REF!</v>
      </c>
      <c r="HW31" t="e">
        <f>AND(#REF!,"AAAAABE/5+Y=")</f>
        <v>#REF!</v>
      </c>
      <c r="HX31" t="e">
        <f>AND(#REF!,"AAAAABE/5+c=")</f>
        <v>#REF!</v>
      </c>
      <c r="HY31" t="e">
        <f>AND(#REF!,"AAAAABE/5+g=")</f>
        <v>#REF!</v>
      </c>
      <c r="HZ31" t="e">
        <f>AND(#REF!,"AAAAABE/5+k=")</f>
        <v>#REF!</v>
      </c>
      <c r="IA31" t="e">
        <f>AND(#REF!,"AAAAABE/5+o=")</f>
        <v>#REF!</v>
      </c>
      <c r="IB31" t="e">
        <f>AND(#REF!,"AAAAABE/5+s=")</f>
        <v>#REF!</v>
      </c>
      <c r="IC31" t="e">
        <f>AND(#REF!,"AAAAABE/5+w=")</f>
        <v>#REF!</v>
      </c>
      <c r="ID31" t="e">
        <f>AND(#REF!,"AAAAABE/5+0=")</f>
        <v>#REF!</v>
      </c>
      <c r="IE31" t="e">
        <f>AND(#REF!,"AAAAABE/5+4=")</f>
        <v>#REF!</v>
      </c>
      <c r="IF31" t="e">
        <f>AND(#REF!,"AAAAABE/5+8=")</f>
        <v>#REF!</v>
      </c>
      <c r="IG31" t="e">
        <f>AND(#REF!,"AAAAABE/5/A=")</f>
        <v>#REF!</v>
      </c>
      <c r="IH31" t="e">
        <f>AND(#REF!,"AAAAABE/5/E=")</f>
        <v>#REF!</v>
      </c>
      <c r="II31" t="e">
        <f>AND(#REF!,"AAAAABE/5/I=")</f>
        <v>#REF!</v>
      </c>
      <c r="IJ31" t="e">
        <f>AND(#REF!,"AAAAABE/5/M=")</f>
        <v>#REF!</v>
      </c>
      <c r="IK31" t="e">
        <f>AND(#REF!,"AAAAABE/5/Q=")</f>
        <v>#REF!</v>
      </c>
      <c r="IL31" t="e">
        <f>AND(#REF!,"AAAAABE/5/U=")</f>
        <v>#REF!</v>
      </c>
      <c r="IM31" t="e">
        <f>AND(#REF!,"AAAAABE/5/Y=")</f>
        <v>#REF!</v>
      </c>
      <c r="IN31" t="e">
        <f>AND(#REF!,"AAAAABE/5/c=")</f>
        <v>#REF!</v>
      </c>
      <c r="IO31" t="e">
        <f>AND(#REF!,"AAAAABE/5/g=")</f>
        <v>#REF!</v>
      </c>
      <c r="IP31" t="e">
        <f>AND(#REF!,"AAAAABE/5/k=")</f>
        <v>#REF!</v>
      </c>
      <c r="IQ31" t="e">
        <f>AND(#REF!,"AAAAABE/5/o=")</f>
        <v>#REF!</v>
      </c>
      <c r="IR31" t="e">
        <f>AND(#REF!,"AAAAABE/5/s=")</f>
        <v>#REF!</v>
      </c>
      <c r="IS31" t="e">
        <f>AND(#REF!,"AAAAABE/5/w=")</f>
        <v>#REF!</v>
      </c>
      <c r="IT31" t="e">
        <f>AND(#REF!,"AAAAABE/5/0=")</f>
        <v>#REF!</v>
      </c>
      <c r="IU31" t="e">
        <f>AND(#REF!,"AAAAABE/5/4=")</f>
        <v>#REF!</v>
      </c>
      <c r="IV31" t="e">
        <f>AND(#REF!,"AAAAABE/5/8=")</f>
        <v>#REF!</v>
      </c>
    </row>
    <row r="32" spans="1:256">
      <c r="A32" t="e">
        <f>AND(#REF!,"AAAAAH5x/gA=")</f>
        <v>#REF!</v>
      </c>
      <c r="B32" t="e">
        <f>AND(#REF!,"AAAAAH5x/gE=")</f>
        <v>#REF!</v>
      </c>
      <c r="C32" t="e">
        <f>AND(#REF!,"AAAAAH5x/gI=")</f>
        <v>#REF!</v>
      </c>
      <c r="D32" t="e">
        <f>AND(#REF!,"AAAAAH5x/gM=")</f>
        <v>#REF!</v>
      </c>
      <c r="E32" t="e">
        <f>AND(#REF!,"AAAAAH5x/gQ=")</f>
        <v>#REF!</v>
      </c>
      <c r="F32" t="e">
        <f>AND(#REF!,"AAAAAH5x/gU=")</f>
        <v>#REF!</v>
      </c>
      <c r="G32" t="e">
        <f>AND(#REF!,"AAAAAH5x/gY=")</f>
        <v>#REF!</v>
      </c>
      <c r="H32" t="e">
        <f>AND(#REF!,"AAAAAH5x/gc=")</f>
        <v>#REF!</v>
      </c>
      <c r="I32" t="e">
        <f>AND(#REF!,"AAAAAH5x/gg=")</f>
        <v>#REF!</v>
      </c>
      <c r="J32" t="e">
        <f>AND(#REF!,"AAAAAH5x/gk=")</f>
        <v>#REF!</v>
      </c>
      <c r="K32" t="e">
        <f>AND(#REF!,"AAAAAH5x/go=")</f>
        <v>#REF!</v>
      </c>
      <c r="L32" t="e">
        <f>AND(#REF!,"AAAAAH5x/gs=")</f>
        <v>#REF!</v>
      </c>
      <c r="M32" t="e">
        <f>AND(#REF!,"AAAAAH5x/gw=")</f>
        <v>#REF!</v>
      </c>
      <c r="N32" t="e">
        <f>AND(#REF!,"AAAAAH5x/g0=")</f>
        <v>#REF!</v>
      </c>
      <c r="O32" t="e">
        <f>AND(#REF!,"AAAAAH5x/g4=")</f>
        <v>#REF!</v>
      </c>
      <c r="P32" t="e">
        <f>AND(#REF!,"AAAAAH5x/g8=")</f>
        <v>#REF!</v>
      </c>
      <c r="Q32" t="e">
        <f>AND(#REF!,"AAAAAH5x/hA=")</f>
        <v>#REF!</v>
      </c>
      <c r="R32" t="e">
        <f>AND(#REF!,"AAAAAH5x/hE=")</f>
        <v>#REF!</v>
      </c>
      <c r="S32" t="e">
        <f>AND(#REF!,"AAAAAH5x/hI=")</f>
        <v>#REF!</v>
      </c>
      <c r="T32" t="e">
        <f>AND(#REF!,"AAAAAH5x/hM=")</f>
        <v>#REF!</v>
      </c>
      <c r="U32" t="e">
        <f>AND(#REF!,"AAAAAH5x/hQ=")</f>
        <v>#REF!</v>
      </c>
      <c r="V32" t="e">
        <f>AND(#REF!,"AAAAAH5x/hU=")</f>
        <v>#REF!</v>
      </c>
      <c r="W32" t="e">
        <f>AND(#REF!,"AAAAAH5x/hY=")</f>
        <v>#REF!</v>
      </c>
      <c r="X32" t="e">
        <f>AND(#REF!,"AAAAAH5x/hc=")</f>
        <v>#REF!</v>
      </c>
      <c r="Y32" t="e">
        <f>AND(#REF!,"AAAAAH5x/hg=")</f>
        <v>#REF!</v>
      </c>
      <c r="Z32" t="e">
        <f>AND(#REF!,"AAAAAH5x/hk=")</f>
        <v>#REF!</v>
      </c>
      <c r="AA32" t="e">
        <f>AND(#REF!,"AAAAAH5x/ho=")</f>
        <v>#REF!</v>
      </c>
      <c r="AB32" t="e">
        <f>AND(#REF!,"AAAAAH5x/hs=")</f>
        <v>#REF!</v>
      </c>
      <c r="AC32" t="e">
        <f>AND(#REF!,"AAAAAH5x/hw=")</f>
        <v>#REF!</v>
      </c>
      <c r="AD32" t="e">
        <f>AND(#REF!,"AAAAAH5x/h0=")</f>
        <v>#REF!</v>
      </c>
      <c r="AE32" t="e">
        <f>AND(#REF!,"AAAAAH5x/h4=")</f>
        <v>#REF!</v>
      </c>
      <c r="AF32" t="e">
        <f>AND(#REF!,"AAAAAH5x/h8=")</f>
        <v>#REF!</v>
      </c>
      <c r="AG32" t="e">
        <f>AND(#REF!,"AAAAAH5x/iA=")</f>
        <v>#REF!</v>
      </c>
      <c r="AH32" t="e">
        <f>AND(#REF!,"AAAAAH5x/iE=")</f>
        <v>#REF!</v>
      </c>
      <c r="AI32" t="e">
        <f>AND(#REF!,"AAAAAH5x/iI=")</f>
        <v>#REF!</v>
      </c>
      <c r="AJ32" t="e">
        <f>AND(#REF!,"AAAAAH5x/iM=")</f>
        <v>#REF!</v>
      </c>
      <c r="AK32" t="e">
        <f>AND(#REF!,"AAAAAH5x/iQ=")</f>
        <v>#REF!</v>
      </c>
      <c r="AL32" t="e">
        <f>AND(#REF!,"AAAAAH5x/iU=")</f>
        <v>#REF!</v>
      </c>
      <c r="AM32" t="e">
        <f>AND(#REF!,"AAAAAH5x/iY=")</f>
        <v>#REF!</v>
      </c>
      <c r="AN32" t="e">
        <f>AND(#REF!,"AAAAAH5x/ic=")</f>
        <v>#REF!</v>
      </c>
      <c r="AO32" t="e">
        <f>AND(#REF!,"AAAAAH5x/ig=")</f>
        <v>#REF!</v>
      </c>
      <c r="AP32" t="e">
        <f>AND(#REF!,"AAAAAH5x/ik=")</f>
        <v>#REF!</v>
      </c>
      <c r="AQ32" t="e">
        <f>AND(#REF!,"AAAAAH5x/io=")</f>
        <v>#REF!</v>
      </c>
      <c r="AR32" t="e">
        <f>AND(#REF!,"AAAAAH5x/is=")</f>
        <v>#REF!</v>
      </c>
      <c r="AS32" t="e">
        <f>AND(#REF!,"AAAAAH5x/iw=")</f>
        <v>#REF!</v>
      </c>
      <c r="AT32" t="e">
        <f>AND(#REF!,"AAAAAH5x/i0=")</f>
        <v>#REF!</v>
      </c>
      <c r="AU32" t="e">
        <f>AND(#REF!,"AAAAAH5x/i4=")</f>
        <v>#REF!</v>
      </c>
      <c r="AV32" t="e">
        <f>AND(#REF!,"AAAAAH5x/i8=")</f>
        <v>#REF!</v>
      </c>
      <c r="AW32" t="e">
        <f>AND(#REF!,"AAAAAH5x/jA=")</f>
        <v>#REF!</v>
      </c>
      <c r="AX32" t="e">
        <f>AND(#REF!,"AAAAAH5x/jE=")</f>
        <v>#REF!</v>
      </c>
      <c r="AY32" t="e">
        <f>AND(#REF!,"AAAAAH5x/jI=")</f>
        <v>#REF!</v>
      </c>
      <c r="AZ32" t="e">
        <f>AND(#REF!,"AAAAAH5x/jM=")</f>
        <v>#REF!</v>
      </c>
      <c r="BA32" t="e">
        <f>AND(#REF!,"AAAAAH5x/jQ=")</f>
        <v>#REF!</v>
      </c>
      <c r="BB32" t="e">
        <f>AND(#REF!,"AAAAAH5x/jU=")</f>
        <v>#REF!</v>
      </c>
      <c r="BC32" t="e">
        <f>AND(#REF!,"AAAAAH5x/jY=")</f>
        <v>#REF!</v>
      </c>
      <c r="BD32" t="e">
        <f>AND(#REF!,"AAAAAH5x/jc=")</f>
        <v>#REF!</v>
      </c>
      <c r="BE32" t="e">
        <f>AND(#REF!,"AAAAAH5x/jg=")</f>
        <v>#REF!</v>
      </c>
      <c r="BF32" t="e">
        <f>AND(#REF!,"AAAAAH5x/jk=")</f>
        <v>#REF!</v>
      </c>
      <c r="BG32" t="e">
        <f>AND(#REF!,"AAAAAH5x/jo=")</f>
        <v>#REF!</v>
      </c>
      <c r="BH32" t="e">
        <f>AND(#REF!,"AAAAAH5x/js=")</f>
        <v>#REF!</v>
      </c>
      <c r="BI32" t="e">
        <f>AND(#REF!,"AAAAAH5x/jw=")</f>
        <v>#REF!</v>
      </c>
      <c r="BJ32" t="e">
        <f>AND(#REF!,"AAAAAH5x/j0=")</f>
        <v>#REF!</v>
      </c>
      <c r="BK32" t="e">
        <f>AND(#REF!,"AAAAAH5x/j4=")</f>
        <v>#REF!</v>
      </c>
      <c r="BL32" t="e">
        <f>AND(#REF!,"AAAAAH5x/j8=")</f>
        <v>#REF!</v>
      </c>
      <c r="BM32" t="e">
        <f>AND(#REF!,"AAAAAH5x/kA=")</f>
        <v>#REF!</v>
      </c>
      <c r="BN32" t="e">
        <f>AND(#REF!,"AAAAAH5x/kE=")</f>
        <v>#REF!</v>
      </c>
      <c r="BO32" t="e">
        <f>AND(#REF!,"AAAAAH5x/kI=")</f>
        <v>#REF!</v>
      </c>
      <c r="BP32" t="e">
        <f>AND(#REF!,"AAAAAH5x/kM=")</f>
        <v>#REF!</v>
      </c>
      <c r="BQ32" t="e">
        <f>AND(#REF!,"AAAAAH5x/kQ=")</f>
        <v>#REF!</v>
      </c>
      <c r="BR32" t="e">
        <f>AND(#REF!,"AAAAAH5x/kU=")</f>
        <v>#REF!</v>
      </c>
      <c r="BS32" t="e">
        <f>AND(#REF!,"AAAAAH5x/kY=")</f>
        <v>#REF!</v>
      </c>
      <c r="BT32" t="e">
        <f>AND(#REF!,"AAAAAH5x/kc=")</f>
        <v>#REF!</v>
      </c>
      <c r="BU32" t="e">
        <f>AND(#REF!,"AAAAAH5x/kg=")</f>
        <v>#REF!</v>
      </c>
      <c r="BV32" t="e">
        <f>AND(#REF!,"AAAAAH5x/kk=")</f>
        <v>#REF!</v>
      </c>
      <c r="BW32" t="e">
        <f>AND(#REF!,"AAAAAH5x/ko=")</f>
        <v>#REF!</v>
      </c>
      <c r="BX32" t="e">
        <f>AND(#REF!,"AAAAAH5x/ks=")</f>
        <v>#REF!</v>
      </c>
      <c r="BY32" t="e">
        <f>AND(#REF!,"AAAAAH5x/kw=")</f>
        <v>#REF!</v>
      </c>
      <c r="BZ32" t="e">
        <f>AND(#REF!,"AAAAAH5x/k0=")</f>
        <v>#REF!</v>
      </c>
      <c r="CA32" t="e">
        <f>AND(#REF!,"AAAAAH5x/k4=")</f>
        <v>#REF!</v>
      </c>
      <c r="CB32" t="e">
        <f>AND(#REF!,"AAAAAH5x/k8=")</f>
        <v>#REF!</v>
      </c>
      <c r="CC32" t="e">
        <f>AND(#REF!,"AAAAAH5x/lA=")</f>
        <v>#REF!</v>
      </c>
      <c r="CD32" t="e">
        <f>AND(#REF!,"AAAAAH5x/lE=")</f>
        <v>#REF!</v>
      </c>
      <c r="CE32" t="e">
        <f>AND(#REF!,"AAAAAH5x/lI=")</f>
        <v>#REF!</v>
      </c>
      <c r="CF32" t="e">
        <f>AND(#REF!,"AAAAAH5x/lM=")</f>
        <v>#REF!</v>
      </c>
      <c r="CG32" t="e">
        <f>AND(#REF!,"AAAAAH5x/lQ=")</f>
        <v>#REF!</v>
      </c>
      <c r="CH32" t="e">
        <f>AND(#REF!,"AAAAAH5x/lU=")</f>
        <v>#REF!</v>
      </c>
      <c r="CI32" t="e">
        <f>AND(#REF!,"AAAAAH5x/lY=")</f>
        <v>#REF!</v>
      </c>
      <c r="CJ32" t="e">
        <f>AND(#REF!,"AAAAAH5x/lc=")</f>
        <v>#REF!</v>
      </c>
      <c r="CK32" t="e">
        <f>AND(#REF!,"AAAAAH5x/lg=")</f>
        <v>#REF!</v>
      </c>
      <c r="CL32" t="e">
        <f>AND(#REF!,"AAAAAH5x/lk=")</f>
        <v>#REF!</v>
      </c>
      <c r="CM32" t="e">
        <f>AND(#REF!,"AAAAAH5x/lo=")</f>
        <v>#REF!</v>
      </c>
      <c r="CN32" t="e">
        <f>AND(#REF!,"AAAAAH5x/ls=")</f>
        <v>#REF!</v>
      </c>
      <c r="CO32" t="e">
        <f>AND(#REF!,"AAAAAH5x/lw=")</f>
        <v>#REF!</v>
      </c>
      <c r="CP32" t="e">
        <f>AND(#REF!,"AAAAAH5x/l0=")</f>
        <v>#REF!</v>
      </c>
      <c r="CQ32" t="e">
        <f>AND(#REF!,"AAAAAH5x/l4=")</f>
        <v>#REF!</v>
      </c>
      <c r="CR32" t="e">
        <f>AND(#REF!,"AAAAAH5x/l8=")</f>
        <v>#REF!</v>
      </c>
      <c r="CS32" t="e">
        <f>AND(#REF!,"AAAAAH5x/mA=")</f>
        <v>#REF!</v>
      </c>
      <c r="CT32" t="e">
        <f>AND(#REF!,"AAAAAH5x/mE=")</f>
        <v>#REF!</v>
      </c>
      <c r="CU32" t="e">
        <f>AND(#REF!,"AAAAAH5x/mI=")</f>
        <v>#REF!</v>
      </c>
      <c r="CV32" t="e">
        <f>AND(#REF!,"AAAAAH5x/mM=")</f>
        <v>#REF!</v>
      </c>
      <c r="CW32" t="e">
        <f>AND(#REF!,"AAAAAH5x/mQ=")</f>
        <v>#REF!</v>
      </c>
      <c r="CX32" t="e">
        <f>AND(#REF!,"AAAAAH5x/mU=")</f>
        <v>#REF!</v>
      </c>
      <c r="CY32" t="e">
        <f>AND(#REF!,"AAAAAH5x/mY=")</f>
        <v>#REF!</v>
      </c>
      <c r="CZ32" t="e">
        <f>AND(#REF!,"AAAAAH5x/mc=")</f>
        <v>#REF!</v>
      </c>
      <c r="DA32" t="e">
        <f>AND(#REF!,"AAAAAH5x/mg=")</f>
        <v>#REF!</v>
      </c>
      <c r="DB32" t="e">
        <f>AND(#REF!,"AAAAAH5x/mk=")</f>
        <v>#REF!</v>
      </c>
      <c r="DC32" t="e">
        <f>AND(#REF!,"AAAAAH5x/mo=")</f>
        <v>#REF!</v>
      </c>
      <c r="DD32" t="e">
        <f>AND(#REF!,"AAAAAH5x/ms=")</f>
        <v>#REF!</v>
      </c>
      <c r="DE32" t="e">
        <f>AND(#REF!,"AAAAAH5x/mw=")</f>
        <v>#REF!</v>
      </c>
      <c r="DF32" t="e">
        <f>AND(#REF!,"AAAAAH5x/m0=")</f>
        <v>#REF!</v>
      </c>
      <c r="DG32" t="e">
        <f>AND(#REF!,"AAAAAH5x/m4=")</f>
        <v>#REF!</v>
      </c>
      <c r="DH32" t="e">
        <f>AND(#REF!,"AAAAAH5x/m8=")</f>
        <v>#REF!</v>
      </c>
      <c r="DI32" t="e">
        <f>AND(#REF!,"AAAAAH5x/nA=")</f>
        <v>#REF!</v>
      </c>
      <c r="DJ32" t="e">
        <f>AND(#REF!,"AAAAAH5x/nE=")</f>
        <v>#REF!</v>
      </c>
      <c r="DK32" t="e">
        <f>AND(#REF!,"AAAAAH5x/nI=")</f>
        <v>#REF!</v>
      </c>
      <c r="DL32" t="e">
        <f>AND(#REF!,"AAAAAH5x/nM=")</f>
        <v>#REF!</v>
      </c>
      <c r="DM32" t="e">
        <f>AND(#REF!,"AAAAAH5x/nQ=")</f>
        <v>#REF!</v>
      </c>
      <c r="DN32" t="e">
        <f>AND(#REF!,"AAAAAH5x/nU=")</f>
        <v>#REF!</v>
      </c>
      <c r="DO32" t="e">
        <f>AND(#REF!,"AAAAAH5x/nY=")</f>
        <v>#REF!</v>
      </c>
      <c r="DP32" t="e">
        <f>AND(#REF!,"AAAAAH5x/nc=")</f>
        <v>#REF!</v>
      </c>
      <c r="DQ32" t="e">
        <f>AND(#REF!,"AAAAAH5x/ng=")</f>
        <v>#REF!</v>
      </c>
      <c r="DR32" t="e">
        <f>AND(#REF!,"AAAAAH5x/nk=")</f>
        <v>#REF!</v>
      </c>
      <c r="DS32" t="e">
        <f>AND(#REF!,"AAAAAH5x/no=")</f>
        <v>#REF!</v>
      </c>
      <c r="DT32" t="e">
        <f>AND(#REF!,"AAAAAH5x/ns=")</f>
        <v>#REF!</v>
      </c>
      <c r="DU32" t="e">
        <f>AND(#REF!,"AAAAAH5x/nw=")</f>
        <v>#REF!</v>
      </c>
      <c r="DV32" t="e">
        <f>AND(#REF!,"AAAAAH5x/n0=")</f>
        <v>#REF!</v>
      </c>
      <c r="DW32" t="e">
        <f>AND(#REF!,"AAAAAH5x/n4=")</f>
        <v>#REF!</v>
      </c>
      <c r="DX32" t="e">
        <f>AND(#REF!,"AAAAAH5x/n8=")</f>
        <v>#REF!</v>
      </c>
      <c r="DY32" t="e">
        <f>AND(#REF!,"AAAAAH5x/oA=")</f>
        <v>#REF!</v>
      </c>
      <c r="DZ32" t="e">
        <f>AND(#REF!,"AAAAAH5x/oE=")</f>
        <v>#REF!</v>
      </c>
      <c r="EA32" t="e">
        <f>AND(#REF!,"AAAAAH5x/oI=")</f>
        <v>#REF!</v>
      </c>
      <c r="EB32" t="e">
        <f>AND(#REF!,"AAAAAH5x/oM=")</f>
        <v>#REF!</v>
      </c>
      <c r="EC32" t="e">
        <f>AND(#REF!,"AAAAAH5x/oQ=")</f>
        <v>#REF!</v>
      </c>
      <c r="ED32" t="e">
        <f>AND(#REF!,"AAAAAH5x/oU=")</f>
        <v>#REF!</v>
      </c>
      <c r="EE32" t="e">
        <f>AND(#REF!,"AAAAAH5x/oY=")</f>
        <v>#REF!</v>
      </c>
      <c r="EF32" t="e">
        <f>AND(#REF!,"AAAAAH5x/oc=")</f>
        <v>#REF!</v>
      </c>
      <c r="EG32" t="e">
        <f>AND(#REF!,"AAAAAH5x/og=")</f>
        <v>#REF!</v>
      </c>
      <c r="EH32" t="e">
        <f>AND(#REF!,"AAAAAH5x/ok=")</f>
        <v>#REF!</v>
      </c>
      <c r="EI32" t="e">
        <f>AND(#REF!,"AAAAAH5x/oo=")</f>
        <v>#REF!</v>
      </c>
      <c r="EJ32" t="e">
        <f>AND(#REF!,"AAAAAH5x/os=")</f>
        <v>#REF!</v>
      </c>
      <c r="EK32" t="e">
        <f>AND(#REF!,"AAAAAH5x/ow=")</f>
        <v>#REF!</v>
      </c>
      <c r="EL32" t="e">
        <f>AND(#REF!,"AAAAAH5x/o0=")</f>
        <v>#REF!</v>
      </c>
      <c r="EM32" t="e">
        <f>AND(#REF!,"AAAAAH5x/o4=")</f>
        <v>#REF!</v>
      </c>
      <c r="EN32" t="e">
        <f>AND(#REF!,"AAAAAH5x/o8=")</f>
        <v>#REF!</v>
      </c>
      <c r="EO32" t="e">
        <f>AND(#REF!,"AAAAAH5x/pA=")</f>
        <v>#REF!</v>
      </c>
      <c r="EP32" t="e">
        <f>AND(#REF!,"AAAAAH5x/pE=")</f>
        <v>#REF!</v>
      </c>
      <c r="EQ32" t="e">
        <f>AND(#REF!,"AAAAAH5x/pI=")</f>
        <v>#REF!</v>
      </c>
      <c r="ER32" t="e">
        <f>AND(#REF!,"AAAAAH5x/pM=")</f>
        <v>#REF!</v>
      </c>
      <c r="ES32" t="e">
        <f>AND(#REF!,"AAAAAH5x/pQ=")</f>
        <v>#REF!</v>
      </c>
      <c r="ET32" t="e">
        <f>AND(#REF!,"AAAAAH5x/pU=")</f>
        <v>#REF!</v>
      </c>
      <c r="EU32" t="e">
        <f>AND(#REF!,"AAAAAH5x/pY=")</f>
        <v>#REF!</v>
      </c>
      <c r="EV32" t="e">
        <f>AND(#REF!,"AAAAAH5x/pc=")</f>
        <v>#REF!</v>
      </c>
      <c r="EW32" t="e">
        <f>AND(#REF!,"AAAAAH5x/pg=")</f>
        <v>#REF!</v>
      </c>
      <c r="EX32" t="e">
        <f>AND(#REF!,"AAAAAH5x/pk=")</f>
        <v>#REF!</v>
      </c>
      <c r="EY32" t="e">
        <f>AND(#REF!,"AAAAAH5x/po=")</f>
        <v>#REF!</v>
      </c>
      <c r="EZ32" t="e">
        <f>AND(#REF!,"AAAAAH5x/ps=")</f>
        <v>#REF!</v>
      </c>
      <c r="FA32" t="e">
        <f>AND(#REF!,"AAAAAH5x/pw=")</f>
        <v>#REF!</v>
      </c>
      <c r="FB32" t="e">
        <f>AND(#REF!,"AAAAAH5x/p0=")</f>
        <v>#REF!</v>
      </c>
      <c r="FC32" t="e">
        <f>AND(#REF!,"AAAAAH5x/p4=")</f>
        <v>#REF!</v>
      </c>
      <c r="FD32" t="e">
        <f>AND(#REF!,"AAAAAH5x/p8=")</f>
        <v>#REF!</v>
      </c>
      <c r="FE32" t="e">
        <f>AND(#REF!,"AAAAAH5x/qA=")</f>
        <v>#REF!</v>
      </c>
      <c r="FF32" t="e">
        <f>AND(#REF!,"AAAAAH5x/qE=")</f>
        <v>#REF!</v>
      </c>
      <c r="FG32" t="e">
        <f>AND(#REF!,"AAAAAH5x/qI=")</f>
        <v>#REF!</v>
      </c>
      <c r="FH32" t="e">
        <f>AND(#REF!,"AAAAAH5x/qM=")</f>
        <v>#REF!</v>
      </c>
      <c r="FI32" t="e">
        <f>AND(#REF!,"AAAAAH5x/qQ=")</f>
        <v>#REF!</v>
      </c>
      <c r="FJ32" t="e">
        <f>AND(#REF!,"AAAAAH5x/qU=")</f>
        <v>#REF!</v>
      </c>
      <c r="FK32" t="e">
        <f>AND(#REF!,"AAAAAH5x/qY=")</f>
        <v>#REF!</v>
      </c>
      <c r="FL32" t="e">
        <f>AND(#REF!,"AAAAAH5x/qc=")</f>
        <v>#REF!</v>
      </c>
      <c r="FM32" t="e">
        <f>AND(#REF!,"AAAAAH5x/qg=")</f>
        <v>#REF!</v>
      </c>
      <c r="FN32" t="e">
        <f>AND(#REF!,"AAAAAH5x/qk=")</f>
        <v>#REF!</v>
      </c>
      <c r="FO32" t="e">
        <f>AND(#REF!,"AAAAAH5x/qo=")</f>
        <v>#REF!</v>
      </c>
      <c r="FP32" t="e">
        <f>AND(#REF!,"AAAAAH5x/qs=")</f>
        <v>#REF!</v>
      </c>
      <c r="FQ32" t="e">
        <f>AND(#REF!,"AAAAAH5x/qw=")</f>
        <v>#REF!</v>
      </c>
      <c r="FR32" t="e">
        <f>AND(#REF!,"AAAAAH5x/q0=")</f>
        <v>#REF!</v>
      </c>
      <c r="FS32" t="e">
        <f>AND(#REF!,"AAAAAH5x/q4=")</f>
        <v>#REF!</v>
      </c>
      <c r="FT32" t="e">
        <f>AND(#REF!,"AAAAAH5x/q8=")</f>
        <v>#REF!</v>
      </c>
      <c r="FU32" t="e">
        <f>AND(#REF!,"AAAAAH5x/rA=")</f>
        <v>#REF!</v>
      </c>
      <c r="FV32" t="e">
        <f>AND(#REF!,"AAAAAH5x/rE=")</f>
        <v>#REF!</v>
      </c>
      <c r="FW32" t="e">
        <f>AND(#REF!,"AAAAAH5x/rI=")</f>
        <v>#REF!</v>
      </c>
      <c r="FX32" t="e">
        <f>AND(#REF!,"AAAAAH5x/rM=")</f>
        <v>#REF!</v>
      </c>
      <c r="FY32" t="e">
        <f>AND(#REF!,"AAAAAH5x/rQ=")</f>
        <v>#REF!</v>
      </c>
      <c r="FZ32" t="e">
        <f>AND(#REF!,"AAAAAH5x/rU=")</f>
        <v>#REF!</v>
      </c>
      <c r="GA32" t="e">
        <f>AND(#REF!,"AAAAAH5x/rY=")</f>
        <v>#REF!</v>
      </c>
      <c r="GB32" t="e">
        <f>AND(#REF!,"AAAAAH5x/rc=")</f>
        <v>#REF!</v>
      </c>
      <c r="GC32" t="e">
        <f>AND(#REF!,"AAAAAH5x/rg=")</f>
        <v>#REF!</v>
      </c>
      <c r="GD32" t="e">
        <f>AND(#REF!,"AAAAAH5x/rk=")</f>
        <v>#REF!</v>
      </c>
      <c r="GE32" t="e">
        <f>AND(#REF!,"AAAAAH5x/ro=")</f>
        <v>#REF!</v>
      </c>
      <c r="GF32" t="e">
        <f>AND(#REF!,"AAAAAH5x/rs=")</f>
        <v>#REF!</v>
      </c>
      <c r="GG32" t="e">
        <f>AND(#REF!,"AAAAAH5x/rw=")</f>
        <v>#REF!</v>
      </c>
      <c r="GH32" t="e">
        <f>AND(#REF!,"AAAAAH5x/r0=")</f>
        <v>#REF!</v>
      </c>
      <c r="GI32" t="e">
        <f>AND(#REF!,"AAAAAH5x/r4=")</f>
        <v>#REF!</v>
      </c>
      <c r="GJ32" t="e">
        <f>AND(#REF!,"AAAAAH5x/r8=")</f>
        <v>#REF!</v>
      </c>
      <c r="GK32" t="e">
        <f>AND(#REF!,"AAAAAH5x/sA=")</f>
        <v>#REF!</v>
      </c>
      <c r="GL32" t="e">
        <f>AND(#REF!,"AAAAAH5x/sE=")</f>
        <v>#REF!</v>
      </c>
      <c r="GM32" t="e">
        <f>AND(#REF!,"AAAAAH5x/sI=")</f>
        <v>#REF!</v>
      </c>
      <c r="GN32" t="e">
        <f>AND(#REF!,"AAAAAH5x/sM=")</f>
        <v>#REF!</v>
      </c>
      <c r="GO32" t="e">
        <f>AND(#REF!,"AAAAAH5x/sQ=")</f>
        <v>#REF!</v>
      </c>
      <c r="GP32" t="e">
        <f>AND(#REF!,"AAAAAH5x/sU=")</f>
        <v>#REF!</v>
      </c>
      <c r="GQ32" t="e">
        <f>AND(#REF!,"AAAAAH5x/sY=")</f>
        <v>#REF!</v>
      </c>
      <c r="GR32" t="e">
        <f>AND(#REF!,"AAAAAH5x/sc=")</f>
        <v>#REF!</v>
      </c>
      <c r="GS32" t="e">
        <f>AND(#REF!,"AAAAAH5x/sg=")</f>
        <v>#REF!</v>
      </c>
      <c r="GT32" t="e">
        <f>AND(#REF!,"AAAAAH5x/sk=")</f>
        <v>#REF!</v>
      </c>
      <c r="GU32" t="e">
        <f>AND(#REF!,"AAAAAH5x/so=")</f>
        <v>#REF!</v>
      </c>
      <c r="GV32" t="e">
        <f>AND(#REF!,"AAAAAH5x/ss=")</f>
        <v>#REF!</v>
      </c>
      <c r="GW32" t="e">
        <f>AND(#REF!,"AAAAAH5x/sw=")</f>
        <v>#REF!</v>
      </c>
      <c r="GX32" t="e">
        <f>AND(#REF!,"AAAAAH5x/s0=")</f>
        <v>#REF!</v>
      </c>
      <c r="GY32" t="e">
        <f>AND(#REF!,"AAAAAH5x/s4=")</f>
        <v>#REF!</v>
      </c>
      <c r="GZ32" t="e">
        <f>AND(#REF!,"AAAAAH5x/s8=")</f>
        <v>#REF!</v>
      </c>
      <c r="HA32" t="e">
        <f>AND(#REF!,"AAAAAH5x/tA=")</f>
        <v>#REF!</v>
      </c>
      <c r="HB32" t="e">
        <f>AND(#REF!,"AAAAAH5x/tE=")</f>
        <v>#REF!</v>
      </c>
      <c r="HC32" t="e">
        <f>AND(#REF!,"AAAAAH5x/tI=")</f>
        <v>#REF!</v>
      </c>
      <c r="HD32" t="e">
        <f>AND(#REF!,"AAAAAH5x/tM=")</f>
        <v>#REF!</v>
      </c>
      <c r="HE32" t="e">
        <f>AND(#REF!,"AAAAAH5x/tQ=")</f>
        <v>#REF!</v>
      </c>
      <c r="HF32" t="e">
        <f>AND(#REF!,"AAAAAH5x/tU=")</f>
        <v>#REF!</v>
      </c>
      <c r="HG32" t="e">
        <f>AND(#REF!,"AAAAAH5x/tY=")</f>
        <v>#REF!</v>
      </c>
      <c r="HH32" t="e">
        <f>AND(#REF!,"AAAAAH5x/tc=")</f>
        <v>#REF!</v>
      </c>
      <c r="HI32" t="e">
        <f>AND(#REF!,"AAAAAH5x/tg=")</f>
        <v>#REF!</v>
      </c>
      <c r="HJ32" t="e">
        <f>AND(#REF!,"AAAAAH5x/tk=")</f>
        <v>#REF!</v>
      </c>
      <c r="HK32" t="e">
        <f>AND(#REF!,"AAAAAH5x/to=")</f>
        <v>#REF!</v>
      </c>
      <c r="HL32" t="e">
        <f>AND(#REF!,"AAAAAH5x/ts=")</f>
        <v>#REF!</v>
      </c>
      <c r="HM32" t="e">
        <f>AND(#REF!,"AAAAAH5x/tw=")</f>
        <v>#REF!</v>
      </c>
      <c r="HN32" t="e">
        <f>AND(#REF!,"AAAAAH5x/t0=")</f>
        <v>#REF!</v>
      </c>
      <c r="HO32" t="e">
        <f>AND(#REF!,"AAAAAH5x/t4=")</f>
        <v>#REF!</v>
      </c>
      <c r="HP32" t="e">
        <f>AND(#REF!,"AAAAAH5x/t8=")</f>
        <v>#REF!</v>
      </c>
      <c r="HQ32" t="e">
        <f>AND(#REF!,"AAAAAH5x/uA=")</f>
        <v>#REF!</v>
      </c>
      <c r="HR32" t="e">
        <f>AND(#REF!,"AAAAAH5x/uE=")</f>
        <v>#REF!</v>
      </c>
      <c r="HS32" t="e">
        <f>AND(#REF!,"AAAAAH5x/uI=")</f>
        <v>#REF!</v>
      </c>
      <c r="HT32" t="e">
        <f>AND(#REF!,"AAAAAH5x/uM=")</f>
        <v>#REF!</v>
      </c>
      <c r="HU32" t="e">
        <f>AND(#REF!,"AAAAAH5x/uQ=")</f>
        <v>#REF!</v>
      </c>
      <c r="HV32" t="e">
        <f>AND(#REF!,"AAAAAH5x/uU=")</f>
        <v>#REF!</v>
      </c>
      <c r="HW32" t="e">
        <f>AND(#REF!,"AAAAAH5x/uY=")</f>
        <v>#REF!</v>
      </c>
      <c r="HX32" t="e">
        <f>AND(#REF!,"AAAAAH5x/uc=")</f>
        <v>#REF!</v>
      </c>
      <c r="HY32" t="e">
        <f>AND(#REF!,"AAAAAH5x/ug=")</f>
        <v>#REF!</v>
      </c>
      <c r="HZ32" t="e">
        <f>AND(#REF!,"AAAAAH5x/uk=")</f>
        <v>#REF!</v>
      </c>
      <c r="IA32" t="e">
        <f>AND(#REF!,"AAAAAH5x/uo=")</f>
        <v>#REF!</v>
      </c>
      <c r="IB32" t="e">
        <f>AND(#REF!,"AAAAAH5x/us=")</f>
        <v>#REF!</v>
      </c>
      <c r="IC32" t="e">
        <f>AND(#REF!,"AAAAAH5x/uw=")</f>
        <v>#REF!</v>
      </c>
      <c r="ID32" t="e">
        <f>AND(#REF!,"AAAAAH5x/u0=")</f>
        <v>#REF!</v>
      </c>
      <c r="IE32" t="e">
        <f>AND(#REF!,"AAAAAH5x/u4=")</f>
        <v>#REF!</v>
      </c>
      <c r="IF32" t="e">
        <f>AND(#REF!,"AAAAAH5x/u8=")</f>
        <v>#REF!</v>
      </c>
      <c r="IG32" t="e">
        <f>AND(#REF!,"AAAAAH5x/vA=")</f>
        <v>#REF!</v>
      </c>
      <c r="IH32" t="e">
        <f>AND(#REF!,"AAAAAH5x/vE=")</f>
        <v>#REF!</v>
      </c>
      <c r="II32" t="e">
        <f>AND(#REF!,"AAAAAH5x/vI=")</f>
        <v>#REF!</v>
      </c>
      <c r="IJ32" t="e">
        <f>AND(#REF!,"AAAAAH5x/vM=")</f>
        <v>#REF!</v>
      </c>
      <c r="IK32" t="e">
        <f>AND(#REF!,"AAAAAH5x/vQ=")</f>
        <v>#REF!</v>
      </c>
      <c r="IL32" t="e">
        <f>AND(#REF!,"AAAAAH5x/vU=")</f>
        <v>#REF!</v>
      </c>
      <c r="IM32" t="e">
        <f>AND(#REF!,"AAAAAH5x/vY=")</f>
        <v>#REF!</v>
      </c>
      <c r="IN32" t="e">
        <f>AND(#REF!,"AAAAAH5x/vc=")</f>
        <v>#REF!</v>
      </c>
      <c r="IO32" t="e">
        <f>AND(#REF!,"AAAAAH5x/vg=")</f>
        <v>#REF!</v>
      </c>
      <c r="IP32" t="e">
        <f>AND(#REF!,"AAAAAH5x/vk=")</f>
        <v>#REF!</v>
      </c>
      <c r="IQ32" t="e">
        <f>AND(#REF!,"AAAAAH5x/vo=")</f>
        <v>#REF!</v>
      </c>
      <c r="IR32" t="e">
        <f>AND(#REF!,"AAAAAH5x/vs=")</f>
        <v>#REF!</v>
      </c>
      <c r="IS32" t="e">
        <f>AND(#REF!,"AAAAAH5x/vw=")</f>
        <v>#REF!</v>
      </c>
      <c r="IT32" t="e">
        <f>AND(#REF!,"AAAAAH5x/v0=")</f>
        <v>#REF!</v>
      </c>
      <c r="IU32" t="e">
        <f>AND(#REF!,"AAAAAH5x/v4=")</f>
        <v>#REF!</v>
      </c>
      <c r="IV32" t="e">
        <f>AND(#REF!,"AAAAAH5x/v8=")</f>
        <v>#REF!</v>
      </c>
    </row>
    <row r="33" spans="1:256">
      <c r="A33" t="e">
        <f>AND(#REF!,"AAAAAHu/5QA=")</f>
        <v>#REF!</v>
      </c>
      <c r="B33" t="e">
        <f>AND(#REF!,"AAAAAHu/5QE=")</f>
        <v>#REF!</v>
      </c>
      <c r="C33" t="e">
        <f>AND(#REF!,"AAAAAHu/5QI=")</f>
        <v>#REF!</v>
      </c>
      <c r="D33" t="e">
        <f>AND(#REF!,"AAAAAHu/5QM=")</f>
        <v>#REF!</v>
      </c>
      <c r="E33" t="e">
        <f>AND(#REF!,"AAAAAHu/5QQ=")</f>
        <v>#REF!</v>
      </c>
      <c r="F33" t="e">
        <f>AND(#REF!,"AAAAAHu/5QU=")</f>
        <v>#REF!</v>
      </c>
      <c r="G33" t="e">
        <f>AND(#REF!,"AAAAAHu/5QY=")</f>
        <v>#REF!</v>
      </c>
      <c r="H33" t="e">
        <f>AND(#REF!,"AAAAAHu/5Qc=")</f>
        <v>#REF!</v>
      </c>
      <c r="I33" t="e">
        <f>AND(#REF!,"AAAAAHu/5Qg=")</f>
        <v>#REF!</v>
      </c>
      <c r="J33" t="e">
        <f>AND(#REF!,"AAAAAHu/5Qk=")</f>
        <v>#REF!</v>
      </c>
      <c r="K33" t="e">
        <f>AND(#REF!,"AAAAAHu/5Qo=")</f>
        <v>#REF!</v>
      </c>
      <c r="L33" t="e">
        <f>AND(#REF!,"AAAAAHu/5Qs=")</f>
        <v>#REF!</v>
      </c>
      <c r="M33" t="e">
        <f>AND(#REF!,"AAAAAHu/5Qw=")</f>
        <v>#REF!</v>
      </c>
      <c r="N33" t="e">
        <f>AND(#REF!,"AAAAAHu/5Q0=")</f>
        <v>#REF!</v>
      </c>
      <c r="O33" t="e">
        <f>AND(#REF!,"AAAAAHu/5Q4=")</f>
        <v>#REF!</v>
      </c>
      <c r="P33" t="e">
        <f>AND(#REF!,"AAAAAHu/5Q8=")</f>
        <v>#REF!</v>
      </c>
      <c r="Q33" t="e">
        <f>AND(#REF!,"AAAAAHu/5RA=")</f>
        <v>#REF!</v>
      </c>
      <c r="R33" t="e">
        <f>AND(#REF!,"AAAAAHu/5RE=")</f>
        <v>#REF!</v>
      </c>
      <c r="S33" t="e">
        <f>AND(#REF!,"AAAAAHu/5RI=")</f>
        <v>#REF!</v>
      </c>
      <c r="T33" t="e">
        <f>AND(#REF!,"AAAAAHu/5RM=")</f>
        <v>#REF!</v>
      </c>
      <c r="U33" t="e">
        <f>AND(#REF!,"AAAAAHu/5RQ=")</f>
        <v>#REF!</v>
      </c>
      <c r="V33" t="e">
        <f>AND(#REF!,"AAAAAHu/5RU=")</f>
        <v>#REF!</v>
      </c>
      <c r="W33" t="e">
        <f>AND(#REF!,"AAAAAHu/5RY=")</f>
        <v>#REF!</v>
      </c>
      <c r="X33" t="e">
        <f>AND(#REF!,"AAAAAHu/5Rc=")</f>
        <v>#REF!</v>
      </c>
      <c r="Y33" t="e">
        <f>AND(#REF!,"AAAAAHu/5Rg=")</f>
        <v>#REF!</v>
      </c>
      <c r="Z33" t="e">
        <f>AND(#REF!,"AAAAAHu/5Rk=")</f>
        <v>#REF!</v>
      </c>
      <c r="AA33" t="e">
        <f>AND(#REF!,"AAAAAHu/5Ro=")</f>
        <v>#REF!</v>
      </c>
      <c r="AB33" t="e">
        <f>AND(#REF!,"AAAAAHu/5Rs=")</f>
        <v>#REF!</v>
      </c>
      <c r="AC33" t="e">
        <f>AND(#REF!,"AAAAAHu/5Rw=")</f>
        <v>#REF!</v>
      </c>
      <c r="AD33" t="e">
        <f>AND(#REF!,"AAAAAHu/5R0=")</f>
        <v>#REF!</v>
      </c>
      <c r="AE33" t="e">
        <f>AND(#REF!,"AAAAAHu/5R4=")</f>
        <v>#REF!</v>
      </c>
      <c r="AF33" t="e">
        <f>AND(#REF!,"AAAAAHu/5R8=")</f>
        <v>#REF!</v>
      </c>
      <c r="AG33" t="e">
        <f>AND(#REF!,"AAAAAHu/5SA=")</f>
        <v>#REF!</v>
      </c>
      <c r="AH33" t="e">
        <f>AND(#REF!,"AAAAAHu/5SE=")</f>
        <v>#REF!</v>
      </c>
      <c r="AI33" t="e">
        <f>AND(#REF!,"AAAAAHu/5SI=")</f>
        <v>#REF!</v>
      </c>
      <c r="AJ33" t="e">
        <f>AND(#REF!,"AAAAAHu/5SM=")</f>
        <v>#REF!</v>
      </c>
      <c r="AK33" t="e">
        <f>AND(#REF!,"AAAAAHu/5SQ=")</f>
        <v>#REF!</v>
      </c>
      <c r="AL33" t="e">
        <f>AND(#REF!,"AAAAAHu/5SU=")</f>
        <v>#REF!</v>
      </c>
      <c r="AM33" t="e">
        <f>AND(#REF!,"AAAAAHu/5SY=")</f>
        <v>#REF!</v>
      </c>
      <c r="AN33" t="e">
        <f>AND(#REF!,"AAAAAHu/5Sc=")</f>
        <v>#REF!</v>
      </c>
      <c r="AO33" t="e">
        <f>AND(#REF!,"AAAAAHu/5Sg=")</f>
        <v>#REF!</v>
      </c>
      <c r="AP33" t="e">
        <f>AND(#REF!,"AAAAAHu/5Sk=")</f>
        <v>#REF!</v>
      </c>
      <c r="AQ33" t="e">
        <f>AND(#REF!,"AAAAAHu/5So=")</f>
        <v>#REF!</v>
      </c>
      <c r="AR33" t="e">
        <f>AND(#REF!,"AAAAAHu/5Ss=")</f>
        <v>#REF!</v>
      </c>
      <c r="AS33" t="e">
        <f>AND(#REF!,"AAAAAHu/5Sw=")</f>
        <v>#REF!</v>
      </c>
      <c r="AT33" t="e">
        <f>AND(#REF!,"AAAAAHu/5S0=")</f>
        <v>#REF!</v>
      </c>
      <c r="AU33" t="e">
        <f>AND(#REF!,"AAAAAHu/5S4=")</f>
        <v>#REF!</v>
      </c>
      <c r="AV33" t="e">
        <f>AND(#REF!,"AAAAAHu/5S8=")</f>
        <v>#REF!</v>
      </c>
      <c r="AW33" t="e">
        <f>AND(#REF!,"AAAAAHu/5TA=")</f>
        <v>#REF!</v>
      </c>
      <c r="AX33" t="e">
        <f>AND(#REF!,"AAAAAHu/5TE=")</f>
        <v>#REF!</v>
      </c>
      <c r="AY33" t="e">
        <f>AND(#REF!,"AAAAAHu/5TI=")</f>
        <v>#REF!</v>
      </c>
      <c r="AZ33" t="e">
        <f>AND(#REF!,"AAAAAHu/5TM=")</f>
        <v>#REF!</v>
      </c>
      <c r="BA33" t="e">
        <f>AND(#REF!,"AAAAAHu/5TQ=")</f>
        <v>#REF!</v>
      </c>
      <c r="BB33" t="e">
        <f>AND(#REF!,"AAAAAHu/5TU=")</f>
        <v>#REF!</v>
      </c>
      <c r="BC33" t="e">
        <f>AND(#REF!,"AAAAAHu/5TY=")</f>
        <v>#REF!</v>
      </c>
      <c r="BD33" t="e">
        <f>AND(#REF!,"AAAAAHu/5Tc=")</f>
        <v>#REF!</v>
      </c>
      <c r="BE33" t="e">
        <f>AND(#REF!,"AAAAAHu/5Tg=")</f>
        <v>#REF!</v>
      </c>
      <c r="BF33" t="e">
        <f>AND(#REF!,"AAAAAHu/5Tk=")</f>
        <v>#REF!</v>
      </c>
      <c r="BG33" t="e">
        <f>AND(#REF!,"AAAAAHu/5To=")</f>
        <v>#REF!</v>
      </c>
      <c r="BH33" t="e">
        <f>AND(#REF!,"AAAAAHu/5Ts=")</f>
        <v>#REF!</v>
      </c>
      <c r="BI33" t="e">
        <f>AND(#REF!,"AAAAAHu/5Tw=")</f>
        <v>#REF!</v>
      </c>
      <c r="BJ33" t="e">
        <f>AND(#REF!,"AAAAAHu/5T0=")</f>
        <v>#REF!</v>
      </c>
      <c r="BK33" t="e">
        <f>AND(#REF!,"AAAAAHu/5T4=")</f>
        <v>#REF!</v>
      </c>
      <c r="BL33" t="e">
        <f>AND(#REF!,"AAAAAHu/5T8=")</f>
        <v>#REF!</v>
      </c>
      <c r="BM33" t="e">
        <f>AND(#REF!,"AAAAAHu/5UA=")</f>
        <v>#REF!</v>
      </c>
      <c r="BN33" t="e">
        <f>AND(#REF!,"AAAAAHu/5UE=")</f>
        <v>#REF!</v>
      </c>
      <c r="BO33" t="e">
        <f>AND(#REF!,"AAAAAHu/5UI=")</f>
        <v>#REF!</v>
      </c>
      <c r="BP33" t="e">
        <f>AND(#REF!,"AAAAAHu/5UM=")</f>
        <v>#REF!</v>
      </c>
      <c r="BQ33" t="e">
        <f>AND(#REF!,"AAAAAHu/5UQ=")</f>
        <v>#REF!</v>
      </c>
      <c r="BR33" t="e">
        <f>AND(#REF!,"AAAAAHu/5UU=")</f>
        <v>#REF!</v>
      </c>
      <c r="BS33" t="e">
        <f>AND(#REF!,"AAAAAHu/5UY=")</f>
        <v>#REF!</v>
      </c>
      <c r="BT33" t="e">
        <f>AND(#REF!,"AAAAAHu/5Uc=")</f>
        <v>#REF!</v>
      </c>
      <c r="BU33" t="e">
        <f>AND(#REF!,"AAAAAHu/5Ug=")</f>
        <v>#REF!</v>
      </c>
      <c r="BV33" t="e">
        <f>AND(#REF!,"AAAAAHu/5Uk=")</f>
        <v>#REF!</v>
      </c>
      <c r="BW33" t="e">
        <f>AND(#REF!,"AAAAAHu/5Uo=")</f>
        <v>#REF!</v>
      </c>
      <c r="BX33" t="e">
        <f>AND(#REF!,"AAAAAHu/5Us=")</f>
        <v>#REF!</v>
      </c>
      <c r="BY33" t="e">
        <f>AND(#REF!,"AAAAAHu/5Uw=")</f>
        <v>#REF!</v>
      </c>
      <c r="BZ33" t="e">
        <f>AND(#REF!,"AAAAAHu/5U0=")</f>
        <v>#REF!</v>
      </c>
      <c r="CA33" t="e">
        <f>AND(#REF!,"AAAAAHu/5U4=")</f>
        <v>#REF!</v>
      </c>
      <c r="CB33" t="e">
        <f>AND(#REF!,"AAAAAHu/5U8=")</f>
        <v>#REF!</v>
      </c>
      <c r="CC33" t="e">
        <f>AND(#REF!,"AAAAAHu/5VA=")</f>
        <v>#REF!</v>
      </c>
      <c r="CD33" t="e">
        <f>AND(#REF!,"AAAAAHu/5VE=")</f>
        <v>#REF!</v>
      </c>
      <c r="CE33" t="e">
        <f>AND(#REF!,"AAAAAHu/5VI=")</f>
        <v>#REF!</v>
      </c>
      <c r="CF33" t="e">
        <f>AND(#REF!,"AAAAAHu/5VM=")</f>
        <v>#REF!</v>
      </c>
      <c r="CG33" t="e">
        <f>AND(#REF!,"AAAAAHu/5VQ=")</f>
        <v>#REF!</v>
      </c>
      <c r="CH33" t="e">
        <f>AND(#REF!,"AAAAAHu/5VU=")</f>
        <v>#REF!</v>
      </c>
      <c r="CI33" t="e">
        <f>AND(#REF!,"AAAAAHu/5VY=")</f>
        <v>#REF!</v>
      </c>
      <c r="CJ33" t="e">
        <f>AND(#REF!,"AAAAAHu/5Vc=")</f>
        <v>#REF!</v>
      </c>
      <c r="CK33" t="e">
        <f>AND(#REF!,"AAAAAHu/5Vg=")</f>
        <v>#REF!</v>
      </c>
      <c r="CL33" t="e">
        <f>AND(#REF!,"AAAAAHu/5Vk=")</f>
        <v>#REF!</v>
      </c>
      <c r="CM33" t="e">
        <f>AND(#REF!,"AAAAAHu/5Vo=")</f>
        <v>#REF!</v>
      </c>
      <c r="CN33" t="e">
        <f>AND(#REF!,"AAAAAHu/5Vs=")</f>
        <v>#REF!</v>
      </c>
      <c r="CO33" t="e">
        <f>AND(#REF!,"AAAAAHu/5Vw=")</f>
        <v>#REF!</v>
      </c>
      <c r="CP33" t="e">
        <f>AND(#REF!,"AAAAAHu/5V0=")</f>
        <v>#REF!</v>
      </c>
      <c r="CQ33" t="e">
        <f>AND(#REF!,"AAAAAHu/5V4=")</f>
        <v>#REF!</v>
      </c>
      <c r="CR33" t="e">
        <f>AND(#REF!,"AAAAAHu/5V8=")</f>
        <v>#REF!</v>
      </c>
      <c r="CS33" t="e">
        <f>AND(#REF!,"AAAAAHu/5WA=")</f>
        <v>#REF!</v>
      </c>
      <c r="CT33" t="e">
        <f>AND(#REF!,"AAAAAHu/5WE=")</f>
        <v>#REF!</v>
      </c>
      <c r="CU33" t="e">
        <f>AND(#REF!,"AAAAAHu/5WI=")</f>
        <v>#REF!</v>
      </c>
      <c r="CV33" t="e">
        <f>AND(#REF!,"AAAAAHu/5WM=")</f>
        <v>#REF!</v>
      </c>
      <c r="CW33" t="e">
        <f>AND(#REF!,"AAAAAHu/5WQ=")</f>
        <v>#REF!</v>
      </c>
      <c r="CX33" t="e">
        <f>AND(#REF!,"AAAAAHu/5WU=")</f>
        <v>#REF!</v>
      </c>
      <c r="CY33" t="e">
        <f>AND(#REF!,"AAAAAHu/5WY=")</f>
        <v>#REF!</v>
      </c>
      <c r="CZ33" t="e">
        <f>AND(#REF!,"AAAAAHu/5Wc=")</f>
        <v>#REF!</v>
      </c>
      <c r="DA33" t="e">
        <f>AND(#REF!,"AAAAAHu/5Wg=")</f>
        <v>#REF!</v>
      </c>
      <c r="DB33" t="e">
        <f>AND(#REF!,"AAAAAHu/5Wk=")</f>
        <v>#REF!</v>
      </c>
      <c r="DC33" t="e">
        <f>AND(#REF!,"AAAAAHu/5Wo=")</f>
        <v>#REF!</v>
      </c>
      <c r="DD33" t="e">
        <f>AND(#REF!,"AAAAAHu/5Ws=")</f>
        <v>#REF!</v>
      </c>
      <c r="DE33" t="e">
        <f>AND(#REF!,"AAAAAHu/5Ww=")</f>
        <v>#REF!</v>
      </c>
      <c r="DF33" t="e">
        <f>AND(#REF!,"AAAAAHu/5W0=")</f>
        <v>#REF!</v>
      </c>
      <c r="DG33" t="e">
        <f>AND(#REF!,"AAAAAHu/5W4=")</f>
        <v>#REF!</v>
      </c>
      <c r="DH33" t="e">
        <f>AND(#REF!,"AAAAAHu/5W8=")</f>
        <v>#REF!</v>
      </c>
      <c r="DI33" t="e">
        <f>AND(#REF!,"AAAAAHu/5XA=")</f>
        <v>#REF!</v>
      </c>
      <c r="DJ33" t="e">
        <f>AND(#REF!,"AAAAAHu/5XE=")</f>
        <v>#REF!</v>
      </c>
      <c r="DK33" t="e">
        <f>AND(#REF!,"AAAAAHu/5XI=")</f>
        <v>#REF!</v>
      </c>
      <c r="DL33" t="e">
        <f>AND(#REF!,"AAAAAHu/5XM=")</f>
        <v>#REF!</v>
      </c>
      <c r="DM33" t="e">
        <f>AND(#REF!,"AAAAAHu/5XQ=")</f>
        <v>#REF!</v>
      </c>
      <c r="DN33" t="e">
        <f>AND(#REF!,"AAAAAHu/5XU=")</f>
        <v>#REF!</v>
      </c>
      <c r="DO33" t="e">
        <f>AND(#REF!,"AAAAAHu/5XY=")</f>
        <v>#REF!</v>
      </c>
      <c r="DP33" t="e">
        <f>AND(#REF!,"AAAAAHu/5Xc=")</f>
        <v>#REF!</v>
      </c>
      <c r="DQ33" t="e">
        <f>AND(#REF!,"AAAAAHu/5Xg=")</f>
        <v>#REF!</v>
      </c>
      <c r="DR33" t="e">
        <f>AND(#REF!,"AAAAAHu/5Xk=")</f>
        <v>#REF!</v>
      </c>
      <c r="DS33" t="e">
        <f>AND(#REF!,"AAAAAHu/5Xo=")</f>
        <v>#REF!</v>
      </c>
      <c r="DT33" t="e">
        <f>AND(#REF!,"AAAAAHu/5Xs=")</f>
        <v>#REF!</v>
      </c>
      <c r="DU33" t="e">
        <f>AND(#REF!,"AAAAAHu/5Xw=")</f>
        <v>#REF!</v>
      </c>
      <c r="DV33" t="e">
        <f>AND(#REF!,"AAAAAHu/5X0=")</f>
        <v>#REF!</v>
      </c>
      <c r="DW33" t="e">
        <f>AND(#REF!,"AAAAAHu/5X4=")</f>
        <v>#REF!</v>
      </c>
      <c r="DX33" t="e">
        <f>AND(#REF!,"AAAAAHu/5X8=")</f>
        <v>#REF!</v>
      </c>
      <c r="DY33" t="e">
        <f>AND(#REF!,"AAAAAHu/5YA=")</f>
        <v>#REF!</v>
      </c>
      <c r="DZ33" t="e">
        <f>AND(#REF!,"AAAAAHu/5YE=")</f>
        <v>#REF!</v>
      </c>
      <c r="EA33" t="e">
        <f>AND(#REF!,"AAAAAHu/5YI=")</f>
        <v>#REF!</v>
      </c>
      <c r="EB33" t="e">
        <f>AND(#REF!,"AAAAAHu/5YM=")</f>
        <v>#REF!</v>
      </c>
      <c r="EC33" t="e">
        <f>AND(#REF!,"AAAAAHu/5YQ=")</f>
        <v>#REF!</v>
      </c>
      <c r="ED33" t="e">
        <f>AND(#REF!,"AAAAAHu/5YU=")</f>
        <v>#REF!</v>
      </c>
      <c r="EE33" t="e">
        <f>AND(#REF!,"AAAAAHu/5YY=")</f>
        <v>#REF!</v>
      </c>
      <c r="EF33" t="e">
        <f>AND(#REF!,"AAAAAHu/5Yc=")</f>
        <v>#REF!</v>
      </c>
      <c r="EG33" t="e">
        <f>AND(#REF!,"AAAAAHu/5Yg=")</f>
        <v>#REF!</v>
      </c>
      <c r="EH33" t="e">
        <f>AND(#REF!,"AAAAAHu/5Yk=")</f>
        <v>#REF!</v>
      </c>
      <c r="EI33" t="e">
        <f>AND(#REF!,"AAAAAHu/5Yo=")</f>
        <v>#REF!</v>
      </c>
      <c r="EJ33" t="e">
        <f>AND(#REF!,"AAAAAHu/5Ys=")</f>
        <v>#REF!</v>
      </c>
      <c r="EK33" t="e">
        <f>AND(#REF!,"AAAAAHu/5Yw=")</f>
        <v>#REF!</v>
      </c>
      <c r="EL33" t="e">
        <f>AND(#REF!,"AAAAAHu/5Y0=")</f>
        <v>#REF!</v>
      </c>
      <c r="EM33" t="e">
        <f>AND(#REF!,"AAAAAHu/5Y4=")</f>
        <v>#REF!</v>
      </c>
      <c r="EN33" t="e">
        <f>AND(#REF!,"AAAAAHu/5Y8=")</f>
        <v>#REF!</v>
      </c>
      <c r="EO33" t="e">
        <f>AND(#REF!,"AAAAAHu/5ZA=")</f>
        <v>#REF!</v>
      </c>
      <c r="EP33" t="e">
        <f>AND(#REF!,"AAAAAHu/5ZE=")</f>
        <v>#REF!</v>
      </c>
      <c r="EQ33" t="e">
        <f>AND(#REF!,"AAAAAHu/5ZI=")</f>
        <v>#REF!</v>
      </c>
      <c r="ER33" t="e">
        <f>AND(#REF!,"AAAAAHu/5ZM=")</f>
        <v>#REF!</v>
      </c>
      <c r="ES33" t="e">
        <f>AND(#REF!,"AAAAAHu/5ZQ=")</f>
        <v>#REF!</v>
      </c>
      <c r="ET33" t="e">
        <f>AND(#REF!,"AAAAAHu/5ZU=")</f>
        <v>#REF!</v>
      </c>
      <c r="EU33" t="e">
        <f>AND(#REF!,"AAAAAHu/5ZY=")</f>
        <v>#REF!</v>
      </c>
      <c r="EV33" t="e">
        <f>AND(#REF!,"AAAAAHu/5Zc=")</f>
        <v>#REF!</v>
      </c>
      <c r="EW33" t="e">
        <f>AND(#REF!,"AAAAAHu/5Zg=")</f>
        <v>#REF!</v>
      </c>
      <c r="EX33" t="e">
        <f>AND(#REF!,"AAAAAHu/5Zk=")</f>
        <v>#REF!</v>
      </c>
      <c r="EY33" t="e">
        <f>AND(#REF!,"AAAAAHu/5Zo=")</f>
        <v>#REF!</v>
      </c>
      <c r="EZ33" t="e">
        <f>AND(#REF!,"AAAAAHu/5Zs=")</f>
        <v>#REF!</v>
      </c>
      <c r="FA33" t="e">
        <f>AND(#REF!,"AAAAAHu/5Zw=")</f>
        <v>#REF!</v>
      </c>
      <c r="FB33" t="e">
        <f>AND(#REF!,"AAAAAHu/5Z0=")</f>
        <v>#REF!</v>
      </c>
      <c r="FC33" t="e">
        <f>AND(#REF!,"AAAAAHu/5Z4=")</f>
        <v>#REF!</v>
      </c>
      <c r="FD33" t="e">
        <f>AND(#REF!,"AAAAAHu/5Z8=")</f>
        <v>#REF!</v>
      </c>
      <c r="FE33" t="e">
        <f>AND(#REF!,"AAAAAHu/5aA=")</f>
        <v>#REF!</v>
      </c>
      <c r="FF33" t="e">
        <f>AND(#REF!,"AAAAAHu/5aE=")</f>
        <v>#REF!</v>
      </c>
      <c r="FG33" t="e">
        <f>AND(#REF!,"AAAAAHu/5aI=")</f>
        <v>#REF!</v>
      </c>
      <c r="FH33" t="e">
        <f>AND(#REF!,"AAAAAHu/5aM=")</f>
        <v>#REF!</v>
      </c>
      <c r="FI33" t="e">
        <f>AND(#REF!,"AAAAAHu/5aQ=")</f>
        <v>#REF!</v>
      </c>
      <c r="FJ33" t="e">
        <f>AND(#REF!,"AAAAAHu/5aU=")</f>
        <v>#REF!</v>
      </c>
      <c r="FK33" t="e">
        <f>AND(#REF!,"AAAAAHu/5aY=")</f>
        <v>#REF!</v>
      </c>
      <c r="FL33" t="e">
        <f>AND(#REF!,"AAAAAHu/5ac=")</f>
        <v>#REF!</v>
      </c>
      <c r="FM33" t="e">
        <f>AND(#REF!,"AAAAAHu/5ag=")</f>
        <v>#REF!</v>
      </c>
      <c r="FN33" t="e">
        <f>AND(#REF!,"AAAAAHu/5ak=")</f>
        <v>#REF!</v>
      </c>
      <c r="FO33" t="e">
        <f>AND(#REF!,"AAAAAHu/5ao=")</f>
        <v>#REF!</v>
      </c>
      <c r="FP33" t="e">
        <f>AND(#REF!,"AAAAAHu/5as=")</f>
        <v>#REF!</v>
      </c>
      <c r="FQ33" t="e">
        <f>AND(#REF!,"AAAAAHu/5aw=")</f>
        <v>#REF!</v>
      </c>
      <c r="FR33" t="e">
        <f>AND(#REF!,"AAAAAHu/5a0=")</f>
        <v>#REF!</v>
      </c>
      <c r="FS33" t="e">
        <f>AND(#REF!,"AAAAAHu/5a4=")</f>
        <v>#REF!</v>
      </c>
      <c r="FT33" t="e">
        <f>AND(#REF!,"AAAAAHu/5a8=")</f>
        <v>#REF!</v>
      </c>
      <c r="FU33" t="e">
        <f>AND(#REF!,"AAAAAHu/5bA=")</f>
        <v>#REF!</v>
      </c>
      <c r="FV33" t="e">
        <f>AND(#REF!,"AAAAAHu/5bE=")</f>
        <v>#REF!</v>
      </c>
      <c r="FW33" t="e">
        <f>AND(#REF!,"AAAAAHu/5bI=")</f>
        <v>#REF!</v>
      </c>
      <c r="FX33" t="e">
        <f>AND(#REF!,"AAAAAHu/5bM=")</f>
        <v>#REF!</v>
      </c>
      <c r="FY33" t="e">
        <f>AND(#REF!,"AAAAAHu/5bQ=")</f>
        <v>#REF!</v>
      </c>
      <c r="FZ33" t="e">
        <f>AND(#REF!,"AAAAAHu/5bU=")</f>
        <v>#REF!</v>
      </c>
      <c r="GA33" t="e">
        <f>AND(#REF!,"AAAAAHu/5bY=")</f>
        <v>#REF!</v>
      </c>
      <c r="GB33" t="e">
        <f>AND(#REF!,"AAAAAHu/5bc=")</f>
        <v>#REF!</v>
      </c>
      <c r="GC33" t="e">
        <f>AND(#REF!,"AAAAAHu/5bg=")</f>
        <v>#REF!</v>
      </c>
      <c r="GD33" t="e">
        <f>AND(#REF!,"AAAAAHu/5bk=")</f>
        <v>#REF!</v>
      </c>
      <c r="GE33" t="e">
        <f>AND(#REF!,"AAAAAHu/5bo=")</f>
        <v>#REF!</v>
      </c>
      <c r="GF33" t="e">
        <f>AND(#REF!,"AAAAAHu/5bs=")</f>
        <v>#REF!</v>
      </c>
      <c r="GG33" t="e">
        <f>AND(#REF!,"AAAAAHu/5bw=")</f>
        <v>#REF!</v>
      </c>
      <c r="GH33" t="e">
        <f>AND(#REF!,"AAAAAHu/5b0=")</f>
        <v>#REF!</v>
      </c>
      <c r="GI33" t="e">
        <f>AND(#REF!,"AAAAAHu/5b4=")</f>
        <v>#REF!</v>
      </c>
      <c r="GJ33" t="e">
        <f>AND(#REF!,"AAAAAHu/5b8=")</f>
        <v>#REF!</v>
      </c>
      <c r="GK33" t="e">
        <f>AND(#REF!,"AAAAAHu/5cA=")</f>
        <v>#REF!</v>
      </c>
      <c r="GL33" t="e">
        <f>AND(#REF!,"AAAAAHu/5cE=")</f>
        <v>#REF!</v>
      </c>
      <c r="GM33" t="e">
        <f>AND(#REF!,"AAAAAHu/5cI=")</f>
        <v>#REF!</v>
      </c>
      <c r="GN33" t="e">
        <f>AND(#REF!,"AAAAAHu/5cM=")</f>
        <v>#REF!</v>
      </c>
      <c r="GO33" t="e">
        <f>AND(#REF!,"AAAAAHu/5cQ=")</f>
        <v>#REF!</v>
      </c>
      <c r="GP33" t="e">
        <f>AND(#REF!,"AAAAAHu/5cU=")</f>
        <v>#REF!</v>
      </c>
      <c r="GQ33" t="e">
        <f>AND(#REF!,"AAAAAHu/5cY=")</f>
        <v>#REF!</v>
      </c>
      <c r="GR33" t="e">
        <f>AND(#REF!,"AAAAAHu/5cc=")</f>
        <v>#REF!</v>
      </c>
      <c r="GS33" t="e">
        <f>AND(#REF!,"AAAAAHu/5cg=")</f>
        <v>#REF!</v>
      </c>
      <c r="GT33" t="e">
        <f>AND(#REF!,"AAAAAHu/5ck=")</f>
        <v>#REF!</v>
      </c>
      <c r="GU33" t="e">
        <f>AND(#REF!,"AAAAAHu/5co=")</f>
        <v>#REF!</v>
      </c>
      <c r="GV33" t="e">
        <f>AND(#REF!,"AAAAAHu/5cs=")</f>
        <v>#REF!</v>
      </c>
      <c r="GW33" t="e">
        <f>AND(#REF!,"AAAAAHu/5cw=")</f>
        <v>#REF!</v>
      </c>
      <c r="GX33" t="e">
        <f>AND(#REF!,"AAAAAHu/5c0=")</f>
        <v>#REF!</v>
      </c>
      <c r="GY33" t="e">
        <f>AND(#REF!,"AAAAAHu/5c4=")</f>
        <v>#REF!</v>
      </c>
      <c r="GZ33" t="e">
        <f>AND(#REF!,"AAAAAHu/5c8=")</f>
        <v>#REF!</v>
      </c>
      <c r="HA33" t="e">
        <f>AND(#REF!,"AAAAAHu/5dA=")</f>
        <v>#REF!</v>
      </c>
      <c r="HB33" t="e">
        <f>AND(#REF!,"AAAAAHu/5dE=")</f>
        <v>#REF!</v>
      </c>
      <c r="HC33" t="e">
        <f>AND(#REF!,"AAAAAHu/5dI=")</f>
        <v>#REF!</v>
      </c>
      <c r="HD33" t="e">
        <f>AND(#REF!,"AAAAAHu/5dM=")</f>
        <v>#REF!</v>
      </c>
      <c r="HE33" t="e">
        <f>AND(#REF!,"AAAAAHu/5dQ=")</f>
        <v>#REF!</v>
      </c>
      <c r="HF33" t="e">
        <f>AND(#REF!,"AAAAAHu/5dU=")</f>
        <v>#REF!</v>
      </c>
      <c r="HG33" t="e">
        <f>AND(#REF!,"AAAAAHu/5dY=")</f>
        <v>#REF!</v>
      </c>
      <c r="HH33" t="e">
        <f>AND(#REF!,"AAAAAHu/5dc=")</f>
        <v>#REF!</v>
      </c>
      <c r="HI33" t="e">
        <f>AND(#REF!,"AAAAAHu/5dg=")</f>
        <v>#REF!</v>
      </c>
      <c r="HJ33" t="e">
        <f>AND(#REF!,"AAAAAHu/5dk=")</f>
        <v>#REF!</v>
      </c>
      <c r="HK33" t="e">
        <f>AND(#REF!,"AAAAAHu/5do=")</f>
        <v>#REF!</v>
      </c>
      <c r="HL33" t="e">
        <f>AND(#REF!,"AAAAAHu/5ds=")</f>
        <v>#REF!</v>
      </c>
      <c r="HM33" t="e">
        <f>AND(#REF!,"AAAAAHu/5dw=")</f>
        <v>#REF!</v>
      </c>
      <c r="HN33" t="e">
        <f>AND(#REF!,"AAAAAHu/5d0=")</f>
        <v>#REF!</v>
      </c>
      <c r="HO33" t="e">
        <f>AND(#REF!,"AAAAAHu/5d4=")</f>
        <v>#REF!</v>
      </c>
      <c r="HP33" t="e">
        <f>AND(#REF!,"AAAAAHu/5d8=")</f>
        <v>#REF!</v>
      </c>
      <c r="HQ33" t="e">
        <f>AND(#REF!,"AAAAAHu/5eA=")</f>
        <v>#REF!</v>
      </c>
      <c r="HR33" t="e">
        <f>AND(#REF!,"AAAAAHu/5eE=")</f>
        <v>#REF!</v>
      </c>
      <c r="HS33" t="e">
        <f>AND(#REF!,"AAAAAHu/5eI=")</f>
        <v>#REF!</v>
      </c>
      <c r="HT33" t="e">
        <f>AND(#REF!,"AAAAAHu/5eM=")</f>
        <v>#REF!</v>
      </c>
      <c r="HU33" t="e">
        <f>AND(#REF!,"AAAAAHu/5eQ=")</f>
        <v>#REF!</v>
      </c>
      <c r="HV33" t="e">
        <f>AND(#REF!,"AAAAAHu/5eU=")</f>
        <v>#REF!</v>
      </c>
      <c r="HW33" t="e">
        <f>AND(#REF!,"AAAAAHu/5eY=")</f>
        <v>#REF!</v>
      </c>
      <c r="HX33" t="e">
        <f>AND(#REF!,"AAAAAHu/5ec=")</f>
        <v>#REF!</v>
      </c>
      <c r="HY33" t="e">
        <f>AND(#REF!,"AAAAAHu/5eg=")</f>
        <v>#REF!</v>
      </c>
      <c r="HZ33" t="e">
        <f>AND(#REF!,"AAAAAHu/5ek=")</f>
        <v>#REF!</v>
      </c>
      <c r="IA33" t="e">
        <f>AND(#REF!,"AAAAAHu/5eo=")</f>
        <v>#REF!</v>
      </c>
      <c r="IB33" t="e">
        <f>AND(#REF!,"AAAAAHu/5es=")</f>
        <v>#REF!</v>
      </c>
      <c r="IC33" t="e">
        <f>AND(#REF!,"AAAAAHu/5ew=")</f>
        <v>#REF!</v>
      </c>
      <c r="ID33" t="e">
        <f>AND(#REF!,"AAAAAHu/5e0=")</f>
        <v>#REF!</v>
      </c>
      <c r="IE33" t="e">
        <f>AND(#REF!,"AAAAAHu/5e4=")</f>
        <v>#REF!</v>
      </c>
      <c r="IF33" t="e">
        <f>AND(#REF!,"AAAAAHu/5e8=")</f>
        <v>#REF!</v>
      </c>
      <c r="IG33" t="e">
        <f>AND(#REF!,"AAAAAHu/5fA=")</f>
        <v>#REF!</v>
      </c>
      <c r="IH33" t="e">
        <f>AND(#REF!,"AAAAAHu/5fE=")</f>
        <v>#REF!</v>
      </c>
      <c r="II33" t="e">
        <f>AND(#REF!,"AAAAAHu/5fI=")</f>
        <v>#REF!</v>
      </c>
      <c r="IJ33" t="e">
        <f>AND(#REF!,"AAAAAHu/5fM=")</f>
        <v>#REF!</v>
      </c>
      <c r="IK33" t="e">
        <f>AND(#REF!,"AAAAAHu/5fQ=")</f>
        <v>#REF!</v>
      </c>
      <c r="IL33" t="e">
        <f>AND(#REF!,"AAAAAHu/5fU=")</f>
        <v>#REF!</v>
      </c>
      <c r="IM33" t="e">
        <f>AND(#REF!,"AAAAAHu/5fY=")</f>
        <v>#REF!</v>
      </c>
      <c r="IN33" t="e">
        <f>AND(#REF!,"AAAAAHu/5fc=")</f>
        <v>#REF!</v>
      </c>
      <c r="IO33" t="e">
        <f>AND(#REF!,"AAAAAHu/5fg=")</f>
        <v>#REF!</v>
      </c>
      <c r="IP33" t="e">
        <f>AND(#REF!,"AAAAAHu/5fk=")</f>
        <v>#REF!</v>
      </c>
      <c r="IQ33" t="e">
        <f>AND(#REF!,"AAAAAHu/5fo=")</f>
        <v>#REF!</v>
      </c>
      <c r="IR33" t="e">
        <f>AND(#REF!,"AAAAAHu/5fs=")</f>
        <v>#REF!</v>
      </c>
      <c r="IS33" t="e">
        <f>AND(#REF!,"AAAAAHu/5fw=")</f>
        <v>#REF!</v>
      </c>
      <c r="IT33" t="e">
        <f>AND(#REF!,"AAAAAHu/5f0=")</f>
        <v>#REF!</v>
      </c>
      <c r="IU33" t="e">
        <f>AND(#REF!,"AAAAAHu/5f4=")</f>
        <v>#REF!</v>
      </c>
      <c r="IV33" t="e">
        <f>AND(#REF!,"AAAAAHu/5f8=")</f>
        <v>#REF!</v>
      </c>
    </row>
    <row r="34" spans="1:256">
      <c r="A34" t="e">
        <f>AND(#REF!,"AAAAAFv/lwA=")</f>
        <v>#REF!</v>
      </c>
      <c r="B34" t="e">
        <f>AND(#REF!,"AAAAAFv/lwE=")</f>
        <v>#REF!</v>
      </c>
      <c r="C34" t="e">
        <f>AND(#REF!,"AAAAAFv/lwI=")</f>
        <v>#REF!</v>
      </c>
      <c r="D34" t="e">
        <f>AND(#REF!,"AAAAAFv/lwM=")</f>
        <v>#REF!</v>
      </c>
      <c r="E34" t="e">
        <f>AND(#REF!,"AAAAAFv/lwQ=")</f>
        <v>#REF!</v>
      </c>
      <c r="F34" t="e">
        <f>AND(#REF!,"AAAAAFv/lwU=")</f>
        <v>#REF!</v>
      </c>
      <c r="G34" t="e">
        <f>AND(#REF!,"AAAAAFv/lwY=")</f>
        <v>#REF!</v>
      </c>
      <c r="H34" t="e">
        <f>AND(#REF!,"AAAAAFv/lwc=")</f>
        <v>#REF!</v>
      </c>
      <c r="I34" t="e">
        <f>AND(#REF!,"AAAAAFv/lwg=")</f>
        <v>#REF!</v>
      </c>
      <c r="J34" t="e">
        <f>AND(#REF!,"AAAAAFv/lwk=")</f>
        <v>#REF!</v>
      </c>
      <c r="K34" t="e">
        <f>AND(#REF!,"AAAAAFv/lwo=")</f>
        <v>#REF!</v>
      </c>
      <c r="L34" t="e">
        <f>AND(#REF!,"AAAAAFv/lws=")</f>
        <v>#REF!</v>
      </c>
      <c r="M34" t="e">
        <f>AND(#REF!,"AAAAAFv/lww=")</f>
        <v>#REF!</v>
      </c>
      <c r="N34" t="e">
        <f>AND(#REF!,"AAAAAFv/lw0=")</f>
        <v>#REF!</v>
      </c>
      <c r="O34" t="e">
        <f>AND(#REF!,"AAAAAFv/lw4=")</f>
        <v>#REF!</v>
      </c>
      <c r="P34" t="e">
        <f>AND(#REF!,"AAAAAFv/lw8=")</f>
        <v>#REF!</v>
      </c>
      <c r="Q34" t="e">
        <f>AND(#REF!,"AAAAAFv/lxA=")</f>
        <v>#REF!</v>
      </c>
      <c r="R34" t="e">
        <f>AND(#REF!,"AAAAAFv/lxE=")</f>
        <v>#REF!</v>
      </c>
      <c r="S34" t="e">
        <f>AND(#REF!,"AAAAAFv/lxI=")</f>
        <v>#REF!</v>
      </c>
      <c r="T34" t="e">
        <f>AND(#REF!,"AAAAAFv/lxM=")</f>
        <v>#REF!</v>
      </c>
      <c r="U34" t="e">
        <f>AND(#REF!,"AAAAAFv/lxQ=")</f>
        <v>#REF!</v>
      </c>
      <c r="V34" t="e">
        <f>AND(#REF!,"AAAAAFv/lxU=")</f>
        <v>#REF!</v>
      </c>
      <c r="W34" t="e">
        <f>AND(#REF!,"AAAAAFv/lxY=")</f>
        <v>#REF!</v>
      </c>
      <c r="X34" t="e">
        <f>AND(#REF!,"AAAAAFv/lxc=")</f>
        <v>#REF!</v>
      </c>
      <c r="Y34" t="e">
        <f>AND(#REF!,"AAAAAFv/lxg=")</f>
        <v>#REF!</v>
      </c>
      <c r="Z34" t="e">
        <f>AND(#REF!,"AAAAAFv/lxk=")</f>
        <v>#REF!</v>
      </c>
      <c r="AA34" t="e">
        <f>AND(#REF!,"AAAAAFv/lxo=")</f>
        <v>#REF!</v>
      </c>
      <c r="AB34" t="e">
        <f>AND(#REF!,"AAAAAFv/lxs=")</f>
        <v>#REF!</v>
      </c>
      <c r="AC34" t="e">
        <f>AND(#REF!,"AAAAAFv/lxw=")</f>
        <v>#REF!</v>
      </c>
      <c r="AD34" t="e">
        <f>AND(#REF!,"AAAAAFv/lx0=")</f>
        <v>#REF!</v>
      </c>
      <c r="AE34" t="e">
        <f>AND(#REF!,"AAAAAFv/lx4=")</f>
        <v>#REF!</v>
      </c>
      <c r="AF34" t="e">
        <f>AND(#REF!,"AAAAAFv/lx8=")</f>
        <v>#REF!</v>
      </c>
      <c r="AG34" t="e">
        <f>AND(#REF!,"AAAAAFv/lyA=")</f>
        <v>#REF!</v>
      </c>
      <c r="AH34" t="e">
        <f>AND(#REF!,"AAAAAFv/lyE=")</f>
        <v>#REF!</v>
      </c>
      <c r="AI34" t="e">
        <f>AND(#REF!,"AAAAAFv/lyI=")</f>
        <v>#REF!</v>
      </c>
      <c r="AJ34" t="e">
        <f>AND(#REF!,"AAAAAFv/lyM=")</f>
        <v>#REF!</v>
      </c>
      <c r="AK34" t="e">
        <f>AND(#REF!,"AAAAAFv/lyQ=")</f>
        <v>#REF!</v>
      </c>
      <c r="AL34" t="e">
        <f>AND(#REF!,"AAAAAFv/lyU=")</f>
        <v>#REF!</v>
      </c>
      <c r="AM34" t="e">
        <f>AND(#REF!,"AAAAAFv/lyY=")</f>
        <v>#REF!</v>
      </c>
      <c r="AN34" t="e">
        <f>AND(#REF!,"AAAAAFv/lyc=")</f>
        <v>#REF!</v>
      </c>
      <c r="AO34" t="e">
        <f>AND(#REF!,"AAAAAFv/lyg=")</f>
        <v>#REF!</v>
      </c>
      <c r="AP34" t="e">
        <f>AND(#REF!,"AAAAAFv/lyk=")</f>
        <v>#REF!</v>
      </c>
      <c r="AQ34" t="e">
        <f>AND(#REF!,"AAAAAFv/lyo=")</f>
        <v>#REF!</v>
      </c>
      <c r="AR34" t="e">
        <f>AND(#REF!,"AAAAAFv/lys=")</f>
        <v>#REF!</v>
      </c>
      <c r="AS34" t="e">
        <f>AND(#REF!,"AAAAAFv/lyw=")</f>
        <v>#REF!</v>
      </c>
      <c r="AT34" t="e">
        <f>AND(#REF!,"AAAAAFv/ly0=")</f>
        <v>#REF!</v>
      </c>
      <c r="AU34" t="e">
        <f>AND(#REF!,"AAAAAFv/ly4=")</f>
        <v>#REF!</v>
      </c>
      <c r="AV34" t="e">
        <f>AND(#REF!,"AAAAAFv/ly8=")</f>
        <v>#REF!</v>
      </c>
      <c r="AW34" t="e">
        <f>AND(#REF!,"AAAAAFv/lzA=")</f>
        <v>#REF!</v>
      </c>
      <c r="AX34" t="e">
        <f>AND(#REF!,"AAAAAFv/lzE=")</f>
        <v>#REF!</v>
      </c>
      <c r="AY34" t="e">
        <f>AND(#REF!,"AAAAAFv/lzI=")</f>
        <v>#REF!</v>
      </c>
      <c r="AZ34" t="e">
        <f>AND(#REF!,"AAAAAFv/lzM=")</f>
        <v>#REF!</v>
      </c>
      <c r="BA34" t="e">
        <f>AND(#REF!,"AAAAAFv/lzQ=")</f>
        <v>#REF!</v>
      </c>
      <c r="BB34" t="e">
        <f>AND(#REF!,"AAAAAFv/lzU=")</f>
        <v>#REF!</v>
      </c>
      <c r="BC34" t="e">
        <f>AND(#REF!,"AAAAAFv/lzY=")</f>
        <v>#REF!</v>
      </c>
      <c r="BD34" t="e">
        <f>AND(#REF!,"AAAAAFv/lzc=")</f>
        <v>#REF!</v>
      </c>
      <c r="BE34" t="e">
        <f>AND(#REF!,"AAAAAFv/lzg=")</f>
        <v>#REF!</v>
      </c>
      <c r="BF34" t="e">
        <f>AND(#REF!,"AAAAAFv/lzk=")</f>
        <v>#REF!</v>
      </c>
      <c r="BG34" t="e">
        <f>AND(#REF!,"AAAAAFv/lzo=")</f>
        <v>#REF!</v>
      </c>
      <c r="BH34" t="e">
        <f>AND(#REF!,"AAAAAFv/lzs=")</f>
        <v>#REF!</v>
      </c>
      <c r="BI34" t="e">
        <f>AND(#REF!,"AAAAAFv/lzw=")</f>
        <v>#REF!</v>
      </c>
      <c r="BJ34" t="e">
        <f>AND(#REF!,"AAAAAFv/lz0=")</f>
        <v>#REF!</v>
      </c>
      <c r="BK34" t="e">
        <f>AND(#REF!,"AAAAAFv/lz4=")</f>
        <v>#REF!</v>
      </c>
      <c r="BL34" t="e">
        <f>AND(#REF!,"AAAAAFv/lz8=")</f>
        <v>#REF!</v>
      </c>
      <c r="BM34" t="e">
        <f>AND(#REF!,"AAAAAFv/l0A=")</f>
        <v>#REF!</v>
      </c>
      <c r="BN34" t="e">
        <f>AND(#REF!,"AAAAAFv/l0E=")</f>
        <v>#REF!</v>
      </c>
      <c r="BO34" t="e">
        <f>AND(#REF!,"AAAAAFv/l0I=")</f>
        <v>#REF!</v>
      </c>
      <c r="BP34" t="e">
        <f>AND(#REF!,"AAAAAFv/l0M=")</f>
        <v>#REF!</v>
      </c>
      <c r="BQ34" t="e">
        <f>AND(#REF!,"AAAAAFv/l0Q=")</f>
        <v>#REF!</v>
      </c>
      <c r="BR34" t="e">
        <f>AND(#REF!,"AAAAAFv/l0U=")</f>
        <v>#REF!</v>
      </c>
      <c r="BS34" t="e">
        <f>AND(#REF!,"AAAAAFv/l0Y=")</f>
        <v>#REF!</v>
      </c>
      <c r="BT34" t="e">
        <f>AND(#REF!,"AAAAAFv/l0c=")</f>
        <v>#REF!</v>
      </c>
      <c r="BU34" t="e">
        <f>AND(#REF!,"AAAAAFv/l0g=")</f>
        <v>#REF!</v>
      </c>
      <c r="BV34" t="e">
        <f>AND(#REF!,"AAAAAFv/l0k=")</f>
        <v>#REF!</v>
      </c>
      <c r="BW34" t="e">
        <f>AND(#REF!,"AAAAAFv/l0o=")</f>
        <v>#REF!</v>
      </c>
      <c r="BX34" t="e">
        <f>AND(#REF!,"AAAAAFv/l0s=")</f>
        <v>#REF!</v>
      </c>
      <c r="BY34" t="e">
        <f>AND(#REF!,"AAAAAFv/l0w=")</f>
        <v>#REF!</v>
      </c>
      <c r="BZ34" t="e">
        <f>AND(#REF!,"AAAAAFv/l00=")</f>
        <v>#REF!</v>
      </c>
      <c r="CA34" t="e">
        <f>AND(#REF!,"AAAAAFv/l04=")</f>
        <v>#REF!</v>
      </c>
      <c r="CB34" t="e">
        <f>AND(#REF!,"AAAAAFv/l08=")</f>
        <v>#REF!</v>
      </c>
      <c r="CC34" t="e">
        <f>AND(#REF!,"AAAAAFv/l1A=")</f>
        <v>#REF!</v>
      </c>
      <c r="CD34" t="e">
        <f>AND(#REF!,"AAAAAFv/l1E=")</f>
        <v>#REF!</v>
      </c>
      <c r="CE34" t="e">
        <f>AND(#REF!,"AAAAAFv/l1I=")</f>
        <v>#REF!</v>
      </c>
      <c r="CF34" t="e">
        <f>AND(#REF!,"AAAAAFv/l1M=")</f>
        <v>#REF!</v>
      </c>
      <c r="CG34" t="e">
        <f>AND(#REF!,"AAAAAFv/l1Q=")</f>
        <v>#REF!</v>
      </c>
      <c r="CH34" t="e">
        <f>AND(#REF!,"AAAAAFv/l1U=")</f>
        <v>#REF!</v>
      </c>
      <c r="CI34" t="e">
        <f>AND(#REF!,"AAAAAFv/l1Y=")</f>
        <v>#REF!</v>
      </c>
      <c r="CJ34" t="e">
        <f>AND(#REF!,"AAAAAFv/l1c=")</f>
        <v>#REF!</v>
      </c>
      <c r="CK34" t="e">
        <f>AND(#REF!,"AAAAAFv/l1g=")</f>
        <v>#REF!</v>
      </c>
      <c r="CL34" t="e">
        <f>AND(#REF!,"AAAAAFv/l1k=")</f>
        <v>#REF!</v>
      </c>
      <c r="CM34" t="e">
        <f>AND(#REF!,"AAAAAFv/l1o=")</f>
        <v>#REF!</v>
      </c>
      <c r="CN34" t="e">
        <f>AND(#REF!,"AAAAAFv/l1s=")</f>
        <v>#REF!</v>
      </c>
      <c r="CO34" t="e">
        <f>AND(#REF!,"AAAAAFv/l1w=")</f>
        <v>#REF!</v>
      </c>
      <c r="CP34" t="e">
        <f>AND(#REF!,"AAAAAFv/l10=")</f>
        <v>#REF!</v>
      </c>
      <c r="CQ34" t="e">
        <f>AND(#REF!,"AAAAAFv/l14=")</f>
        <v>#REF!</v>
      </c>
      <c r="CR34" t="e">
        <f>AND(#REF!,"AAAAAFv/l18=")</f>
        <v>#REF!</v>
      </c>
      <c r="CS34" t="e">
        <f>AND(#REF!,"AAAAAFv/l2A=")</f>
        <v>#REF!</v>
      </c>
      <c r="CT34" t="e">
        <f>AND(#REF!,"AAAAAFv/l2E=")</f>
        <v>#REF!</v>
      </c>
      <c r="CU34" t="e">
        <f>AND(#REF!,"AAAAAFv/l2I=")</f>
        <v>#REF!</v>
      </c>
      <c r="CV34" t="e">
        <f>AND(#REF!,"AAAAAFv/l2M=")</f>
        <v>#REF!</v>
      </c>
      <c r="CW34" t="e">
        <f>AND(#REF!,"AAAAAFv/l2Q=")</f>
        <v>#REF!</v>
      </c>
      <c r="CX34" t="e">
        <f>AND(#REF!,"AAAAAFv/l2U=")</f>
        <v>#REF!</v>
      </c>
      <c r="CY34" t="e">
        <f>AND(#REF!,"AAAAAFv/l2Y=")</f>
        <v>#REF!</v>
      </c>
      <c r="CZ34" t="e">
        <f>AND(#REF!,"AAAAAFv/l2c=")</f>
        <v>#REF!</v>
      </c>
      <c r="DA34" t="e">
        <f>AND(#REF!,"AAAAAFv/l2g=")</f>
        <v>#REF!</v>
      </c>
      <c r="DB34" t="e">
        <f>AND(#REF!,"AAAAAFv/l2k=")</f>
        <v>#REF!</v>
      </c>
      <c r="DC34" t="e">
        <f>AND(#REF!,"AAAAAFv/l2o=")</f>
        <v>#REF!</v>
      </c>
      <c r="DD34" t="e">
        <f>AND(#REF!,"AAAAAFv/l2s=")</f>
        <v>#REF!</v>
      </c>
      <c r="DE34" t="e">
        <f>AND(#REF!,"AAAAAFv/l2w=")</f>
        <v>#REF!</v>
      </c>
      <c r="DF34" t="e">
        <f>AND(#REF!,"AAAAAFv/l20=")</f>
        <v>#REF!</v>
      </c>
      <c r="DG34" t="e">
        <f>AND(#REF!,"AAAAAFv/l24=")</f>
        <v>#REF!</v>
      </c>
      <c r="DH34" t="e">
        <f>AND(#REF!,"AAAAAFv/l28=")</f>
        <v>#REF!</v>
      </c>
      <c r="DI34" t="e">
        <f>AND(#REF!,"AAAAAFv/l3A=")</f>
        <v>#REF!</v>
      </c>
      <c r="DJ34" t="e">
        <f>AND(#REF!,"AAAAAFv/l3E=")</f>
        <v>#REF!</v>
      </c>
      <c r="DK34" t="e">
        <f>AND(#REF!,"AAAAAFv/l3I=")</f>
        <v>#REF!</v>
      </c>
      <c r="DL34" t="e">
        <f>AND(#REF!,"AAAAAFv/l3M=")</f>
        <v>#REF!</v>
      </c>
      <c r="DM34" t="e">
        <f>AND(#REF!,"AAAAAFv/l3Q=")</f>
        <v>#REF!</v>
      </c>
      <c r="DN34" t="e">
        <f>AND(#REF!,"AAAAAFv/l3U=")</f>
        <v>#REF!</v>
      </c>
      <c r="DO34" t="e">
        <f>AND(#REF!,"AAAAAFv/l3Y=")</f>
        <v>#REF!</v>
      </c>
      <c r="DP34" t="e">
        <f>AND(#REF!,"AAAAAFv/l3c=")</f>
        <v>#REF!</v>
      </c>
      <c r="DQ34" t="e">
        <f>AND(#REF!,"AAAAAFv/l3g=")</f>
        <v>#REF!</v>
      </c>
      <c r="DR34" t="e">
        <f>AND(#REF!,"AAAAAFv/l3k=")</f>
        <v>#REF!</v>
      </c>
      <c r="DS34" t="e">
        <f>AND(#REF!,"AAAAAFv/l3o=")</f>
        <v>#REF!</v>
      </c>
      <c r="DT34" t="e">
        <f>AND(#REF!,"AAAAAFv/l3s=")</f>
        <v>#REF!</v>
      </c>
      <c r="DU34" t="e">
        <f>AND(#REF!,"AAAAAFv/l3w=")</f>
        <v>#REF!</v>
      </c>
      <c r="DV34" t="e">
        <f>AND(#REF!,"AAAAAFv/l30=")</f>
        <v>#REF!</v>
      </c>
      <c r="DW34" t="e">
        <f>AND(#REF!,"AAAAAFv/l34=")</f>
        <v>#REF!</v>
      </c>
      <c r="DX34" t="e">
        <f>AND(#REF!,"AAAAAFv/l38=")</f>
        <v>#REF!</v>
      </c>
      <c r="DY34" t="e">
        <f>AND(#REF!,"AAAAAFv/l4A=")</f>
        <v>#REF!</v>
      </c>
      <c r="DZ34" t="e">
        <f>AND(#REF!,"AAAAAFv/l4E=")</f>
        <v>#REF!</v>
      </c>
      <c r="EA34" t="e">
        <f>AND(#REF!,"AAAAAFv/l4I=")</f>
        <v>#REF!</v>
      </c>
      <c r="EB34" t="e">
        <f>AND(#REF!,"AAAAAFv/l4M=")</f>
        <v>#REF!</v>
      </c>
      <c r="EC34" t="e">
        <f>AND(#REF!,"AAAAAFv/l4Q=")</f>
        <v>#REF!</v>
      </c>
      <c r="ED34" t="e">
        <f>AND(#REF!,"AAAAAFv/l4U=")</f>
        <v>#REF!</v>
      </c>
      <c r="EE34" t="e">
        <f>AND(#REF!,"AAAAAFv/l4Y=")</f>
        <v>#REF!</v>
      </c>
      <c r="EF34" t="e">
        <f>AND(#REF!,"AAAAAFv/l4c=")</f>
        <v>#REF!</v>
      </c>
      <c r="EG34" t="e">
        <f>AND(#REF!,"AAAAAFv/l4g=")</f>
        <v>#REF!</v>
      </c>
      <c r="EH34" t="e">
        <f>AND(#REF!,"AAAAAFv/l4k=")</f>
        <v>#REF!</v>
      </c>
      <c r="EI34" t="e">
        <f>AND(#REF!,"AAAAAFv/l4o=")</f>
        <v>#REF!</v>
      </c>
      <c r="EJ34" t="e">
        <f>AND(#REF!,"AAAAAFv/l4s=")</f>
        <v>#REF!</v>
      </c>
      <c r="EK34" t="e">
        <f>AND(#REF!,"AAAAAFv/l4w=")</f>
        <v>#REF!</v>
      </c>
      <c r="EL34" t="e">
        <f>AND(#REF!,"AAAAAFv/l40=")</f>
        <v>#REF!</v>
      </c>
      <c r="EM34" t="e">
        <f>AND(#REF!,"AAAAAFv/l44=")</f>
        <v>#REF!</v>
      </c>
      <c r="EN34" t="e">
        <f>AND(#REF!,"AAAAAFv/l48=")</f>
        <v>#REF!</v>
      </c>
      <c r="EO34" t="e">
        <f>AND(#REF!,"AAAAAFv/l5A=")</f>
        <v>#REF!</v>
      </c>
      <c r="EP34" t="e">
        <f>AND(#REF!,"AAAAAFv/l5E=")</f>
        <v>#REF!</v>
      </c>
      <c r="EQ34" t="e">
        <f>AND(#REF!,"AAAAAFv/l5I=")</f>
        <v>#REF!</v>
      </c>
      <c r="ER34" t="e">
        <f>AND(#REF!,"AAAAAFv/l5M=")</f>
        <v>#REF!</v>
      </c>
      <c r="ES34" t="e">
        <f>AND(#REF!,"AAAAAFv/l5Q=")</f>
        <v>#REF!</v>
      </c>
      <c r="ET34" t="e">
        <f>AND(#REF!,"AAAAAFv/l5U=")</f>
        <v>#REF!</v>
      </c>
      <c r="EU34" t="e">
        <f>AND(#REF!,"AAAAAFv/l5Y=")</f>
        <v>#REF!</v>
      </c>
      <c r="EV34" t="e">
        <f>AND(#REF!,"AAAAAFv/l5c=")</f>
        <v>#REF!</v>
      </c>
      <c r="EW34" t="e">
        <f>AND(#REF!,"AAAAAFv/l5g=")</f>
        <v>#REF!</v>
      </c>
      <c r="EX34" t="e">
        <f>AND(#REF!,"AAAAAFv/l5k=")</f>
        <v>#REF!</v>
      </c>
      <c r="EY34" t="e">
        <f>AND(#REF!,"AAAAAFv/l5o=")</f>
        <v>#REF!</v>
      </c>
      <c r="EZ34" t="e">
        <f>AND(#REF!,"AAAAAFv/l5s=")</f>
        <v>#REF!</v>
      </c>
      <c r="FA34" t="e">
        <f>AND(#REF!,"AAAAAFv/l5w=")</f>
        <v>#REF!</v>
      </c>
      <c r="FB34" t="e">
        <f>AND(#REF!,"AAAAAFv/l50=")</f>
        <v>#REF!</v>
      </c>
      <c r="FC34" t="e">
        <f>AND(#REF!,"AAAAAFv/l54=")</f>
        <v>#REF!</v>
      </c>
      <c r="FD34" t="e">
        <f>AND(#REF!,"AAAAAFv/l58=")</f>
        <v>#REF!</v>
      </c>
      <c r="FE34" t="e">
        <f>AND(#REF!,"AAAAAFv/l6A=")</f>
        <v>#REF!</v>
      </c>
      <c r="FF34" t="e">
        <f>AND(#REF!,"AAAAAFv/l6E=")</f>
        <v>#REF!</v>
      </c>
      <c r="FG34" t="e">
        <f>AND(#REF!,"AAAAAFv/l6I=")</f>
        <v>#REF!</v>
      </c>
      <c r="FH34" t="e">
        <f>AND(#REF!,"AAAAAFv/l6M=")</f>
        <v>#REF!</v>
      </c>
      <c r="FI34" t="e">
        <f>AND(#REF!,"AAAAAFv/l6Q=")</f>
        <v>#REF!</v>
      </c>
      <c r="FJ34" t="e">
        <f>AND(#REF!,"AAAAAFv/l6U=")</f>
        <v>#REF!</v>
      </c>
      <c r="FK34" t="e">
        <f>AND(#REF!,"AAAAAFv/l6Y=")</f>
        <v>#REF!</v>
      </c>
      <c r="FL34" t="e">
        <f>AND(#REF!,"AAAAAFv/l6c=")</f>
        <v>#REF!</v>
      </c>
      <c r="FM34" t="e">
        <f>AND(#REF!,"AAAAAFv/l6g=")</f>
        <v>#REF!</v>
      </c>
      <c r="FN34" t="e">
        <f>AND(#REF!,"AAAAAFv/l6k=")</f>
        <v>#REF!</v>
      </c>
      <c r="FO34" t="e">
        <f>AND(#REF!,"AAAAAFv/l6o=")</f>
        <v>#REF!</v>
      </c>
      <c r="FP34" t="e">
        <f>AND(#REF!,"AAAAAFv/l6s=")</f>
        <v>#REF!</v>
      </c>
      <c r="FQ34" t="e">
        <f>AND(#REF!,"AAAAAFv/l6w=")</f>
        <v>#REF!</v>
      </c>
      <c r="FR34" t="e">
        <f>AND(#REF!,"AAAAAFv/l60=")</f>
        <v>#REF!</v>
      </c>
      <c r="FS34" t="e">
        <f>AND(#REF!,"AAAAAFv/l64=")</f>
        <v>#REF!</v>
      </c>
      <c r="FT34" t="e">
        <f>AND(#REF!,"AAAAAFv/l68=")</f>
        <v>#REF!</v>
      </c>
      <c r="FU34" t="e">
        <f>AND(#REF!,"AAAAAFv/l7A=")</f>
        <v>#REF!</v>
      </c>
      <c r="FV34" t="e">
        <f>AND(#REF!,"AAAAAFv/l7E=")</f>
        <v>#REF!</v>
      </c>
      <c r="FW34" t="e">
        <f>AND(#REF!,"AAAAAFv/l7I=")</f>
        <v>#REF!</v>
      </c>
      <c r="FX34" t="e">
        <f>AND(#REF!,"AAAAAFv/l7M=")</f>
        <v>#REF!</v>
      </c>
      <c r="FY34" t="e">
        <f>AND(#REF!,"AAAAAFv/l7Q=")</f>
        <v>#REF!</v>
      </c>
      <c r="FZ34" t="e">
        <f>AND(#REF!,"AAAAAFv/l7U=")</f>
        <v>#REF!</v>
      </c>
      <c r="GA34" t="e">
        <f>AND(#REF!,"AAAAAFv/l7Y=")</f>
        <v>#REF!</v>
      </c>
      <c r="GB34" t="e">
        <f>AND(#REF!,"AAAAAFv/l7c=")</f>
        <v>#REF!</v>
      </c>
      <c r="GC34" t="e">
        <f>AND(#REF!,"AAAAAFv/l7g=")</f>
        <v>#REF!</v>
      </c>
      <c r="GD34" t="e">
        <f>AND(#REF!,"AAAAAFv/l7k=")</f>
        <v>#REF!</v>
      </c>
      <c r="GE34" t="e">
        <f>AND(#REF!,"AAAAAFv/l7o=")</f>
        <v>#REF!</v>
      </c>
      <c r="GF34" t="e">
        <f>AND(#REF!,"AAAAAFv/l7s=")</f>
        <v>#REF!</v>
      </c>
      <c r="GG34" t="e">
        <f>AND(#REF!,"AAAAAFv/l7w=")</f>
        <v>#REF!</v>
      </c>
      <c r="GH34" t="e">
        <f>AND(#REF!,"AAAAAFv/l70=")</f>
        <v>#REF!</v>
      </c>
      <c r="GI34" t="e">
        <f>AND(#REF!,"AAAAAFv/l74=")</f>
        <v>#REF!</v>
      </c>
      <c r="GJ34" t="e">
        <f>AND(#REF!,"AAAAAFv/l78=")</f>
        <v>#REF!</v>
      </c>
      <c r="GK34" t="e">
        <f>AND(#REF!,"AAAAAFv/l8A=")</f>
        <v>#REF!</v>
      </c>
      <c r="GL34" t="e">
        <f>AND(#REF!,"AAAAAFv/l8E=")</f>
        <v>#REF!</v>
      </c>
      <c r="GM34" t="e">
        <f>AND(#REF!,"AAAAAFv/l8I=")</f>
        <v>#REF!</v>
      </c>
      <c r="GN34" t="e">
        <f>AND(#REF!,"AAAAAFv/l8M=")</f>
        <v>#REF!</v>
      </c>
      <c r="GO34" t="e">
        <f>AND(#REF!,"AAAAAFv/l8Q=")</f>
        <v>#REF!</v>
      </c>
      <c r="GP34" t="e">
        <f>AND(#REF!,"AAAAAFv/l8U=")</f>
        <v>#REF!</v>
      </c>
      <c r="GQ34" t="e">
        <f>AND(#REF!,"AAAAAFv/l8Y=")</f>
        <v>#REF!</v>
      </c>
      <c r="GR34" t="e">
        <f>AND(#REF!,"AAAAAFv/l8c=")</f>
        <v>#REF!</v>
      </c>
      <c r="GS34" t="e">
        <f>AND(#REF!,"AAAAAFv/l8g=")</f>
        <v>#REF!</v>
      </c>
      <c r="GT34" t="e">
        <f>AND(#REF!,"AAAAAFv/l8k=")</f>
        <v>#REF!</v>
      </c>
      <c r="GU34" t="e">
        <f>AND(#REF!,"AAAAAFv/l8o=")</f>
        <v>#REF!</v>
      </c>
      <c r="GV34" t="e">
        <f>AND(#REF!,"AAAAAFv/l8s=")</f>
        <v>#REF!</v>
      </c>
      <c r="GW34" t="e">
        <f>AND(#REF!,"AAAAAFv/l8w=")</f>
        <v>#REF!</v>
      </c>
      <c r="GX34" t="e">
        <f>AND(#REF!,"AAAAAFv/l80=")</f>
        <v>#REF!</v>
      </c>
      <c r="GY34" t="e">
        <f>AND(#REF!,"AAAAAFv/l84=")</f>
        <v>#REF!</v>
      </c>
      <c r="GZ34" t="e">
        <f>AND(#REF!,"AAAAAFv/l88=")</f>
        <v>#REF!</v>
      </c>
      <c r="HA34" t="e">
        <f>AND(#REF!,"AAAAAFv/l9A=")</f>
        <v>#REF!</v>
      </c>
      <c r="HB34" t="e">
        <f>AND(#REF!,"AAAAAFv/l9E=")</f>
        <v>#REF!</v>
      </c>
      <c r="HC34" t="e">
        <f>AND(#REF!,"AAAAAFv/l9I=")</f>
        <v>#REF!</v>
      </c>
      <c r="HD34" t="e">
        <f>AND(#REF!,"AAAAAFv/l9M=")</f>
        <v>#REF!</v>
      </c>
      <c r="HE34" t="e">
        <f>AND(#REF!,"AAAAAFv/l9Q=")</f>
        <v>#REF!</v>
      </c>
      <c r="HF34" t="e">
        <f>AND(#REF!,"AAAAAFv/l9U=")</f>
        <v>#REF!</v>
      </c>
      <c r="HG34" t="e">
        <f>AND(#REF!,"AAAAAFv/l9Y=")</f>
        <v>#REF!</v>
      </c>
      <c r="HH34" t="e">
        <f>AND(#REF!,"AAAAAFv/l9c=")</f>
        <v>#REF!</v>
      </c>
      <c r="HI34" t="e">
        <f>AND(#REF!,"AAAAAFv/l9g=")</f>
        <v>#REF!</v>
      </c>
      <c r="HJ34" t="e">
        <f>AND(#REF!,"AAAAAFv/l9k=")</f>
        <v>#REF!</v>
      </c>
      <c r="HK34" t="e">
        <f>AND(#REF!,"AAAAAFv/l9o=")</f>
        <v>#REF!</v>
      </c>
      <c r="HL34" t="e">
        <f>AND(#REF!,"AAAAAFv/l9s=")</f>
        <v>#REF!</v>
      </c>
      <c r="HM34" t="e">
        <f>AND(#REF!,"AAAAAFv/l9w=")</f>
        <v>#REF!</v>
      </c>
      <c r="HN34" t="e">
        <f>AND(#REF!,"AAAAAFv/l90=")</f>
        <v>#REF!</v>
      </c>
      <c r="HO34" t="e">
        <f>AND(#REF!,"AAAAAFv/l94=")</f>
        <v>#REF!</v>
      </c>
      <c r="HP34" t="e">
        <f>AND(#REF!,"AAAAAFv/l98=")</f>
        <v>#REF!</v>
      </c>
      <c r="HQ34" t="e">
        <f>AND(#REF!,"AAAAAFv/l+A=")</f>
        <v>#REF!</v>
      </c>
      <c r="HR34" t="e">
        <f>AND(#REF!,"AAAAAFv/l+E=")</f>
        <v>#REF!</v>
      </c>
      <c r="HS34" t="e">
        <f>AND(#REF!,"AAAAAFv/l+I=")</f>
        <v>#REF!</v>
      </c>
      <c r="HT34" t="e">
        <f>AND(#REF!,"AAAAAFv/l+M=")</f>
        <v>#REF!</v>
      </c>
      <c r="HU34" t="e">
        <f>AND(#REF!,"AAAAAFv/l+Q=")</f>
        <v>#REF!</v>
      </c>
      <c r="HV34" t="e">
        <f>AND(#REF!,"AAAAAFv/l+U=")</f>
        <v>#REF!</v>
      </c>
      <c r="HW34" t="e">
        <f>AND(#REF!,"AAAAAFv/l+Y=")</f>
        <v>#REF!</v>
      </c>
      <c r="HX34" t="e">
        <f>AND(#REF!,"AAAAAFv/l+c=")</f>
        <v>#REF!</v>
      </c>
      <c r="HY34" t="e">
        <f>AND(#REF!,"AAAAAFv/l+g=")</f>
        <v>#REF!</v>
      </c>
      <c r="HZ34" t="e">
        <f>AND(#REF!,"AAAAAFv/l+k=")</f>
        <v>#REF!</v>
      </c>
      <c r="IA34" t="e">
        <f>AND(#REF!,"AAAAAFv/l+o=")</f>
        <v>#REF!</v>
      </c>
      <c r="IB34" t="e">
        <f>AND(#REF!,"AAAAAFv/l+s=")</f>
        <v>#REF!</v>
      </c>
      <c r="IC34" t="e">
        <f>AND(#REF!,"AAAAAFv/l+w=")</f>
        <v>#REF!</v>
      </c>
      <c r="ID34" t="e">
        <f>AND(#REF!,"AAAAAFv/l+0=")</f>
        <v>#REF!</v>
      </c>
      <c r="IE34" t="e">
        <f>AND(#REF!,"AAAAAFv/l+4=")</f>
        <v>#REF!</v>
      </c>
      <c r="IF34" t="e">
        <f>AND(#REF!,"AAAAAFv/l+8=")</f>
        <v>#REF!</v>
      </c>
      <c r="IG34" t="e">
        <f>AND(#REF!,"AAAAAFv/l/A=")</f>
        <v>#REF!</v>
      </c>
      <c r="IH34" t="e">
        <f>AND(#REF!,"AAAAAFv/l/E=")</f>
        <v>#REF!</v>
      </c>
      <c r="II34" t="e">
        <f>AND(#REF!,"AAAAAFv/l/I=")</f>
        <v>#REF!</v>
      </c>
      <c r="IJ34" t="e">
        <f>AND(#REF!,"AAAAAFv/l/M=")</f>
        <v>#REF!</v>
      </c>
      <c r="IK34" t="e">
        <f>AND(#REF!,"AAAAAFv/l/Q=")</f>
        <v>#REF!</v>
      </c>
      <c r="IL34" t="e">
        <f>AND(#REF!,"AAAAAFv/l/U=")</f>
        <v>#REF!</v>
      </c>
      <c r="IM34" t="e">
        <f>AND(#REF!,"AAAAAFv/l/Y=")</f>
        <v>#REF!</v>
      </c>
      <c r="IN34" t="e">
        <f>AND(#REF!,"AAAAAFv/l/c=")</f>
        <v>#REF!</v>
      </c>
      <c r="IO34" t="e">
        <f>AND(#REF!,"AAAAAFv/l/g=")</f>
        <v>#REF!</v>
      </c>
      <c r="IP34" t="e">
        <f>AND(#REF!,"AAAAAFv/l/k=")</f>
        <v>#REF!</v>
      </c>
      <c r="IQ34" t="e">
        <f>AND(#REF!,"AAAAAFv/l/o=")</f>
        <v>#REF!</v>
      </c>
      <c r="IR34" t="e">
        <f>AND(#REF!,"AAAAAFv/l/s=")</f>
        <v>#REF!</v>
      </c>
      <c r="IS34" t="e">
        <f>AND(#REF!,"AAAAAFv/l/w=")</f>
        <v>#REF!</v>
      </c>
      <c r="IT34" t="e">
        <f>AND(#REF!,"AAAAAFv/l/0=")</f>
        <v>#REF!</v>
      </c>
      <c r="IU34" t="e">
        <f>AND(#REF!,"AAAAAFv/l/4=")</f>
        <v>#REF!</v>
      </c>
      <c r="IV34" t="e">
        <f>AND(#REF!,"AAAAAFv/l/8=")</f>
        <v>#REF!</v>
      </c>
    </row>
    <row r="35" spans="1:256">
      <c r="A35" t="e">
        <f>AND(#REF!,"AAAAAHm/7wA=")</f>
        <v>#REF!</v>
      </c>
      <c r="B35" t="e">
        <f>AND(#REF!,"AAAAAHm/7wE=")</f>
        <v>#REF!</v>
      </c>
      <c r="C35" t="e">
        <f>AND(#REF!,"AAAAAHm/7wI=")</f>
        <v>#REF!</v>
      </c>
      <c r="D35" t="e">
        <f>AND(#REF!,"AAAAAHm/7wM=")</f>
        <v>#REF!</v>
      </c>
      <c r="E35" t="e">
        <f>AND(#REF!,"AAAAAHm/7wQ=")</f>
        <v>#REF!</v>
      </c>
      <c r="F35" t="e">
        <f>AND(#REF!,"AAAAAHm/7wU=")</f>
        <v>#REF!</v>
      </c>
      <c r="G35" t="e">
        <f>AND(#REF!,"AAAAAHm/7wY=")</f>
        <v>#REF!</v>
      </c>
      <c r="H35" t="e">
        <f>AND(#REF!,"AAAAAHm/7wc=")</f>
        <v>#REF!</v>
      </c>
      <c r="I35" t="e">
        <f>AND(#REF!,"AAAAAHm/7wg=")</f>
        <v>#REF!</v>
      </c>
      <c r="J35" t="e">
        <f>AND(#REF!,"AAAAAHm/7wk=")</f>
        <v>#REF!</v>
      </c>
      <c r="K35" t="e">
        <f>AND(#REF!,"AAAAAHm/7wo=")</f>
        <v>#REF!</v>
      </c>
      <c r="L35" t="e">
        <f>AND(#REF!,"AAAAAHm/7ws=")</f>
        <v>#REF!</v>
      </c>
      <c r="M35" t="e">
        <f>AND(#REF!,"AAAAAHm/7ww=")</f>
        <v>#REF!</v>
      </c>
      <c r="N35" t="e">
        <f>AND(#REF!,"AAAAAHm/7w0=")</f>
        <v>#REF!</v>
      </c>
      <c r="O35" t="e">
        <f>AND(#REF!,"AAAAAHm/7w4=")</f>
        <v>#REF!</v>
      </c>
      <c r="P35" t="e">
        <f>AND(#REF!,"AAAAAHm/7w8=")</f>
        <v>#REF!</v>
      </c>
      <c r="Q35" t="e">
        <f>AND(#REF!,"AAAAAHm/7xA=")</f>
        <v>#REF!</v>
      </c>
      <c r="R35" t="e">
        <f>AND(#REF!,"AAAAAHm/7xE=")</f>
        <v>#REF!</v>
      </c>
      <c r="S35" t="e">
        <f>AND(#REF!,"AAAAAHm/7xI=")</f>
        <v>#REF!</v>
      </c>
      <c r="T35" t="e">
        <f>AND(#REF!,"AAAAAHm/7xM=")</f>
        <v>#REF!</v>
      </c>
      <c r="U35" t="e">
        <f>AND(#REF!,"AAAAAHm/7xQ=")</f>
        <v>#REF!</v>
      </c>
      <c r="V35" t="e">
        <f>AND(#REF!,"AAAAAHm/7xU=")</f>
        <v>#REF!</v>
      </c>
      <c r="W35" t="e">
        <f>AND(#REF!,"AAAAAHm/7xY=")</f>
        <v>#REF!</v>
      </c>
      <c r="X35" t="e">
        <f>AND(#REF!,"AAAAAHm/7xc=")</f>
        <v>#REF!</v>
      </c>
      <c r="Y35" t="e">
        <f>AND(#REF!,"AAAAAHm/7xg=")</f>
        <v>#REF!</v>
      </c>
      <c r="Z35" t="e">
        <f>AND(#REF!,"AAAAAHm/7xk=")</f>
        <v>#REF!</v>
      </c>
      <c r="AA35" t="e">
        <f>AND(#REF!,"AAAAAHm/7xo=")</f>
        <v>#REF!</v>
      </c>
      <c r="AB35" t="e">
        <f>AND(#REF!,"AAAAAHm/7xs=")</f>
        <v>#REF!</v>
      </c>
      <c r="AC35" t="e">
        <f>AND(#REF!,"AAAAAHm/7xw=")</f>
        <v>#REF!</v>
      </c>
      <c r="AD35" t="e">
        <f>AND(#REF!,"AAAAAHm/7x0=")</f>
        <v>#REF!</v>
      </c>
      <c r="AE35" t="e">
        <f>AND(#REF!,"AAAAAHm/7x4=")</f>
        <v>#REF!</v>
      </c>
      <c r="AF35" t="e">
        <f>AND(#REF!,"AAAAAHm/7x8=")</f>
        <v>#REF!</v>
      </c>
      <c r="AG35" t="e">
        <f>AND(#REF!,"AAAAAHm/7yA=")</f>
        <v>#REF!</v>
      </c>
      <c r="AH35" t="e">
        <f>AND(#REF!,"AAAAAHm/7yE=")</f>
        <v>#REF!</v>
      </c>
      <c r="AI35" t="e">
        <f>AND(#REF!,"AAAAAHm/7yI=")</f>
        <v>#REF!</v>
      </c>
      <c r="AJ35" t="e">
        <f>AND(#REF!,"AAAAAHm/7yM=")</f>
        <v>#REF!</v>
      </c>
      <c r="AK35" t="e">
        <f>AND(#REF!,"AAAAAHm/7yQ=")</f>
        <v>#REF!</v>
      </c>
      <c r="AL35" t="e">
        <f>AND(#REF!,"AAAAAHm/7yU=")</f>
        <v>#REF!</v>
      </c>
      <c r="AM35" t="e">
        <f>AND(#REF!,"AAAAAHm/7yY=")</f>
        <v>#REF!</v>
      </c>
      <c r="AN35" t="e">
        <f>AND(#REF!,"AAAAAHm/7yc=")</f>
        <v>#REF!</v>
      </c>
      <c r="AO35" t="e">
        <f>AND(#REF!,"AAAAAHm/7yg=")</f>
        <v>#REF!</v>
      </c>
      <c r="AP35" t="e">
        <f>AND(#REF!,"AAAAAHm/7yk=")</f>
        <v>#REF!</v>
      </c>
      <c r="AQ35" t="e">
        <f>AND(#REF!,"AAAAAHm/7yo=")</f>
        <v>#REF!</v>
      </c>
      <c r="AR35" t="e">
        <f>AND(#REF!,"AAAAAHm/7ys=")</f>
        <v>#REF!</v>
      </c>
      <c r="AS35" t="e">
        <f>AND(#REF!,"AAAAAHm/7yw=")</f>
        <v>#REF!</v>
      </c>
      <c r="AT35" t="e">
        <f>AND(#REF!,"AAAAAHm/7y0=")</f>
        <v>#REF!</v>
      </c>
      <c r="AU35" t="e">
        <f>AND(#REF!,"AAAAAHm/7y4=")</f>
        <v>#REF!</v>
      </c>
      <c r="AV35" t="e">
        <f>AND(#REF!,"AAAAAHm/7y8=")</f>
        <v>#REF!</v>
      </c>
      <c r="AW35" t="e">
        <f>AND(#REF!,"AAAAAHm/7zA=")</f>
        <v>#REF!</v>
      </c>
      <c r="AX35" t="e">
        <f>AND(#REF!,"AAAAAHm/7zE=")</f>
        <v>#REF!</v>
      </c>
      <c r="AY35" t="e">
        <f>AND(#REF!,"AAAAAHm/7zI=")</f>
        <v>#REF!</v>
      </c>
      <c r="AZ35" t="e">
        <f>AND(#REF!,"AAAAAHm/7zM=")</f>
        <v>#REF!</v>
      </c>
      <c r="BA35" t="e">
        <f>AND(#REF!,"AAAAAHm/7zQ=")</f>
        <v>#REF!</v>
      </c>
      <c r="BB35" t="e">
        <f>AND(#REF!,"AAAAAHm/7zU=")</f>
        <v>#REF!</v>
      </c>
      <c r="BC35" t="e">
        <f>AND(#REF!,"AAAAAHm/7zY=")</f>
        <v>#REF!</v>
      </c>
      <c r="BD35" t="e">
        <f>AND(#REF!,"AAAAAHm/7zc=")</f>
        <v>#REF!</v>
      </c>
      <c r="BE35" t="e">
        <f>AND(#REF!,"AAAAAHm/7zg=")</f>
        <v>#REF!</v>
      </c>
      <c r="BF35" t="e">
        <f>AND(#REF!,"AAAAAHm/7zk=")</f>
        <v>#REF!</v>
      </c>
      <c r="BG35" t="e">
        <f>AND(#REF!,"AAAAAHm/7zo=")</f>
        <v>#REF!</v>
      </c>
      <c r="BH35" t="e">
        <f>AND(#REF!,"AAAAAHm/7zs=")</f>
        <v>#REF!</v>
      </c>
      <c r="BI35" t="e">
        <f>AND(#REF!,"AAAAAHm/7zw=")</f>
        <v>#REF!</v>
      </c>
      <c r="BJ35" t="e">
        <f>AND(#REF!,"AAAAAHm/7z0=")</f>
        <v>#REF!</v>
      </c>
      <c r="BK35" t="e">
        <f>AND(#REF!,"AAAAAHm/7z4=")</f>
        <v>#REF!</v>
      </c>
      <c r="BL35" t="e">
        <f>AND(#REF!,"AAAAAHm/7z8=")</f>
        <v>#REF!</v>
      </c>
      <c r="BM35" t="e">
        <f>AND(#REF!,"AAAAAHm/70A=")</f>
        <v>#REF!</v>
      </c>
      <c r="BN35" t="e">
        <f>AND(#REF!,"AAAAAHm/70E=")</f>
        <v>#REF!</v>
      </c>
      <c r="BO35" t="e">
        <f>AND(#REF!,"AAAAAHm/70I=")</f>
        <v>#REF!</v>
      </c>
      <c r="BP35" t="e">
        <f>AND(#REF!,"AAAAAHm/70M=")</f>
        <v>#REF!</v>
      </c>
      <c r="BQ35" t="e">
        <f>AND(#REF!,"AAAAAHm/70Q=")</f>
        <v>#REF!</v>
      </c>
      <c r="BR35" t="e">
        <f>AND(#REF!,"AAAAAHm/70U=")</f>
        <v>#REF!</v>
      </c>
      <c r="BS35" t="e">
        <f>AND(#REF!,"AAAAAHm/70Y=")</f>
        <v>#REF!</v>
      </c>
      <c r="BT35" t="e">
        <f>AND(#REF!,"AAAAAHm/70c=")</f>
        <v>#REF!</v>
      </c>
      <c r="BU35" t="e">
        <f>AND(#REF!,"AAAAAHm/70g=")</f>
        <v>#REF!</v>
      </c>
      <c r="BV35" t="e">
        <f>AND(#REF!,"AAAAAHm/70k=")</f>
        <v>#REF!</v>
      </c>
      <c r="BW35" t="e">
        <f>AND(#REF!,"AAAAAHm/70o=")</f>
        <v>#REF!</v>
      </c>
      <c r="BX35" t="e">
        <f>AND(#REF!,"AAAAAHm/70s=")</f>
        <v>#REF!</v>
      </c>
      <c r="BY35" t="e">
        <f>AND(#REF!,"AAAAAHm/70w=")</f>
        <v>#REF!</v>
      </c>
      <c r="BZ35" t="e">
        <f>AND(#REF!,"AAAAAHm/700=")</f>
        <v>#REF!</v>
      </c>
      <c r="CA35" t="e">
        <f>AND(#REF!,"AAAAAHm/704=")</f>
        <v>#REF!</v>
      </c>
      <c r="CB35" t="e">
        <f>AND(#REF!,"AAAAAHm/708=")</f>
        <v>#REF!</v>
      </c>
      <c r="CC35" t="e">
        <f>AND(#REF!,"AAAAAHm/71A=")</f>
        <v>#REF!</v>
      </c>
      <c r="CD35" t="e">
        <f>AND(#REF!,"AAAAAHm/71E=")</f>
        <v>#REF!</v>
      </c>
      <c r="CE35" t="e">
        <f>AND(#REF!,"AAAAAHm/71I=")</f>
        <v>#REF!</v>
      </c>
      <c r="CF35" t="e">
        <f>AND(#REF!,"AAAAAHm/71M=")</f>
        <v>#REF!</v>
      </c>
      <c r="CG35" t="e">
        <f>AND(#REF!,"AAAAAHm/71Q=")</f>
        <v>#REF!</v>
      </c>
      <c r="CH35" t="e">
        <f>AND(#REF!,"AAAAAHm/71U=")</f>
        <v>#REF!</v>
      </c>
      <c r="CI35" t="e">
        <f>AND(#REF!,"AAAAAHm/71Y=")</f>
        <v>#REF!</v>
      </c>
      <c r="CJ35" t="e">
        <f>AND(#REF!,"AAAAAHm/71c=")</f>
        <v>#REF!</v>
      </c>
      <c r="CK35" t="e">
        <f>AND(#REF!,"AAAAAHm/71g=")</f>
        <v>#REF!</v>
      </c>
      <c r="CL35" t="e">
        <f>AND(#REF!,"AAAAAHm/71k=")</f>
        <v>#REF!</v>
      </c>
      <c r="CM35" t="e">
        <f>AND(#REF!,"AAAAAHm/71o=")</f>
        <v>#REF!</v>
      </c>
      <c r="CN35" t="e">
        <f>AND(#REF!,"AAAAAHm/71s=")</f>
        <v>#REF!</v>
      </c>
      <c r="CO35" t="e">
        <f>AND(#REF!,"AAAAAHm/71w=")</f>
        <v>#REF!</v>
      </c>
      <c r="CP35" t="e">
        <f>AND(#REF!,"AAAAAHm/710=")</f>
        <v>#REF!</v>
      </c>
      <c r="CQ35" t="e">
        <f>AND(#REF!,"AAAAAHm/714=")</f>
        <v>#REF!</v>
      </c>
      <c r="CR35" t="e">
        <f>AND(#REF!,"AAAAAHm/718=")</f>
        <v>#REF!</v>
      </c>
      <c r="CS35" t="e">
        <f>AND(#REF!,"AAAAAHm/72A=")</f>
        <v>#REF!</v>
      </c>
      <c r="CT35" t="e">
        <f>AND(#REF!,"AAAAAHm/72E=")</f>
        <v>#REF!</v>
      </c>
      <c r="CU35" t="e">
        <f>AND(#REF!,"AAAAAHm/72I=")</f>
        <v>#REF!</v>
      </c>
      <c r="CV35" t="e">
        <f>AND(#REF!,"AAAAAHm/72M=")</f>
        <v>#REF!</v>
      </c>
      <c r="CW35" t="e">
        <f>AND(#REF!,"AAAAAHm/72Q=")</f>
        <v>#REF!</v>
      </c>
      <c r="CX35" t="e">
        <f>AND(#REF!,"AAAAAHm/72U=")</f>
        <v>#REF!</v>
      </c>
      <c r="CY35" t="e">
        <f>AND(#REF!,"AAAAAHm/72Y=")</f>
        <v>#REF!</v>
      </c>
      <c r="CZ35" t="e">
        <f>AND(#REF!,"AAAAAHm/72c=")</f>
        <v>#REF!</v>
      </c>
      <c r="DA35" t="e">
        <f>AND(#REF!,"AAAAAHm/72g=")</f>
        <v>#REF!</v>
      </c>
      <c r="DB35" t="e">
        <f>AND(#REF!,"AAAAAHm/72k=")</f>
        <v>#REF!</v>
      </c>
      <c r="DC35" t="e">
        <f>AND(#REF!,"AAAAAHm/72o=")</f>
        <v>#REF!</v>
      </c>
      <c r="DD35" t="e">
        <f>AND(#REF!,"AAAAAHm/72s=")</f>
        <v>#REF!</v>
      </c>
      <c r="DE35" t="e">
        <f>AND(#REF!,"AAAAAHm/72w=")</f>
        <v>#REF!</v>
      </c>
      <c r="DF35" t="e">
        <f>AND(#REF!,"AAAAAHm/720=")</f>
        <v>#REF!</v>
      </c>
      <c r="DG35" t="e">
        <f>AND(#REF!,"AAAAAHm/724=")</f>
        <v>#REF!</v>
      </c>
      <c r="DH35" t="e">
        <f>AND(#REF!,"AAAAAHm/728=")</f>
        <v>#REF!</v>
      </c>
      <c r="DI35" t="e">
        <f>AND(#REF!,"AAAAAHm/73A=")</f>
        <v>#REF!</v>
      </c>
      <c r="DJ35" t="e">
        <f>AND(#REF!,"AAAAAHm/73E=")</f>
        <v>#REF!</v>
      </c>
      <c r="DK35" t="e">
        <f>AND(#REF!,"AAAAAHm/73I=")</f>
        <v>#REF!</v>
      </c>
      <c r="DL35" t="e">
        <f>AND(#REF!,"AAAAAHm/73M=")</f>
        <v>#REF!</v>
      </c>
      <c r="DM35" t="e">
        <f>AND(#REF!,"AAAAAHm/73Q=")</f>
        <v>#REF!</v>
      </c>
      <c r="DN35" t="e">
        <f>AND(#REF!,"AAAAAHm/73U=")</f>
        <v>#REF!</v>
      </c>
      <c r="DO35" t="e">
        <f>AND(#REF!,"AAAAAHm/73Y=")</f>
        <v>#REF!</v>
      </c>
      <c r="DP35" t="e">
        <f>AND(#REF!,"AAAAAHm/73c=")</f>
        <v>#REF!</v>
      </c>
      <c r="DQ35" t="e">
        <f>AND(#REF!,"AAAAAHm/73g=")</f>
        <v>#REF!</v>
      </c>
      <c r="DR35" t="e">
        <f>AND(#REF!,"AAAAAHm/73k=")</f>
        <v>#REF!</v>
      </c>
      <c r="DS35" t="e">
        <f>AND(#REF!,"AAAAAHm/73o=")</f>
        <v>#REF!</v>
      </c>
      <c r="DT35" t="e">
        <f>AND(#REF!,"AAAAAHm/73s=")</f>
        <v>#REF!</v>
      </c>
      <c r="DU35" t="e">
        <f>AND(#REF!,"AAAAAHm/73w=")</f>
        <v>#REF!</v>
      </c>
      <c r="DV35" t="e">
        <f>AND(#REF!,"AAAAAHm/730=")</f>
        <v>#REF!</v>
      </c>
      <c r="DW35" t="e">
        <f>AND(#REF!,"AAAAAHm/734=")</f>
        <v>#REF!</v>
      </c>
      <c r="DX35" t="e">
        <f>AND(#REF!,"AAAAAHm/738=")</f>
        <v>#REF!</v>
      </c>
      <c r="DY35" t="e">
        <f>AND(#REF!,"AAAAAHm/74A=")</f>
        <v>#REF!</v>
      </c>
      <c r="DZ35" t="e">
        <f>AND(#REF!,"AAAAAHm/74E=")</f>
        <v>#REF!</v>
      </c>
      <c r="EA35" t="e">
        <f>AND(#REF!,"AAAAAHm/74I=")</f>
        <v>#REF!</v>
      </c>
      <c r="EB35" t="e">
        <f>AND(#REF!,"AAAAAHm/74M=")</f>
        <v>#REF!</v>
      </c>
      <c r="EC35" t="e">
        <f>AND(#REF!,"AAAAAHm/74Q=")</f>
        <v>#REF!</v>
      </c>
      <c r="ED35" t="e">
        <f>AND(#REF!,"AAAAAHm/74U=")</f>
        <v>#REF!</v>
      </c>
      <c r="EE35" t="e">
        <f>AND(#REF!,"AAAAAHm/74Y=")</f>
        <v>#REF!</v>
      </c>
      <c r="EF35" t="e">
        <f>AND(#REF!,"AAAAAHm/74c=")</f>
        <v>#REF!</v>
      </c>
      <c r="EG35" t="e">
        <f>AND(#REF!,"AAAAAHm/74g=")</f>
        <v>#REF!</v>
      </c>
      <c r="EH35" t="e">
        <f>AND(#REF!,"AAAAAHm/74k=")</f>
        <v>#REF!</v>
      </c>
      <c r="EI35" t="e">
        <f>AND(#REF!,"AAAAAHm/74o=")</f>
        <v>#REF!</v>
      </c>
      <c r="EJ35" t="e">
        <f>AND(#REF!,"AAAAAHm/74s=")</f>
        <v>#REF!</v>
      </c>
      <c r="EK35" t="e">
        <f>AND(#REF!,"AAAAAHm/74w=")</f>
        <v>#REF!</v>
      </c>
      <c r="EL35" t="e">
        <f>AND(#REF!,"AAAAAHm/740=")</f>
        <v>#REF!</v>
      </c>
      <c r="EM35" t="e">
        <f>AND(#REF!,"AAAAAHm/744=")</f>
        <v>#REF!</v>
      </c>
      <c r="EN35" t="e">
        <f>AND(#REF!,"AAAAAHm/748=")</f>
        <v>#REF!</v>
      </c>
      <c r="EO35" t="e">
        <f>AND(#REF!,"AAAAAHm/75A=")</f>
        <v>#REF!</v>
      </c>
      <c r="EP35" t="e">
        <f>AND(#REF!,"AAAAAHm/75E=")</f>
        <v>#REF!</v>
      </c>
      <c r="EQ35" t="e">
        <f>AND(#REF!,"AAAAAHm/75I=")</f>
        <v>#REF!</v>
      </c>
      <c r="ER35" t="e">
        <f>AND(#REF!,"AAAAAHm/75M=")</f>
        <v>#REF!</v>
      </c>
      <c r="ES35" t="e">
        <f>AND(#REF!,"AAAAAHm/75Q=")</f>
        <v>#REF!</v>
      </c>
      <c r="ET35" t="e">
        <f>AND(#REF!,"AAAAAHm/75U=")</f>
        <v>#REF!</v>
      </c>
      <c r="EU35" t="e">
        <f>AND(#REF!,"AAAAAHm/75Y=")</f>
        <v>#REF!</v>
      </c>
      <c r="EV35" t="e">
        <f>AND(#REF!,"AAAAAHm/75c=")</f>
        <v>#REF!</v>
      </c>
      <c r="EW35" t="e">
        <f>AND(#REF!,"AAAAAHm/75g=")</f>
        <v>#REF!</v>
      </c>
      <c r="EX35" t="e">
        <f>AND(#REF!,"AAAAAHm/75k=")</f>
        <v>#REF!</v>
      </c>
      <c r="EY35" t="e">
        <f>AND(#REF!,"AAAAAHm/75o=")</f>
        <v>#REF!</v>
      </c>
      <c r="EZ35" t="e">
        <f>AND(#REF!,"AAAAAHm/75s=")</f>
        <v>#REF!</v>
      </c>
      <c r="FA35" t="e">
        <f>AND(#REF!,"AAAAAHm/75w=")</f>
        <v>#REF!</v>
      </c>
      <c r="FB35" t="e">
        <f>AND(#REF!,"AAAAAHm/750=")</f>
        <v>#REF!</v>
      </c>
      <c r="FC35" t="e">
        <f>AND(#REF!,"AAAAAHm/754=")</f>
        <v>#REF!</v>
      </c>
      <c r="FD35" t="e">
        <f>AND(#REF!,"AAAAAHm/758=")</f>
        <v>#REF!</v>
      </c>
      <c r="FE35" t="e">
        <f>AND(#REF!,"AAAAAHm/76A=")</f>
        <v>#REF!</v>
      </c>
      <c r="FF35" t="e">
        <f>AND(#REF!,"AAAAAHm/76E=")</f>
        <v>#REF!</v>
      </c>
      <c r="FG35" t="e">
        <f>AND(#REF!,"AAAAAHm/76I=")</f>
        <v>#REF!</v>
      </c>
      <c r="FH35" t="e">
        <f>AND(#REF!,"AAAAAHm/76M=")</f>
        <v>#REF!</v>
      </c>
      <c r="FI35" t="e">
        <f>AND(#REF!,"AAAAAHm/76Q=")</f>
        <v>#REF!</v>
      </c>
      <c r="FJ35" t="e">
        <f>AND(#REF!,"AAAAAHm/76U=")</f>
        <v>#REF!</v>
      </c>
      <c r="FK35" t="e">
        <f>AND(#REF!,"AAAAAHm/76Y=")</f>
        <v>#REF!</v>
      </c>
      <c r="FL35" t="e">
        <f>AND(#REF!,"AAAAAHm/76c=")</f>
        <v>#REF!</v>
      </c>
      <c r="FM35" t="e">
        <f>AND(#REF!,"AAAAAHm/76g=")</f>
        <v>#REF!</v>
      </c>
      <c r="FN35" t="e">
        <f>AND(#REF!,"AAAAAHm/76k=")</f>
        <v>#REF!</v>
      </c>
      <c r="FO35" t="e">
        <f>AND(#REF!,"AAAAAHm/76o=")</f>
        <v>#REF!</v>
      </c>
      <c r="FP35" t="e">
        <f>AND(#REF!,"AAAAAHm/76s=")</f>
        <v>#REF!</v>
      </c>
      <c r="FQ35" t="e">
        <f>AND(#REF!,"AAAAAHm/76w=")</f>
        <v>#REF!</v>
      </c>
      <c r="FR35" t="e">
        <f>AND(#REF!,"AAAAAHm/760=")</f>
        <v>#REF!</v>
      </c>
      <c r="FS35" t="e">
        <f>AND(#REF!,"AAAAAHm/764=")</f>
        <v>#REF!</v>
      </c>
      <c r="FT35" t="e">
        <f>AND(#REF!,"AAAAAHm/768=")</f>
        <v>#REF!</v>
      </c>
      <c r="FU35" t="e">
        <f>AND(#REF!,"AAAAAHm/77A=")</f>
        <v>#REF!</v>
      </c>
      <c r="FV35" t="e">
        <f>AND(#REF!,"AAAAAHm/77E=")</f>
        <v>#REF!</v>
      </c>
      <c r="FW35" t="e">
        <f>AND(#REF!,"AAAAAHm/77I=")</f>
        <v>#REF!</v>
      </c>
      <c r="FX35" t="e">
        <f>AND(#REF!,"AAAAAHm/77M=")</f>
        <v>#REF!</v>
      </c>
      <c r="FY35" t="e">
        <f>AND(#REF!,"AAAAAHm/77Q=")</f>
        <v>#REF!</v>
      </c>
      <c r="FZ35" t="e">
        <f>AND(#REF!,"AAAAAHm/77U=")</f>
        <v>#REF!</v>
      </c>
      <c r="GA35" t="e">
        <f>AND(#REF!,"AAAAAHm/77Y=")</f>
        <v>#REF!</v>
      </c>
      <c r="GB35" t="e">
        <f>AND(#REF!,"AAAAAHm/77c=")</f>
        <v>#REF!</v>
      </c>
      <c r="GC35" t="e">
        <f>AND(#REF!,"AAAAAHm/77g=")</f>
        <v>#REF!</v>
      </c>
      <c r="GD35" t="e">
        <f>AND(#REF!,"AAAAAHm/77k=")</f>
        <v>#REF!</v>
      </c>
      <c r="GE35" t="e">
        <f>AND(#REF!,"AAAAAHm/77o=")</f>
        <v>#REF!</v>
      </c>
      <c r="GF35" t="e">
        <f>AND(#REF!,"AAAAAHm/77s=")</f>
        <v>#REF!</v>
      </c>
      <c r="GG35" t="e">
        <f>AND(#REF!,"AAAAAHm/77w=")</f>
        <v>#REF!</v>
      </c>
      <c r="GH35" t="e">
        <f>AND(#REF!,"AAAAAHm/770=")</f>
        <v>#REF!</v>
      </c>
      <c r="GI35" t="e">
        <f>AND(#REF!,"AAAAAHm/774=")</f>
        <v>#REF!</v>
      </c>
      <c r="GJ35" t="e">
        <f>AND(#REF!,"AAAAAHm/778=")</f>
        <v>#REF!</v>
      </c>
      <c r="GK35" t="e">
        <f>AND(#REF!,"AAAAAHm/78A=")</f>
        <v>#REF!</v>
      </c>
      <c r="GL35" t="e">
        <f>AND(#REF!,"AAAAAHm/78E=")</f>
        <v>#REF!</v>
      </c>
      <c r="GM35" t="e">
        <f>AND(#REF!,"AAAAAHm/78I=")</f>
        <v>#REF!</v>
      </c>
      <c r="GN35" t="e">
        <f>AND(#REF!,"AAAAAHm/78M=")</f>
        <v>#REF!</v>
      </c>
      <c r="GO35" t="e">
        <f>AND(#REF!,"AAAAAHm/78Q=")</f>
        <v>#REF!</v>
      </c>
      <c r="GP35" t="e">
        <f>AND(#REF!,"AAAAAHm/78U=")</f>
        <v>#REF!</v>
      </c>
      <c r="GQ35" t="e">
        <f>AND(#REF!,"AAAAAHm/78Y=")</f>
        <v>#REF!</v>
      </c>
      <c r="GR35" t="e">
        <f>AND(#REF!,"AAAAAHm/78c=")</f>
        <v>#REF!</v>
      </c>
      <c r="GS35" t="e">
        <f>AND(#REF!,"AAAAAHm/78g=")</f>
        <v>#REF!</v>
      </c>
      <c r="GT35" t="e">
        <f>AND(#REF!,"AAAAAHm/78k=")</f>
        <v>#REF!</v>
      </c>
      <c r="GU35" t="e">
        <f>AND(#REF!,"AAAAAHm/78o=")</f>
        <v>#REF!</v>
      </c>
      <c r="GV35" t="e">
        <f>AND(#REF!,"AAAAAHm/78s=")</f>
        <v>#REF!</v>
      </c>
      <c r="GW35" t="e">
        <f>AND(#REF!,"AAAAAHm/78w=")</f>
        <v>#REF!</v>
      </c>
      <c r="GX35" t="e">
        <f>AND(#REF!,"AAAAAHm/780=")</f>
        <v>#REF!</v>
      </c>
      <c r="GY35" t="e">
        <f>AND(#REF!,"AAAAAHm/784=")</f>
        <v>#REF!</v>
      </c>
      <c r="GZ35" t="e">
        <f>AND(#REF!,"AAAAAHm/788=")</f>
        <v>#REF!</v>
      </c>
      <c r="HA35" t="e">
        <f>AND(#REF!,"AAAAAHm/79A=")</f>
        <v>#REF!</v>
      </c>
      <c r="HB35" t="e">
        <f>AND(#REF!,"AAAAAHm/79E=")</f>
        <v>#REF!</v>
      </c>
      <c r="HC35" t="e">
        <f>AND(#REF!,"AAAAAHm/79I=")</f>
        <v>#REF!</v>
      </c>
      <c r="HD35" t="e">
        <f>AND(#REF!,"AAAAAHm/79M=")</f>
        <v>#REF!</v>
      </c>
      <c r="HE35" t="e">
        <f>AND(#REF!,"AAAAAHm/79Q=")</f>
        <v>#REF!</v>
      </c>
      <c r="HF35" t="e">
        <f>AND(#REF!,"AAAAAHm/79U=")</f>
        <v>#REF!</v>
      </c>
      <c r="HG35" t="e">
        <f>AND(#REF!,"AAAAAHm/79Y=")</f>
        <v>#REF!</v>
      </c>
      <c r="HH35" t="e">
        <f>AND(#REF!,"AAAAAHm/79c=")</f>
        <v>#REF!</v>
      </c>
      <c r="HI35" t="e">
        <f>AND(#REF!,"AAAAAHm/79g=")</f>
        <v>#REF!</v>
      </c>
      <c r="HJ35" t="e">
        <f>AND(#REF!,"AAAAAHm/79k=")</f>
        <v>#REF!</v>
      </c>
      <c r="HK35" t="e">
        <f>AND(#REF!,"AAAAAHm/79o=")</f>
        <v>#REF!</v>
      </c>
      <c r="HL35" t="e">
        <f>AND(#REF!,"AAAAAHm/79s=")</f>
        <v>#REF!</v>
      </c>
      <c r="HM35" t="e">
        <f>AND(#REF!,"AAAAAHm/79w=")</f>
        <v>#REF!</v>
      </c>
      <c r="HN35" t="e">
        <f>AND(#REF!,"AAAAAHm/790=")</f>
        <v>#REF!</v>
      </c>
      <c r="HO35" t="e">
        <f>AND(#REF!,"AAAAAHm/794=")</f>
        <v>#REF!</v>
      </c>
      <c r="HP35" t="e">
        <f>AND(#REF!,"AAAAAHm/798=")</f>
        <v>#REF!</v>
      </c>
      <c r="HQ35" t="e">
        <f>AND(#REF!,"AAAAAHm/7+A=")</f>
        <v>#REF!</v>
      </c>
      <c r="HR35" t="e">
        <f>AND(#REF!,"AAAAAHm/7+E=")</f>
        <v>#REF!</v>
      </c>
      <c r="HS35" t="e">
        <f>AND(#REF!,"AAAAAHm/7+I=")</f>
        <v>#REF!</v>
      </c>
      <c r="HT35" t="e">
        <f>AND(#REF!,"AAAAAHm/7+M=")</f>
        <v>#REF!</v>
      </c>
      <c r="HU35" t="e">
        <f>AND(#REF!,"AAAAAHm/7+Q=")</f>
        <v>#REF!</v>
      </c>
      <c r="HV35" t="e">
        <f>AND(#REF!,"AAAAAHm/7+U=")</f>
        <v>#REF!</v>
      </c>
      <c r="HW35" t="e">
        <f>AND(#REF!,"AAAAAHm/7+Y=")</f>
        <v>#REF!</v>
      </c>
      <c r="HX35" t="e">
        <f>AND(#REF!,"AAAAAHm/7+c=")</f>
        <v>#REF!</v>
      </c>
      <c r="HY35" t="e">
        <f>AND(#REF!,"AAAAAHm/7+g=")</f>
        <v>#REF!</v>
      </c>
      <c r="HZ35" t="e">
        <f>AND(#REF!,"AAAAAHm/7+k=")</f>
        <v>#REF!</v>
      </c>
      <c r="IA35" t="e">
        <f>AND(#REF!,"AAAAAHm/7+o=")</f>
        <v>#REF!</v>
      </c>
      <c r="IB35" t="e">
        <f>AND(#REF!,"AAAAAHm/7+s=")</f>
        <v>#REF!</v>
      </c>
      <c r="IC35" t="e">
        <f>AND(#REF!,"AAAAAHm/7+w=")</f>
        <v>#REF!</v>
      </c>
      <c r="ID35" t="e">
        <f>AND(#REF!,"AAAAAHm/7+0=")</f>
        <v>#REF!</v>
      </c>
      <c r="IE35" t="e">
        <f>AND(#REF!,"AAAAAHm/7+4=")</f>
        <v>#REF!</v>
      </c>
      <c r="IF35" t="e">
        <f>AND(#REF!,"AAAAAHm/7+8=")</f>
        <v>#REF!</v>
      </c>
      <c r="IG35" t="e">
        <f>AND(#REF!,"AAAAAHm/7/A=")</f>
        <v>#REF!</v>
      </c>
      <c r="IH35" t="e">
        <f>AND(#REF!,"AAAAAHm/7/E=")</f>
        <v>#REF!</v>
      </c>
      <c r="II35" t="e">
        <f>AND(#REF!,"AAAAAHm/7/I=")</f>
        <v>#REF!</v>
      </c>
      <c r="IJ35" t="e">
        <f>AND(#REF!,"AAAAAHm/7/M=")</f>
        <v>#REF!</v>
      </c>
      <c r="IK35" t="e">
        <f>AND(#REF!,"AAAAAHm/7/Q=")</f>
        <v>#REF!</v>
      </c>
      <c r="IL35" t="e">
        <f>AND(#REF!,"AAAAAHm/7/U=")</f>
        <v>#REF!</v>
      </c>
      <c r="IM35" t="e">
        <f>AND(#REF!,"AAAAAHm/7/Y=")</f>
        <v>#REF!</v>
      </c>
      <c r="IN35" t="e">
        <f>AND(#REF!,"AAAAAHm/7/c=")</f>
        <v>#REF!</v>
      </c>
      <c r="IO35" t="e">
        <f>AND(#REF!,"AAAAAHm/7/g=")</f>
        <v>#REF!</v>
      </c>
      <c r="IP35" t="e">
        <f>AND(#REF!,"AAAAAHm/7/k=")</f>
        <v>#REF!</v>
      </c>
      <c r="IQ35" t="e">
        <f>AND(#REF!,"AAAAAHm/7/o=")</f>
        <v>#REF!</v>
      </c>
      <c r="IR35" t="e">
        <f>AND(#REF!,"AAAAAHm/7/s=")</f>
        <v>#REF!</v>
      </c>
      <c r="IS35" t="e">
        <f>AND(#REF!,"AAAAAHm/7/w=")</f>
        <v>#REF!</v>
      </c>
      <c r="IT35" t="e">
        <f>AND(#REF!,"AAAAAHm/7/0=")</f>
        <v>#REF!</v>
      </c>
      <c r="IU35" t="e">
        <f>AND(#REF!,"AAAAAHm/7/4=")</f>
        <v>#REF!</v>
      </c>
      <c r="IV35" t="e">
        <f>AND(#REF!,"AAAAAHm/7/8=")</f>
        <v>#REF!</v>
      </c>
    </row>
    <row r="36" spans="1:256">
      <c r="A36" t="e">
        <f>AND(#REF!,"AAAAAHd9zQA=")</f>
        <v>#REF!</v>
      </c>
      <c r="B36" t="e">
        <f>AND(#REF!,"AAAAAHd9zQE=")</f>
        <v>#REF!</v>
      </c>
      <c r="C36" t="e">
        <f>AND(#REF!,"AAAAAHd9zQI=")</f>
        <v>#REF!</v>
      </c>
      <c r="D36" t="e">
        <f>AND(#REF!,"AAAAAHd9zQM=")</f>
        <v>#REF!</v>
      </c>
      <c r="E36" t="e">
        <f>AND(#REF!,"AAAAAHd9zQQ=")</f>
        <v>#REF!</v>
      </c>
      <c r="F36" t="e">
        <f>AND(#REF!,"AAAAAHd9zQU=")</f>
        <v>#REF!</v>
      </c>
      <c r="G36" t="e">
        <f>AND(#REF!,"AAAAAHd9zQY=")</f>
        <v>#REF!</v>
      </c>
      <c r="H36" t="e">
        <f>AND(#REF!,"AAAAAHd9zQc=")</f>
        <v>#REF!</v>
      </c>
      <c r="I36" t="e">
        <f>AND(#REF!,"AAAAAHd9zQg=")</f>
        <v>#REF!</v>
      </c>
      <c r="J36" t="e">
        <f>AND(#REF!,"AAAAAHd9zQk=")</f>
        <v>#REF!</v>
      </c>
      <c r="K36" t="e">
        <f>AND(#REF!,"AAAAAHd9zQo=")</f>
        <v>#REF!</v>
      </c>
      <c r="L36" t="e">
        <f>AND(#REF!,"AAAAAHd9zQs=")</f>
        <v>#REF!</v>
      </c>
      <c r="M36" t="e">
        <f>AND(#REF!,"AAAAAHd9zQw=")</f>
        <v>#REF!</v>
      </c>
      <c r="N36" t="e">
        <f>AND(#REF!,"AAAAAHd9zQ0=")</f>
        <v>#REF!</v>
      </c>
      <c r="O36" t="e">
        <f>AND(#REF!,"AAAAAHd9zQ4=")</f>
        <v>#REF!</v>
      </c>
      <c r="P36" t="e">
        <f>AND(#REF!,"AAAAAHd9zQ8=")</f>
        <v>#REF!</v>
      </c>
      <c r="Q36" t="e">
        <f>AND(#REF!,"AAAAAHd9zRA=")</f>
        <v>#REF!</v>
      </c>
      <c r="R36" t="e">
        <f>AND(#REF!,"AAAAAHd9zRE=")</f>
        <v>#REF!</v>
      </c>
      <c r="S36" t="e">
        <f>AND(#REF!,"AAAAAHd9zRI=")</f>
        <v>#REF!</v>
      </c>
      <c r="T36" t="e">
        <f>AND(#REF!,"AAAAAHd9zRM=")</f>
        <v>#REF!</v>
      </c>
      <c r="U36" t="e">
        <f>AND(#REF!,"AAAAAHd9zRQ=")</f>
        <v>#REF!</v>
      </c>
      <c r="V36" t="e">
        <f>AND(#REF!,"AAAAAHd9zRU=")</f>
        <v>#REF!</v>
      </c>
      <c r="W36" t="e">
        <f>AND(#REF!,"AAAAAHd9zRY=")</f>
        <v>#REF!</v>
      </c>
      <c r="X36" t="e">
        <f>AND(#REF!,"AAAAAHd9zRc=")</f>
        <v>#REF!</v>
      </c>
      <c r="Y36" t="e">
        <f>AND(#REF!,"AAAAAHd9zRg=")</f>
        <v>#REF!</v>
      </c>
      <c r="Z36" t="e">
        <f>AND(#REF!,"AAAAAHd9zRk=")</f>
        <v>#REF!</v>
      </c>
      <c r="AA36" t="e">
        <f>AND(#REF!,"AAAAAHd9zRo=")</f>
        <v>#REF!</v>
      </c>
      <c r="AB36" t="e">
        <f>AND(#REF!,"AAAAAHd9zRs=")</f>
        <v>#REF!</v>
      </c>
      <c r="AC36" t="e">
        <f>AND(#REF!,"AAAAAHd9zRw=")</f>
        <v>#REF!</v>
      </c>
      <c r="AD36" t="e">
        <f>AND(#REF!,"AAAAAHd9zR0=")</f>
        <v>#REF!</v>
      </c>
      <c r="AE36" t="e">
        <f>AND(#REF!,"AAAAAHd9zR4=")</f>
        <v>#REF!</v>
      </c>
      <c r="AF36" t="e">
        <f>AND(#REF!,"AAAAAHd9zR8=")</f>
        <v>#REF!</v>
      </c>
      <c r="AG36" t="e">
        <f>AND(#REF!,"AAAAAHd9zSA=")</f>
        <v>#REF!</v>
      </c>
      <c r="AH36" t="e">
        <f>AND(#REF!,"AAAAAHd9zSE=")</f>
        <v>#REF!</v>
      </c>
      <c r="AI36" t="e">
        <f>AND(#REF!,"AAAAAHd9zSI=")</f>
        <v>#REF!</v>
      </c>
      <c r="AJ36" t="e">
        <f>AND(#REF!,"AAAAAHd9zSM=")</f>
        <v>#REF!</v>
      </c>
      <c r="AK36" t="e">
        <f>AND(#REF!,"AAAAAHd9zSQ=")</f>
        <v>#REF!</v>
      </c>
      <c r="AL36" t="e">
        <f>AND(#REF!,"AAAAAHd9zSU=")</f>
        <v>#REF!</v>
      </c>
      <c r="AM36" t="e">
        <f>AND(#REF!,"AAAAAHd9zSY=")</f>
        <v>#REF!</v>
      </c>
      <c r="AN36" t="e">
        <f>AND(#REF!,"AAAAAHd9zSc=")</f>
        <v>#REF!</v>
      </c>
      <c r="AO36" t="e">
        <f>AND(#REF!,"AAAAAHd9zSg=")</f>
        <v>#REF!</v>
      </c>
      <c r="AP36" t="e">
        <f>AND(#REF!,"AAAAAHd9zSk=")</f>
        <v>#REF!</v>
      </c>
      <c r="AQ36" t="e">
        <f>AND(#REF!,"AAAAAHd9zSo=")</f>
        <v>#REF!</v>
      </c>
      <c r="AR36" t="e">
        <f>AND(#REF!,"AAAAAHd9zSs=")</f>
        <v>#REF!</v>
      </c>
      <c r="AS36" t="e">
        <f>AND(#REF!,"AAAAAHd9zSw=")</f>
        <v>#REF!</v>
      </c>
      <c r="AT36" t="e">
        <f>AND(#REF!,"AAAAAHd9zS0=")</f>
        <v>#REF!</v>
      </c>
      <c r="AU36" t="e">
        <f>AND(#REF!,"AAAAAHd9zS4=")</f>
        <v>#REF!</v>
      </c>
      <c r="AV36" t="e">
        <f>AND(#REF!,"AAAAAHd9zS8=")</f>
        <v>#REF!</v>
      </c>
      <c r="AW36" t="e">
        <f>AND(#REF!,"AAAAAHd9zTA=")</f>
        <v>#REF!</v>
      </c>
      <c r="AX36" t="e">
        <f>AND(#REF!,"AAAAAHd9zTE=")</f>
        <v>#REF!</v>
      </c>
      <c r="AY36" t="e">
        <f>AND(#REF!,"AAAAAHd9zTI=")</f>
        <v>#REF!</v>
      </c>
      <c r="AZ36" t="e">
        <f>AND(#REF!,"AAAAAHd9zTM=")</f>
        <v>#REF!</v>
      </c>
      <c r="BA36" t="e">
        <f>AND(#REF!,"AAAAAHd9zTQ=")</f>
        <v>#REF!</v>
      </c>
      <c r="BB36" t="e">
        <f>AND(#REF!,"AAAAAHd9zTU=")</f>
        <v>#REF!</v>
      </c>
      <c r="BC36" t="e">
        <f>AND(#REF!,"AAAAAHd9zTY=")</f>
        <v>#REF!</v>
      </c>
      <c r="BD36" t="e">
        <f>AND(#REF!,"AAAAAHd9zTc=")</f>
        <v>#REF!</v>
      </c>
      <c r="BE36" t="e">
        <f>AND(#REF!,"AAAAAHd9zTg=")</f>
        <v>#REF!</v>
      </c>
      <c r="BF36" t="e">
        <f>AND(#REF!,"AAAAAHd9zTk=")</f>
        <v>#REF!</v>
      </c>
      <c r="BG36" t="e">
        <f>AND(#REF!,"AAAAAHd9zTo=")</f>
        <v>#REF!</v>
      </c>
      <c r="BH36" t="e">
        <f>AND(#REF!,"AAAAAHd9zTs=")</f>
        <v>#REF!</v>
      </c>
      <c r="BI36" t="e">
        <f>AND(#REF!,"AAAAAHd9zTw=")</f>
        <v>#REF!</v>
      </c>
      <c r="BJ36" t="e">
        <f>AND(#REF!,"AAAAAHd9zT0=")</f>
        <v>#REF!</v>
      </c>
      <c r="BK36" t="e">
        <f>AND(#REF!,"AAAAAHd9zT4=")</f>
        <v>#REF!</v>
      </c>
      <c r="BL36" t="e">
        <f>AND(#REF!,"AAAAAHd9zT8=")</f>
        <v>#REF!</v>
      </c>
      <c r="BM36" t="e">
        <f>AND(#REF!,"AAAAAHd9zUA=")</f>
        <v>#REF!</v>
      </c>
      <c r="BN36" t="e">
        <f>AND(#REF!,"AAAAAHd9zUE=")</f>
        <v>#REF!</v>
      </c>
      <c r="BO36" t="e">
        <f>AND(#REF!,"AAAAAHd9zUI=")</f>
        <v>#REF!</v>
      </c>
      <c r="BP36" t="e">
        <f>AND(#REF!,"AAAAAHd9zUM=")</f>
        <v>#REF!</v>
      </c>
      <c r="BQ36" t="e">
        <f>AND(#REF!,"AAAAAHd9zUQ=")</f>
        <v>#REF!</v>
      </c>
      <c r="BR36" t="e">
        <f>AND(#REF!,"AAAAAHd9zUU=")</f>
        <v>#REF!</v>
      </c>
      <c r="BS36" t="e">
        <f>AND(#REF!,"AAAAAHd9zUY=")</f>
        <v>#REF!</v>
      </c>
      <c r="BT36" t="e">
        <f>AND(#REF!,"AAAAAHd9zUc=")</f>
        <v>#REF!</v>
      </c>
      <c r="BU36" t="e">
        <f>AND(#REF!,"AAAAAHd9zUg=")</f>
        <v>#REF!</v>
      </c>
      <c r="BV36" t="e">
        <f>AND(#REF!,"AAAAAHd9zUk=")</f>
        <v>#REF!</v>
      </c>
      <c r="BW36" t="e">
        <f>AND(#REF!,"AAAAAHd9zUo=")</f>
        <v>#REF!</v>
      </c>
      <c r="BX36" t="e">
        <f>AND(#REF!,"AAAAAHd9zUs=")</f>
        <v>#REF!</v>
      </c>
      <c r="BY36" t="e">
        <f>AND(#REF!,"AAAAAHd9zUw=")</f>
        <v>#REF!</v>
      </c>
      <c r="BZ36" t="e">
        <f>AND(#REF!,"AAAAAHd9zU0=")</f>
        <v>#REF!</v>
      </c>
      <c r="CA36" t="e">
        <f>AND(#REF!,"AAAAAHd9zU4=")</f>
        <v>#REF!</v>
      </c>
      <c r="CB36" t="e">
        <f>AND(#REF!,"AAAAAHd9zU8=")</f>
        <v>#REF!</v>
      </c>
      <c r="CC36" t="e">
        <f>AND(#REF!,"AAAAAHd9zVA=")</f>
        <v>#REF!</v>
      </c>
      <c r="CD36" t="e">
        <f>AND(#REF!,"AAAAAHd9zVE=")</f>
        <v>#REF!</v>
      </c>
      <c r="CE36" t="e">
        <f>AND(#REF!,"AAAAAHd9zVI=")</f>
        <v>#REF!</v>
      </c>
      <c r="CF36" t="e">
        <f>AND(#REF!,"AAAAAHd9zVM=")</f>
        <v>#REF!</v>
      </c>
      <c r="CG36" t="e">
        <f>AND(#REF!,"AAAAAHd9zVQ=")</f>
        <v>#REF!</v>
      </c>
      <c r="CH36" t="e">
        <f>AND(#REF!,"AAAAAHd9zVU=")</f>
        <v>#REF!</v>
      </c>
      <c r="CI36" t="e">
        <f>AND(#REF!,"AAAAAHd9zVY=")</f>
        <v>#REF!</v>
      </c>
      <c r="CJ36" t="e">
        <f>AND(#REF!,"AAAAAHd9zVc=")</f>
        <v>#REF!</v>
      </c>
      <c r="CK36" t="e">
        <f>AND(#REF!,"AAAAAHd9zVg=")</f>
        <v>#REF!</v>
      </c>
      <c r="CL36" t="e">
        <f>AND(#REF!,"AAAAAHd9zVk=")</f>
        <v>#REF!</v>
      </c>
      <c r="CM36" t="e">
        <f>AND(#REF!,"AAAAAHd9zVo=")</f>
        <v>#REF!</v>
      </c>
      <c r="CN36" t="e">
        <f>AND(#REF!,"AAAAAHd9zVs=")</f>
        <v>#REF!</v>
      </c>
      <c r="CO36" t="e">
        <f>AND(#REF!,"AAAAAHd9zVw=")</f>
        <v>#REF!</v>
      </c>
      <c r="CP36" t="e">
        <f>AND(#REF!,"AAAAAHd9zV0=")</f>
        <v>#REF!</v>
      </c>
      <c r="CQ36" t="e">
        <f>AND(#REF!,"AAAAAHd9zV4=")</f>
        <v>#REF!</v>
      </c>
      <c r="CR36" t="e">
        <f>AND(#REF!,"AAAAAHd9zV8=")</f>
        <v>#REF!</v>
      </c>
      <c r="CS36" t="e">
        <f>AND(#REF!,"AAAAAHd9zWA=")</f>
        <v>#REF!</v>
      </c>
      <c r="CT36" t="e">
        <f>AND(#REF!,"AAAAAHd9zWE=")</f>
        <v>#REF!</v>
      </c>
      <c r="CU36" t="e">
        <f>AND(#REF!,"AAAAAHd9zWI=")</f>
        <v>#REF!</v>
      </c>
      <c r="CV36" t="e">
        <f>AND(#REF!,"AAAAAHd9zWM=")</f>
        <v>#REF!</v>
      </c>
      <c r="CW36" t="e">
        <f>AND(#REF!,"AAAAAHd9zWQ=")</f>
        <v>#REF!</v>
      </c>
      <c r="CX36" t="e">
        <f>AND(#REF!,"AAAAAHd9zWU=")</f>
        <v>#REF!</v>
      </c>
      <c r="CY36" t="e">
        <f>AND(#REF!,"AAAAAHd9zWY=")</f>
        <v>#REF!</v>
      </c>
      <c r="CZ36" t="e">
        <f>AND(#REF!,"AAAAAHd9zWc=")</f>
        <v>#REF!</v>
      </c>
      <c r="DA36" t="e">
        <f>AND(#REF!,"AAAAAHd9zWg=")</f>
        <v>#REF!</v>
      </c>
      <c r="DB36" t="e">
        <f>AND(#REF!,"AAAAAHd9zWk=")</f>
        <v>#REF!</v>
      </c>
      <c r="DC36" t="e">
        <f>AND(#REF!,"AAAAAHd9zWo=")</f>
        <v>#REF!</v>
      </c>
      <c r="DD36" t="e">
        <f>AND(#REF!,"AAAAAHd9zWs=")</f>
        <v>#REF!</v>
      </c>
      <c r="DE36" t="e">
        <f>AND(#REF!,"AAAAAHd9zWw=")</f>
        <v>#REF!</v>
      </c>
      <c r="DF36" t="e">
        <f>AND(#REF!,"AAAAAHd9zW0=")</f>
        <v>#REF!</v>
      </c>
      <c r="DG36" t="e">
        <f>AND(#REF!,"AAAAAHd9zW4=")</f>
        <v>#REF!</v>
      </c>
      <c r="DH36" t="e">
        <f>AND(#REF!,"AAAAAHd9zW8=")</f>
        <v>#REF!</v>
      </c>
      <c r="DI36" t="e">
        <f>AND(#REF!,"AAAAAHd9zXA=")</f>
        <v>#REF!</v>
      </c>
      <c r="DJ36" t="e">
        <f>AND(#REF!,"AAAAAHd9zXE=")</f>
        <v>#REF!</v>
      </c>
      <c r="DK36" t="e">
        <f>AND(#REF!,"AAAAAHd9zXI=")</f>
        <v>#REF!</v>
      </c>
      <c r="DL36" t="e">
        <f>AND(#REF!,"AAAAAHd9zXM=")</f>
        <v>#REF!</v>
      </c>
      <c r="DM36" t="e">
        <f>AND(#REF!,"AAAAAHd9zXQ=")</f>
        <v>#REF!</v>
      </c>
      <c r="DN36" t="e">
        <f>AND(#REF!,"AAAAAHd9zXU=")</f>
        <v>#REF!</v>
      </c>
      <c r="DO36" t="e">
        <f>AND(#REF!,"AAAAAHd9zXY=")</f>
        <v>#REF!</v>
      </c>
      <c r="DP36" t="e">
        <f>AND(#REF!,"AAAAAHd9zXc=")</f>
        <v>#REF!</v>
      </c>
      <c r="DQ36" t="e">
        <f>AND(#REF!,"AAAAAHd9zXg=")</f>
        <v>#REF!</v>
      </c>
      <c r="DR36" t="e">
        <f>AND(#REF!,"AAAAAHd9zXk=")</f>
        <v>#REF!</v>
      </c>
      <c r="DS36" t="e">
        <f>AND(#REF!,"AAAAAHd9zXo=")</f>
        <v>#REF!</v>
      </c>
      <c r="DT36" t="e">
        <f>AND(#REF!,"AAAAAHd9zXs=")</f>
        <v>#REF!</v>
      </c>
      <c r="DU36" t="e">
        <f>AND(#REF!,"AAAAAHd9zXw=")</f>
        <v>#REF!</v>
      </c>
      <c r="DV36" t="e">
        <f>AND(#REF!,"AAAAAHd9zX0=")</f>
        <v>#REF!</v>
      </c>
      <c r="DW36" t="e">
        <f>AND(#REF!,"AAAAAHd9zX4=")</f>
        <v>#REF!</v>
      </c>
      <c r="DX36" t="e">
        <f>AND(#REF!,"AAAAAHd9zX8=")</f>
        <v>#REF!</v>
      </c>
      <c r="DY36" t="e">
        <f>AND(#REF!,"AAAAAHd9zYA=")</f>
        <v>#REF!</v>
      </c>
      <c r="DZ36" t="e">
        <f>AND(#REF!,"AAAAAHd9zYE=")</f>
        <v>#REF!</v>
      </c>
      <c r="EA36" t="e">
        <f>AND(#REF!,"AAAAAHd9zYI=")</f>
        <v>#REF!</v>
      </c>
      <c r="EB36" t="e">
        <f>AND(#REF!,"AAAAAHd9zYM=")</f>
        <v>#REF!</v>
      </c>
      <c r="EC36" t="e">
        <f>AND(#REF!,"AAAAAHd9zYQ=")</f>
        <v>#REF!</v>
      </c>
      <c r="ED36" t="e">
        <f>AND(#REF!,"AAAAAHd9zYU=")</f>
        <v>#REF!</v>
      </c>
      <c r="EE36" t="e">
        <f>AND(#REF!,"AAAAAHd9zYY=")</f>
        <v>#REF!</v>
      </c>
      <c r="EF36" t="e">
        <f>AND(#REF!,"AAAAAHd9zYc=")</f>
        <v>#REF!</v>
      </c>
      <c r="EG36" t="e">
        <f>AND(#REF!,"AAAAAHd9zYg=")</f>
        <v>#REF!</v>
      </c>
      <c r="EH36" t="e">
        <f>AND(#REF!,"AAAAAHd9zYk=")</f>
        <v>#REF!</v>
      </c>
      <c r="EI36" t="e">
        <f>AND(#REF!,"AAAAAHd9zYo=")</f>
        <v>#REF!</v>
      </c>
      <c r="EJ36" t="e">
        <f>AND(#REF!,"AAAAAHd9zYs=")</f>
        <v>#REF!</v>
      </c>
      <c r="EK36" t="e">
        <f>AND(#REF!,"AAAAAHd9zYw=")</f>
        <v>#REF!</v>
      </c>
      <c r="EL36" t="e">
        <f>AND(#REF!,"AAAAAHd9zY0=")</f>
        <v>#REF!</v>
      </c>
      <c r="EM36" t="e">
        <f>AND(#REF!,"AAAAAHd9zY4=")</f>
        <v>#REF!</v>
      </c>
      <c r="EN36" t="e">
        <f>AND(#REF!,"AAAAAHd9zY8=")</f>
        <v>#REF!</v>
      </c>
      <c r="EO36" t="e">
        <f>AND(#REF!,"AAAAAHd9zZA=")</f>
        <v>#REF!</v>
      </c>
      <c r="EP36" t="e">
        <f>AND(#REF!,"AAAAAHd9zZE=")</f>
        <v>#REF!</v>
      </c>
      <c r="EQ36" t="e">
        <f>AND(#REF!,"AAAAAHd9zZI=")</f>
        <v>#REF!</v>
      </c>
      <c r="ER36" t="e">
        <f>AND(#REF!,"AAAAAHd9zZM=")</f>
        <v>#REF!</v>
      </c>
      <c r="ES36" t="e">
        <f>AND(#REF!,"AAAAAHd9zZQ=")</f>
        <v>#REF!</v>
      </c>
      <c r="ET36" t="e">
        <f>AND(#REF!,"AAAAAHd9zZU=")</f>
        <v>#REF!</v>
      </c>
      <c r="EU36" t="e">
        <f>AND(#REF!,"AAAAAHd9zZY=")</f>
        <v>#REF!</v>
      </c>
      <c r="EV36" t="e">
        <f>AND(#REF!,"AAAAAHd9zZc=")</f>
        <v>#REF!</v>
      </c>
      <c r="EW36" t="e">
        <f>AND(#REF!,"AAAAAHd9zZg=")</f>
        <v>#REF!</v>
      </c>
      <c r="EX36" t="e">
        <f>AND(#REF!,"AAAAAHd9zZk=")</f>
        <v>#REF!</v>
      </c>
      <c r="EY36" t="e">
        <f>AND(#REF!,"AAAAAHd9zZo=")</f>
        <v>#REF!</v>
      </c>
      <c r="EZ36" t="e">
        <f>AND(#REF!,"AAAAAHd9zZs=")</f>
        <v>#REF!</v>
      </c>
      <c r="FA36" t="e">
        <f>AND(#REF!,"AAAAAHd9zZw=")</f>
        <v>#REF!</v>
      </c>
      <c r="FB36" t="e">
        <f>AND(#REF!,"AAAAAHd9zZ0=")</f>
        <v>#REF!</v>
      </c>
      <c r="FC36" t="e">
        <f>AND(#REF!,"AAAAAHd9zZ4=")</f>
        <v>#REF!</v>
      </c>
      <c r="FD36" t="e">
        <f>AND(#REF!,"AAAAAHd9zZ8=")</f>
        <v>#REF!</v>
      </c>
      <c r="FE36" t="e">
        <f>AND(#REF!,"AAAAAHd9zaA=")</f>
        <v>#REF!</v>
      </c>
      <c r="FF36" t="e">
        <f>AND(#REF!,"AAAAAHd9zaE=")</f>
        <v>#REF!</v>
      </c>
      <c r="FG36" t="e">
        <f>AND(#REF!,"AAAAAHd9zaI=")</f>
        <v>#REF!</v>
      </c>
      <c r="FH36" t="e">
        <f>AND(#REF!,"AAAAAHd9zaM=")</f>
        <v>#REF!</v>
      </c>
      <c r="FI36" t="e">
        <f>AND(#REF!,"AAAAAHd9zaQ=")</f>
        <v>#REF!</v>
      </c>
      <c r="FJ36" t="e">
        <f>AND(#REF!,"AAAAAHd9zaU=")</f>
        <v>#REF!</v>
      </c>
      <c r="FK36" t="e">
        <f>AND(#REF!,"AAAAAHd9zaY=")</f>
        <v>#REF!</v>
      </c>
      <c r="FL36" t="e">
        <f>AND(#REF!,"AAAAAHd9zac=")</f>
        <v>#REF!</v>
      </c>
      <c r="FM36" t="e">
        <f>AND(#REF!,"AAAAAHd9zag=")</f>
        <v>#REF!</v>
      </c>
      <c r="FN36" t="e">
        <f>AND(#REF!,"AAAAAHd9zak=")</f>
        <v>#REF!</v>
      </c>
      <c r="FO36" t="e">
        <f>AND(#REF!,"AAAAAHd9zao=")</f>
        <v>#REF!</v>
      </c>
      <c r="FP36" t="e">
        <f>AND(#REF!,"AAAAAHd9zas=")</f>
        <v>#REF!</v>
      </c>
      <c r="FQ36" t="e">
        <f>AND(#REF!,"AAAAAHd9zaw=")</f>
        <v>#REF!</v>
      </c>
      <c r="FR36" t="e">
        <f>AND(#REF!,"AAAAAHd9za0=")</f>
        <v>#REF!</v>
      </c>
      <c r="FS36" t="e">
        <f>AND(#REF!,"AAAAAHd9za4=")</f>
        <v>#REF!</v>
      </c>
      <c r="FT36" t="e">
        <f>AND(#REF!,"AAAAAHd9za8=")</f>
        <v>#REF!</v>
      </c>
      <c r="FU36" t="e">
        <f>AND(#REF!,"AAAAAHd9zbA=")</f>
        <v>#REF!</v>
      </c>
      <c r="FV36" t="e">
        <f>AND(#REF!,"AAAAAHd9zbE=")</f>
        <v>#REF!</v>
      </c>
      <c r="FW36" t="e">
        <f>AND(#REF!,"AAAAAHd9zbI=")</f>
        <v>#REF!</v>
      </c>
      <c r="FX36" t="e">
        <f>AND(#REF!,"AAAAAHd9zbM=")</f>
        <v>#REF!</v>
      </c>
      <c r="FY36" t="e">
        <f>AND(#REF!,"AAAAAHd9zbQ=")</f>
        <v>#REF!</v>
      </c>
      <c r="FZ36" t="e">
        <f>AND(#REF!,"AAAAAHd9zbU=")</f>
        <v>#REF!</v>
      </c>
      <c r="GA36" t="e">
        <f>AND(#REF!,"AAAAAHd9zbY=")</f>
        <v>#REF!</v>
      </c>
      <c r="GB36" t="e">
        <f>AND(#REF!,"AAAAAHd9zbc=")</f>
        <v>#REF!</v>
      </c>
      <c r="GC36" t="e">
        <f>AND(#REF!,"AAAAAHd9zbg=")</f>
        <v>#REF!</v>
      </c>
      <c r="GD36" t="e">
        <f>AND(#REF!,"AAAAAHd9zbk=")</f>
        <v>#REF!</v>
      </c>
      <c r="GE36" t="e">
        <f>AND(#REF!,"AAAAAHd9zbo=")</f>
        <v>#REF!</v>
      </c>
      <c r="GF36" t="e">
        <f>AND(#REF!,"AAAAAHd9zbs=")</f>
        <v>#REF!</v>
      </c>
      <c r="GG36" t="e">
        <f>AND(#REF!,"AAAAAHd9zbw=")</f>
        <v>#REF!</v>
      </c>
      <c r="GH36" t="e">
        <f>AND(#REF!,"AAAAAHd9zb0=")</f>
        <v>#REF!</v>
      </c>
      <c r="GI36" t="e">
        <f>AND(#REF!,"AAAAAHd9zb4=")</f>
        <v>#REF!</v>
      </c>
      <c r="GJ36" t="e">
        <f>AND(#REF!,"AAAAAHd9zb8=")</f>
        <v>#REF!</v>
      </c>
      <c r="GK36" t="e">
        <f>AND(#REF!,"AAAAAHd9zcA=")</f>
        <v>#REF!</v>
      </c>
      <c r="GL36" t="e">
        <f>AND(#REF!,"AAAAAHd9zcE=")</f>
        <v>#REF!</v>
      </c>
      <c r="GM36" t="e">
        <f>AND(#REF!,"AAAAAHd9zcI=")</f>
        <v>#REF!</v>
      </c>
      <c r="GN36" t="e">
        <f>AND(#REF!,"AAAAAHd9zcM=")</f>
        <v>#REF!</v>
      </c>
      <c r="GO36" t="e">
        <f>AND(#REF!,"AAAAAHd9zcQ=")</f>
        <v>#REF!</v>
      </c>
      <c r="GP36" t="e">
        <f>AND(#REF!,"AAAAAHd9zcU=")</f>
        <v>#REF!</v>
      </c>
      <c r="GQ36" t="e">
        <f>AND(#REF!,"AAAAAHd9zcY=")</f>
        <v>#REF!</v>
      </c>
      <c r="GR36" t="e">
        <f>AND(#REF!,"AAAAAHd9zcc=")</f>
        <v>#REF!</v>
      </c>
      <c r="GS36" t="e">
        <f>AND(#REF!,"AAAAAHd9zcg=")</f>
        <v>#REF!</v>
      </c>
      <c r="GT36" t="e">
        <f>AND(#REF!,"AAAAAHd9zck=")</f>
        <v>#REF!</v>
      </c>
      <c r="GU36" t="e">
        <f>AND(#REF!,"AAAAAHd9zco=")</f>
        <v>#REF!</v>
      </c>
      <c r="GV36" t="e">
        <f>AND(#REF!,"AAAAAHd9zcs=")</f>
        <v>#REF!</v>
      </c>
      <c r="GW36" t="e">
        <f>AND(#REF!,"AAAAAHd9zcw=")</f>
        <v>#REF!</v>
      </c>
      <c r="GX36" t="e">
        <f>AND(#REF!,"AAAAAHd9zc0=")</f>
        <v>#REF!</v>
      </c>
      <c r="GY36" t="e">
        <f>AND(#REF!,"AAAAAHd9zc4=")</f>
        <v>#REF!</v>
      </c>
      <c r="GZ36" t="e">
        <f>AND(#REF!,"AAAAAHd9zc8=")</f>
        <v>#REF!</v>
      </c>
      <c r="HA36" t="e">
        <f>AND(#REF!,"AAAAAHd9zdA=")</f>
        <v>#REF!</v>
      </c>
      <c r="HB36" t="e">
        <f>AND(#REF!,"AAAAAHd9zdE=")</f>
        <v>#REF!</v>
      </c>
      <c r="HC36" t="e">
        <f>AND(#REF!,"AAAAAHd9zdI=")</f>
        <v>#REF!</v>
      </c>
      <c r="HD36" t="e">
        <f>AND(#REF!,"AAAAAHd9zdM=")</f>
        <v>#REF!</v>
      </c>
      <c r="HE36" t="e">
        <f>AND(#REF!,"AAAAAHd9zdQ=")</f>
        <v>#REF!</v>
      </c>
      <c r="HF36" t="e">
        <f>AND(#REF!,"AAAAAHd9zdU=")</f>
        <v>#REF!</v>
      </c>
      <c r="HG36" t="e">
        <f>AND(#REF!,"AAAAAHd9zdY=")</f>
        <v>#REF!</v>
      </c>
      <c r="HH36" t="e">
        <f>AND(#REF!,"AAAAAHd9zdc=")</f>
        <v>#REF!</v>
      </c>
      <c r="HI36" t="e">
        <f>AND(#REF!,"AAAAAHd9zdg=")</f>
        <v>#REF!</v>
      </c>
      <c r="HJ36" t="e">
        <f>AND(#REF!,"AAAAAHd9zdk=")</f>
        <v>#REF!</v>
      </c>
      <c r="HK36" t="e">
        <f>AND(#REF!,"AAAAAHd9zdo=")</f>
        <v>#REF!</v>
      </c>
      <c r="HL36" t="e">
        <f>AND(#REF!,"AAAAAHd9zds=")</f>
        <v>#REF!</v>
      </c>
      <c r="HM36" t="e">
        <f>AND(#REF!,"AAAAAHd9zdw=")</f>
        <v>#REF!</v>
      </c>
      <c r="HN36" t="e">
        <f>AND(#REF!,"AAAAAHd9zd0=")</f>
        <v>#REF!</v>
      </c>
      <c r="HO36" t="e">
        <f>AND(#REF!,"AAAAAHd9zd4=")</f>
        <v>#REF!</v>
      </c>
      <c r="HP36" t="e">
        <f>AND(#REF!,"AAAAAHd9zd8=")</f>
        <v>#REF!</v>
      </c>
      <c r="HQ36" t="e">
        <f>AND(#REF!,"AAAAAHd9zeA=")</f>
        <v>#REF!</v>
      </c>
      <c r="HR36" t="e">
        <f>AND(#REF!,"AAAAAHd9zeE=")</f>
        <v>#REF!</v>
      </c>
      <c r="HS36" t="e">
        <f>AND(#REF!,"AAAAAHd9zeI=")</f>
        <v>#REF!</v>
      </c>
      <c r="HT36" t="e">
        <f>AND(#REF!,"AAAAAHd9zeM=")</f>
        <v>#REF!</v>
      </c>
      <c r="HU36" t="e">
        <f>AND(#REF!,"AAAAAHd9zeQ=")</f>
        <v>#REF!</v>
      </c>
      <c r="HV36" t="e">
        <f>AND(#REF!,"AAAAAHd9zeU=")</f>
        <v>#REF!</v>
      </c>
      <c r="HW36" t="e">
        <f>AND(#REF!,"AAAAAHd9zeY=")</f>
        <v>#REF!</v>
      </c>
      <c r="HX36" t="e">
        <f>AND(#REF!,"AAAAAHd9zec=")</f>
        <v>#REF!</v>
      </c>
      <c r="HY36" t="e">
        <f>AND(#REF!,"AAAAAHd9zeg=")</f>
        <v>#REF!</v>
      </c>
      <c r="HZ36" t="e">
        <f>AND(#REF!,"AAAAAHd9zek=")</f>
        <v>#REF!</v>
      </c>
      <c r="IA36" t="e">
        <f>AND(#REF!,"AAAAAHd9zeo=")</f>
        <v>#REF!</v>
      </c>
      <c r="IB36" t="e">
        <f>AND(#REF!,"AAAAAHd9zes=")</f>
        <v>#REF!</v>
      </c>
      <c r="IC36" t="e">
        <f>AND(#REF!,"AAAAAHd9zew=")</f>
        <v>#REF!</v>
      </c>
      <c r="ID36" t="e">
        <f>AND(#REF!,"AAAAAHd9ze0=")</f>
        <v>#REF!</v>
      </c>
      <c r="IE36" t="e">
        <f>AND(#REF!,"AAAAAHd9ze4=")</f>
        <v>#REF!</v>
      </c>
      <c r="IF36" t="e">
        <f>AND(#REF!,"AAAAAHd9ze8=")</f>
        <v>#REF!</v>
      </c>
      <c r="IG36" t="e">
        <f>AND(#REF!,"AAAAAHd9zfA=")</f>
        <v>#REF!</v>
      </c>
      <c r="IH36" t="e">
        <f>AND(#REF!,"AAAAAHd9zfE=")</f>
        <v>#REF!</v>
      </c>
      <c r="II36" t="e">
        <f>AND(#REF!,"AAAAAHd9zfI=")</f>
        <v>#REF!</v>
      </c>
      <c r="IJ36" t="e">
        <f>AND(#REF!,"AAAAAHd9zfM=")</f>
        <v>#REF!</v>
      </c>
      <c r="IK36" t="e">
        <f>AND(#REF!,"AAAAAHd9zfQ=")</f>
        <v>#REF!</v>
      </c>
      <c r="IL36" t="e">
        <f>AND(#REF!,"AAAAAHd9zfU=")</f>
        <v>#REF!</v>
      </c>
      <c r="IM36" t="e">
        <f>AND(#REF!,"AAAAAHd9zfY=")</f>
        <v>#REF!</v>
      </c>
      <c r="IN36" t="e">
        <f>AND(#REF!,"AAAAAHd9zfc=")</f>
        <v>#REF!</v>
      </c>
      <c r="IO36" t="e">
        <f>AND(#REF!,"AAAAAHd9zfg=")</f>
        <v>#REF!</v>
      </c>
      <c r="IP36" t="e">
        <f>AND(#REF!,"AAAAAHd9zfk=")</f>
        <v>#REF!</v>
      </c>
      <c r="IQ36" t="e">
        <f>AND(#REF!,"AAAAAHd9zfo=")</f>
        <v>#REF!</v>
      </c>
      <c r="IR36" t="e">
        <f>AND(#REF!,"AAAAAHd9zfs=")</f>
        <v>#REF!</v>
      </c>
      <c r="IS36" t="e">
        <f>AND(#REF!,"AAAAAHd9zfw=")</f>
        <v>#REF!</v>
      </c>
      <c r="IT36" t="e">
        <f>AND(#REF!,"AAAAAHd9zf0=")</f>
        <v>#REF!</v>
      </c>
      <c r="IU36" t="e">
        <f>AND(#REF!,"AAAAAHd9zf4=")</f>
        <v>#REF!</v>
      </c>
      <c r="IV36" t="e">
        <f>AND(#REF!,"AAAAAHd9zf8=")</f>
        <v>#REF!</v>
      </c>
    </row>
    <row r="37" spans="1:256">
      <c r="A37" t="e">
        <f>AND(#REF!,"AAAAAFtpfwA=")</f>
        <v>#REF!</v>
      </c>
      <c r="B37" t="e">
        <f>AND(#REF!,"AAAAAFtpfwE=")</f>
        <v>#REF!</v>
      </c>
      <c r="C37" t="e">
        <f>AND(#REF!,"AAAAAFtpfwI=")</f>
        <v>#REF!</v>
      </c>
      <c r="D37" t="e">
        <f>AND(#REF!,"AAAAAFtpfwM=")</f>
        <v>#REF!</v>
      </c>
      <c r="E37" t="e">
        <f>AND(#REF!,"AAAAAFtpfwQ=")</f>
        <v>#REF!</v>
      </c>
      <c r="F37" t="e">
        <f>AND(#REF!,"AAAAAFtpfwU=")</f>
        <v>#REF!</v>
      </c>
      <c r="G37" t="e">
        <f>AND(#REF!,"AAAAAFtpfwY=")</f>
        <v>#REF!</v>
      </c>
      <c r="H37" t="e">
        <f>AND(#REF!,"AAAAAFtpfwc=")</f>
        <v>#REF!</v>
      </c>
      <c r="I37" t="e">
        <f>AND(#REF!,"AAAAAFtpfwg=")</f>
        <v>#REF!</v>
      </c>
      <c r="J37" t="e">
        <f>AND(#REF!,"AAAAAFtpfwk=")</f>
        <v>#REF!</v>
      </c>
      <c r="K37" t="e">
        <f>AND(#REF!,"AAAAAFtpfwo=")</f>
        <v>#REF!</v>
      </c>
      <c r="L37" t="e">
        <f>AND(#REF!,"AAAAAFtpfws=")</f>
        <v>#REF!</v>
      </c>
      <c r="M37" t="e">
        <f>AND(#REF!,"AAAAAFtpfww=")</f>
        <v>#REF!</v>
      </c>
      <c r="N37" t="e">
        <f>AND(#REF!,"AAAAAFtpfw0=")</f>
        <v>#REF!</v>
      </c>
      <c r="O37" t="e">
        <f>AND(#REF!,"AAAAAFtpfw4=")</f>
        <v>#REF!</v>
      </c>
      <c r="P37" t="e">
        <f>AND(#REF!,"AAAAAFtpfw8=")</f>
        <v>#REF!</v>
      </c>
      <c r="Q37" t="e">
        <f>AND(#REF!,"AAAAAFtpfxA=")</f>
        <v>#REF!</v>
      </c>
      <c r="R37" t="e">
        <f>AND(#REF!,"AAAAAFtpfxE=")</f>
        <v>#REF!</v>
      </c>
      <c r="S37" t="e">
        <f>AND(#REF!,"AAAAAFtpfxI=")</f>
        <v>#REF!</v>
      </c>
      <c r="T37" t="e">
        <f>AND(#REF!,"AAAAAFtpfxM=")</f>
        <v>#REF!</v>
      </c>
      <c r="U37" t="e">
        <f>AND(#REF!,"AAAAAFtpfxQ=")</f>
        <v>#REF!</v>
      </c>
      <c r="V37" t="e">
        <f>AND(#REF!,"AAAAAFtpfxU=")</f>
        <v>#REF!</v>
      </c>
      <c r="W37" t="e">
        <f>AND(#REF!,"AAAAAFtpfxY=")</f>
        <v>#REF!</v>
      </c>
      <c r="X37" t="e">
        <f>AND(#REF!,"AAAAAFtpfxc=")</f>
        <v>#REF!</v>
      </c>
      <c r="Y37" t="e">
        <f>AND(#REF!,"AAAAAFtpfxg=")</f>
        <v>#REF!</v>
      </c>
      <c r="Z37" t="e">
        <f>AND(#REF!,"AAAAAFtpfxk=")</f>
        <v>#REF!</v>
      </c>
      <c r="AA37" t="e">
        <f>AND(#REF!,"AAAAAFtpfxo=")</f>
        <v>#REF!</v>
      </c>
      <c r="AB37" t="e">
        <f>AND(#REF!,"AAAAAFtpfxs=")</f>
        <v>#REF!</v>
      </c>
      <c r="AC37" t="e">
        <f>AND(#REF!,"AAAAAFtpfxw=")</f>
        <v>#REF!</v>
      </c>
      <c r="AD37" t="e">
        <f>AND(#REF!,"AAAAAFtpfx0=")</f>
        <v>#REF!</v>
      </c>
      <c r="AE37" t="e">
        <f>AND(#REF!,"AAAAAFtpfx4=")</f>
        <v>#REF!</v>
      </c>
      <c r="AF37" t="e">
        <f>AND(#REF!,"AAAAAFtpfx8=")</f>
        <v>#REF!</v>
      </c>
      <c r="AG37" t="e">
        <f>AND(#REF!,"AAAAAFtpfyA=")</f>
        <v>#REF!</v>
      </c>
      <c r="AH37" t="e">
        <f>AND(#REF!,"AAAAAFtpfyE=")</f>
        <v>#REF!</v>
      </c>
      <c r="AI37" t="e">
        <f>AND(#REF!,"AAAAAFtpfyI=")</f>
        <v>#REF!</v>
      </c>
      <c r="AJ37" t="e">
        <f>AND(#REF!,"AAAAAFtpfyM=")</f>
        <v>#REF!</v>
      </c>
      <c r="AK37" t="e">
        <f>AND(#REF!,"AAAAAFtpfyQ=")</f>
        <v>#REF!</v>
      </c>
      <c r="AL37" t="e">
        <f>AND(#REF!,"AAAAAFtpfyU=")</f>
        <v>#REF!</v>
      </c>
      <c r="AM37" t="e">
        <f>AND(#REF!,"AAAAAFtpfyY=")</f>
        <v>#REF!</v>
      </c>
      <c r="AN37" t="e">
        <f>AND(#REF!,"AAAAAFtpfyc=")</f>
        <v>#REF!</v>
      </c>
      <c r="AO37" t="e">
        <f>AND(#REF!,"AAAAAFtpfyg=")</f>
        <v>#REF!</v>
      </c>
      <c r="AP37" t="e">
        <f>AND(#REF!,"AAAAAFtpfyk=")</f>
        <v>#REF!</v>
      </c>
      <c r="AQ37" t="e">
        <f>AND(#REF!,"AAAAAFtpfyo=")</f>
        <v>#REF!</v>
      </c>
      <c r="AR37" t="e">
        <f>AND(#REF!,"AAAAAFtpfys=")</f>
        <v>#REF!</v>
      </c>
      <c r="AS37" t="e">
        <f>AND(#REF!,"AAAAAFtpfyw=")</f>
        <v>#REF!</v>
      </c>
      <c r="AT37" t="e">
        <f>AND(#REF!,"AAAAAFtpfy0=")</f>
        <v>#REF!</v>
      </c>
      <c r="AU37" t="e">
        <f>AND(#REF!,"AAAAAFtpfy4=")</f>
        <v>#REF!</v>
      </c>
      <c r="AV37" t="e">
        <f>AND(#REF!,"AAAAAFtpfy8=")</f>
        <v>#REF!</v>
      </c>
      <c r="AW37" t="e">
        <f>AND(#REF!,"AAAAAFtpfzA=")</f>
        <v>#REF!</v>
      </c>
      <c r="AX37" t="e">
        <f>AND(#REF!,"AAAAAFtpfzE=")</f>
        <v>#REF!</v>
      </c>
      <c r="AY37" t="e">
        <f>AND(#REF!,"AAAAAFtpfzI=")</f>
        <v>#REF!</v>
      </c>
      <c r="AZ37" t="e">
        <f>AND(#REF!,"AAAAAFtpfzM=")</f>
        <v>#REF!</v>
      </c>
      <c r="BA37" t="e">
        <f>AND(#REF!,"AAAAAFtpfzQ=")</f>
        <v>#REF!</v>
      </c>
      <c r="BB37" t="e">
        <f>AND(#REF!,"AAAAAFtpfzU=")</f>
        <v>#REF!</v>
      </c>
      <c r="BC37" t="e">
        <f>AND(#REF!,"AAAAAFtpfzY=")</f>
        <v>#REF!</v>
      </c>
      <c r="BD37" t="e">
        <f>AND(#REF!,"AAAAAFtpfzc=")</f>
        <v>#REF!</v>
      </c>
      <c r="BE37" t="e">
        <f>AND(#REF!,"AAAAAFtpfzg=")</f>
        <v>#REF!</v>
      </c>
      <c r="BF37" t="e">
        <f>AND(#REF!,"AAAAAFtpfzk=")</f>
        <v>#REF!</v>
      </c>
      <c r="BG37" t="e">
        <f>AND(#REF!,"AAAAAFtpfzo=")</f>
        <v>#REF!</v>
      </c>
      <c r="BH37" t="e">
        <f>AND(#REF!,"AAAAAFtpfzs=")</f>
        <v>#REF!</v>
      </c>
      <c r="BI37" t="e">
        <f>AND(#REF!,"AAAAAFtpfzw=")</f>
        <v>#REF!</v>
      </c>
      <c r="BJ37" t="e">
        <f>AND(#REF!,"AAAAAFtpfz0=")</f>
        <v>#REF!</v>
      </c>
      <c r="BK37" t="e">
        <f>AND(#REF!,"AAAAAFtpfz4=")</f>
        <v>#REF!</v>
      </c>
      <c r="BL37" t="e">
        <f>AND(#REF!,"AAAAAFtpfz8=")</f>
        <v>#REF!</v>
      </c>
      <c r="BM37" t="e">
        <f>AND(#REF!,"AAAAAFtpf0A=")</f>
        <v>#REF!</v>
      </c>
      <c r="BN37" t="e">
        <f>AND(#REF!,"AAAAAFtpf0E=")</f>
        <v>#REF!</v>
      </c>
      <c r="BO37" t="e">
        <f>AND(#REF!,"AAAAAFtpf0I=")</f>
        <v>#REF!</v>
      </c>
      <c r="BP37" t="e">
        <f>AND(#REF!,"AAAAAFtpf0M=")</f>
        <v>#REF!</v>
      </c>
      <c r="BQ37" t="e">
        <f>AND(#REF!,"AAAAAFtpf0Q=")</f>
        <v>#REF!</v>
      </c>
      <c r="BR37" t="e">
        <f>AND(#REF!,"AAAAAFtpf0U=")</f>
        <v>#REF!</v>
      </c>
      <c r="BS37" t="e">
        <f>AND(#REF!,"AAAAAFtpf0Y=")</f>
        <v>#REF!</v>
      </c>
      <c r="BT37" t="e">
        <f>AND(#REF!,"AAAAAFtpf0c=")</f>
        <v>#REF!</v>
      </c>
      <c r="BU37" t="e">
        <f>AND(#REF!,"AAAAAFtpf0g=")</f>
        <v>#REF!</v>
      </c>
      <c r="BV37" t="e">
        <f>AND(#REF!,"AAAAAFtpf0k=")</f>
        <v>#REF!</v>
      </c>
      <c r="BW37" t="e">
        <f>AND(#REF!,"AAAAAFtpf0o=")</f>
        <v>#REF!</v>
      </c>
      <c r="BX37" t="e">
        <f>AND(#REF!,"AAAAAFtpf0s=")</f>
        <v>#REF!</v>
      </c>
      <c r="BY37" t="e">
        <f>AND(#REF!,"AAAAAFtpf0w=")</f>
        <v>#REF!</v>
      </c>
      <c r="BZ37" t="e">
        <f>AND(#REF!,"AAAAAFtpf00=")</f>
        <v>#REF!</v>
      </c>
      <c r="CA37" t="e">
        <f>AND(#REF!,"AAAAAFtpf04=")</f>
        <v>#REF!</v>
      </c>
      <c r="CB37" t="e">
        <f>AND(#REF!,"AAAAAFtpf08=")</f>
        <v>#REF!</v>
      </c>
      <c r="CC37" t="e">
        <f>AND(#REF!,"AAAAAFtpf1A=")</f>
        <v>#REF!</v>
      </c>
      <c r="CD37" t="e">
        <f>AND(#REF!,"AAAAAFtpf1E=")</f>
        <v>#REF!</v>
      </c>
      <c r="CE37" t="e">
        <f>AND(#REF!,"AAAAAFtpf1I=")</f>
        <v>#REF!</v>
      </c>
      <c r="CF37" t="e">
        <f>AND(#REF!,"AAAAAFtpf1M=")</f>
        <v>#REF!</v>
      </c>
      <c r="CG37" t="e">
        <f>AND(#REF!,"AAAAAFtpf1Q=")</f>
        <v>#REF!</v>
      </c>
      <c r="CH37" t="e">
        <f>AND(#REF!,"AAAAAFtpf1U=")</f>
        <v>#REF!</v>
      </c>
      <c r="CI37" t="e">
        <f>AND(#REF!,"AAAAAFtpf1Y=")</f>
        <v>#REF!</v>
      </c>
      <c r="CJ37" t="e">
        <f>AND(#REF!,"AAAAAFtpf1c=")</f>
        <v>#REF!</v>
      </c>
      <c r="CK37" t="e">
        <f>AND(#REF!,"AAAAAFtpf1g=")</f>
        <v>#REF!</v>
      </c>
      <c r="CL37" t="e">
        <f>AND(#REF!,"AAAAAFtpf1k=")</f>
        <v>#REF!</v>
      </c>
      <c r="CM37" t="e">
        <f>AND(#REF!,"AAAAAFtpf1o=")</f>
        <v>#REF!</v>
      </c>
      <c r="CN37" t="e">
        <f>AND(#REF!,"AAAAAFtpf1s=")</f>
        <v>#REF!</v>
      </c>
      <c r="CO37" t="e">
        <f>AND(#REF!,"AAAAAFtpf1w=")</f>
        <v>#REF!</v>
      </c>
      <c r="CP37" t="e">
        <f>AND(#REF!,"AAAAAFtpf10=")</f>
        <v>#REF!</v>
      </c>
      <c r="CQ37" t="e">
        <f>AND(#REF!,"AAAAAFtpf14=")</f>
        <v>#REF!</v>
      </c>
      <c r="CR37" t="e">
        <f>AND(#REF!,"AAAAAFtpf18=")</f>
        <v>#REF!</v>
      </c>
      <c r="CS37" t="e">
        <f>AND(#REF!,"AAAAAFtpf2A=")</f>
        <v>#REF!</v>
      </c>
      <c r="CT37" t="e">
        <f>AND(#REF!,"AAAAAFtpf2E=")</f>
        <v>#REF!</v>
      </c>
      <c r="CU37" t="e">
        <f>AND(#REF!,"AAAAAFtpf2I=")</f>
        <v>#REF!</v>
      </c>
      <c r="CV37" t="e">
        <f>AND(#REF!,"AAAAAFtpf2M=")</f>
        <v>#REF!</v>
      </c>
      <c r="CW37" t="e">
        <f>AND(#REF!,"AAAAAFtpf2Q=")</f>
        <v>#REF!</v>
      </c>
      <c r="CX37" t="e">
        <f>AND(#REF!,"AAAAAFtpf2U=")</f>
        <v>#REF!</v>
      </c>
      <c r="CY37" t="e">
        <f>AND(#REF!,"AAAAAFtpf2Y=")</f>
        <v>#REF!</v>
      </c>
      <c r="CZ37" t="e">
        <f>AND(#REF!,"AAAAAFtpf2c=")</f>
        <v>#REF!</v>
      </c>
      <c r="DA37" t="e">
        <f>AND(#REF!,"AAAAAFtpf2g=")</f>
        <v>#REF!</v>
      </c>
      <c r="DB37" t="e">
        <f>AND(#REF!,"AAAAAFtpf2k=")</f>
        <v>#REF!</v>
      </c>
      <c r="DC37" t="e">
        <f>AND(#REF!,"AAAAAFtpf2o=")</f>
        <v>#REF!</v>
      </c>
      <c r="DD37" t="e">
        <f>AND(#REF!,"AAAAAFtpf2s=")</f>
        <v>#REF!</v>
      </c>
      <c r="DE37" t="e">
        <f>AND(#REF!,"AAAAAFtpf2w=")</f>
        <v>#REF!</v>
      </c>
      <c r="DF37" t="e">
        <f>AND(#REF!,"AAAAAFtpf20=")</f>
        <v>#REF!</v>
      </c>
      <c r="DG37" t="e">
        <f>AND(#REF!,"AAAAAFtpf24=")</f>
        <v>#REF!</v>
      </c>
      <c r="DH37" t="e">
        <f>AND(#REF!,"AAAAAFtpf28=")</f>
        <v>#REF!</v>
      </c>
      <c r="DI37" t="e">
        <f>AND(#REF!,"AAAAAFtpf3A=")</f>
        <v>#REF!</v>
      </c>
      <c r="DJ37" t="e">
        <f>AND(#REF!,"AAAAAFtpf3E=")</f>
        <v>#REF!</v>
      </c>
      <c r="DK37" t="e">
        <f>AND(#REF!,"AAAAAFtpf3I=")</f>
        <v>#REF!</v>
      </c>
      <c r="DL37" t="e">
        <f>AND(#REF!,"AAAAAFtpf3M=")</f>
        <v>#REF!</v>
      </c>
      <c r="DM37" t="e">
        <f>AND(#REF!,"AAAAAFtpf3Q=")</f>
        <v>#REF!</v>
      </c>
      <c r="DN37" t="e">
        <f>AND(#REF!,"AAAAAFtpf3U=")</f>
        <v>#REF!</v>
      </c>
      <c r="DO37" t="e">
        <f>AND(#REF!,"AAAAAFtpf3Y=")</f>
        <v>#REF!</v>
      </c>
      <c r="DP37" t="e">
        <f>AND(#REF!,"AAAAAFtpf3c=")</f>
        <v>#REF!</v>
      </c>
      <c r="DQ37" t="e">
        <f>AND(#REF!,"AAAAAFtpf3g=")</f>
        <v>#REF!</v>
      </c>
      <c r="DR37" t="e">
        <f>AND(#REF!,"AAAAAFtpf3k=")</f>
        <v>#REF!</v>
      </c>
      <c r="DS37" t="e">
        <f>AND(#REF!,"AAAAAFtpf3o=")</f>
        <v>#REF!</v>
      </c>
      <c r="DT37" t="e">
        <f>AND(#REF!,"AAAAAFtpf3s=")</f>
        <v>#REF!</v>
      </c>
      <c r="DU37" t="e">
        <f>AND(#REF!,"AAAAAFtpf3w=")</f>
        <v>#REF!</v>
      </c>
      <c r="DV37" t="e">
        <f>AND(#REF!,"AAAAAFtpf30=")</f>
        <v>#REF!</v>
      </c>
      <c r="DW37" t="e">
        <f>AND(#REF!,"AAAAAFtpf34=")</f>
        <v>#REF!</v>
      </c>
      <c r="DX37" t="e">
        <f>AND(#REF!,"AAAAAFtpf38=")</f>
        <v>#REF!</v>
      </c>
      <c r="DY37" t="e">
        <f>AND(#REF!,"AAAAAFtpf4A=")</f>
        <v>#REF!</v>
      </c>
      <c r="DZ37" t="e">
        <f>AND(#REF!,"AAAAAFtpf4E=")</f>
        <v>#REF!</v>
      </c>
      <c r="EA37" t="e">
        <f>AND(#REF!,"AAAAAFtpf4I=")</f>
        <v>#REF!</v>
      </c>
      <c r="EB37" t="e">
        <f>AND(#REF!,"AAAAAFtpf4M=")</f>
        <v>#REF!</v>
      </c>
      <c r="EC37" t="e">
        <f>AND(#REF!,"AAAAAFtpf4Q=")</f>
        <v>#REF!</v>
      </c>
      <c r="ED37" t="e">
        <f>AND(#REF!,"AAAAAFtpf4U=")</f>
        <v>#REF!</v>
      </c>
      <c r="EE37" t="e">
        <f>AND(#REF!,"AAAAAFtpf4Y=")</f>
        <v>#REF!</v>
      </c>
      <c r="EF37" t="e">
        <f>AND(#REF!,"AAAAAFtpf4c=")</f>
        <v>#REF!</v>
      </c>
      <c r="EG37" t="e">
        <f>AND(#REF!,"AAAAAFtpf4g=")</f>
        <v>#REF!</v>
      </c>
      <c r="EH37" t="e">
        <f>AND(#REF!,"AAAAAFtpf4k=")</f>
        <v>#REF!</v>
      </c>
      <c r="EI37" t="e">
        <f>AND(#REF!,"AAAAAFtpf4o=")</f>
        <v>#REF!</v>
      </c>
      <c r="EJ37" t="e">
        <f>AND(#REF!,"AAAAAFtpf4s=")</f>
        <v>#REF!</v>
      </c>
      <c r="EK37" t="e">
        <f>AND(#REF!,"AAAAAFtpf4w=")</f>
        <v>#REF!</v>
      </c>
      <c r="EL37" t="e">
        <f>AND(#REF!,"AAAAAFtpf40=")</f>
        <v>#REF!</v>
      </c>
      <c r="EM37" t="e">
        <f>AND(#REF!,"AAAAAFtpf44=")</f>
        <v>#REF!</v>
      </c>
      <c r="EN37" t="e">
        <f>AND(#REF!,"AAAAAFtpf48=")</f>
        <v>#REF!</v>
      </c>
      <c r="EO37" t="e">
        <f>AND(#REF!,"AAAAAFtpf5A=")</f>
        <v>#REF!</v>
      </c>
      <c r="EP37" t="e">
        <f>AND(#REF!,"AAAAAFtpf5E=")</f>
        <v>#REF!</v>
      </c>
      <c r="EQ37" t="e">
        <f>AND(#REF!,"AAAAAFtpf5I=")</f>
        <v>#REF!</v>
      </c>
      <c r="ER37" t="e">
        <f>AND(#REF!,"AAAAAFtpf5M=")</f>
        <v>#REF!</v>
      </c>
      <c r="ES37" t="e">
        <f>AND(#REF!,"AAAAAFtpf5Q=")</f>
        <v>#REF!</v>
      </c>
      <c r="ET37" t="e">
        <f>AND(#REF!,"AAAAAFtpf5U=")</f>
        <v>#REF!</v>
      </c>
      <c r="EU37" t="e">
        <f>AND(#REF!,"AAAAAFtpf5Y=")</f>
        <v>#REF!</v>
      </c>
      <c r="EV37" t="e">
        <f>AND(#REF!,"AAAAAFtpf5c=")</f>
        <v>#REF!</v>
      </c>
      <c r="EW37" t="e">
        <f>AND(#REF!,"AAAAAFtpf5g=")</f>
        <v>#REF!</v>
      </c>
      <c r="EX37" t="e">
        <f>AND(#REF!,"AAAAAFtpf5k=")</f>
        <v>#REF!</v>
      </c>
      <c r="EY37" t="e">
        <f>AND(#REF!,"AAAAAFtpf5o=")</f>
        <v>#REF!</v>
      </c>
      <c r="EZ37" t="e">
        <f>AND(#REF!,"AAAAAFtpf5s=")</f>
        <v>#REF!</v>
      </c>
      <c r="FA37" t="e">
        <f>AND(#REF!,"AAAAAFtpf5w=")</f>
        <v>#REF!</v>
      </c>
      <c r="FB37" t="e">
        <f>AND(#REF!,"AAAAAFtpf50=")</f>
        <v>#REF!</v>
      </c>
      <c r="FC37" t="e">
        <f>AND(#REF!,"AAAAAFtpf54=")</f>
        <v>#REF!</v>
      </c>
      <c r="FD37" t="e">
        <f>AND(#REF!,"AAAAAFtpf58=")</f>
        <v>#REF!</v>
      </c>
      <c r="FE37" t="e">
        <f>AND(#REF!,"AAAAAFtpf6A=")</f>
        <v>#REF!</v>
      </c>
      <c r="FF37" t="e">
        <f>AND(#REF!,"AAAAAFtpf6E=")</f>
        <v>#REF!</v>
      </c>
      <c r="FG37" t="e">
        <f>AND(#REF!,"AAAAAFtpf6I=")</f>
        <v>#REF!</v>
      </c>
      <c r="FH37" t="e">
        <f>AND(#REF!,"AAAAAFtpf6M=")</f>
        <v>#REF!</v>
      </c>
      <c r="FI37" t="e">
        <f>AND(#REF!,"AAAAAFtpf6Q=")</f>
        <v>#REF!</v>
      </c>
      <c r="FJ37" t="e">
        <f>AND(#REF!,"AAAAAFtpf6U=")</f>
        <v>#REF!</v>
      </c>
      <c r="FK37" t="e">
        <f>AND(#REF!,"AAAAAFtpf6Y=")</f>
        <v>#REF!</v>
      </c>
      <c r="FL37" t="e">
        <f>AND(#REF!,"AAAAAFtpf6c=")</f>
        <v>#REF!</v>
      </c>
      <c r="FM37" t="e">
        <f>AND(#REF!,"AAAAAFtpf6g=")</f>
        <v>#REF!</v>
      </c>
      <c r="FN37" t="e">
        <f>AND(#REF!,"AAAAAFtpf6k=")</f>
        <v>#REF!</v>
      </c>
      <c r="FO37" t="e">
        <f>AND(#REF!,"AAAAAFtpf6o=")</f>
        <v>#REF!</v>
      </c>
      <c r="FP37" t="e">
        <f>AND(#REF!,"AAAAAFtpf6s=")</f>
        <v>#REF!</v>
      </c>
      <c r="FQ37" t="e">
        <f>AND(#REF!,"AAAAAFtpf6w=")</f>
        <v>#REF!</v>
      </c>
      <c r="FR37" t="e">
        <f>AND(#REF!,"AAAAAFtpf60=")</f>
        <v>#REF!</v>
      </c>
      <c r="FS37" t="e">
        <f>AND(#REF!,"AAAAAFtpf64=")</f>
        <v>#REF!</v>
      </c>
      <c r="FT37" t="e">
        <f>AND(#REF!,"AAAAAFtpf68=")</f>
        <v>#REF!</v>
      </c>
      <c r="FU37" t="e">
        <f>AND(#REF!,"AAAAAFtpf7A=")</f>
        <v>#REF!</v>
      </c>
      <c r="FV37" t="e">
        <f>AND(#REF!,"AAAAAFtpf7E=")</f>
        <v>#REF!</v>
      </c>
      <c r="FW37" t="e">
        <f>AND(#REF!,"AAAAAFtpf7I=")</f>
        <v>#REF!</v>
      </c>
      <c r="FX37" t="e">
        <f>AND(#REF!,"AAAAAFtpf7M=")</f>
        <v>#REF!</v>
      </c>
      <c r="FY37" t="e">
        <f>AND(#REF!,"AAAAAFtpf7Q=")</f>
        <v>#REF!</v>
      </c>
      <c r="FZ37" t="e">
        <f>AND(#REF!,"AAAAAFtpf7U=")</f>
        <v>#REF!</v>
      </c>
      <c r="GA37" t="e">
        <f>AND(#REF!,"AAAAAFtpf7Y=")</f>
        <v>#REF!</v>
      </c>
      <c r="GB37" t="e">
        <f>AND(#REF!,"AAAAAFtpf7c=")</f>
        <v>#REF!</v>
      </c>
      <c r="GC37" t="e">
        <f>AND(#REF!,"AAAAAFtpf7g=")</f>
        <v>#REF!</v>
      </c>
      <c r="GD37" t="e">
        <f>AND(#REF!,"AAAAAFtpf7k=")</f>
        <v>#REF!</v>
      </c>
      <c r="GE37" t="e">
        <f>AND(#REF!,"AAAAAFtpf7o=")</f>
        <v>#REF!</v>
      </c>
      <c r="GF37" t="e">
        <f>AND(#REF!,"AAAAAFtpf7s=")</f>
        <v>#REF!</v>
      </c>
      <c r="GG37" t="e">
        <f>AND(#REF!,"AAAAAFtpf7w=")</f>
        <v>#REF!</v>
      </c>
      <c r="GH37" t="e">
        <f>AND(#REF!,"AAAAAFtpf70=")</f>
        <v>#REF!</v>
      </c>
      <c r="GI37" t="e">
        <f>AND(#REF!,"AAAAAFtpf74=")</f>
        <v>#REF!</v>
      </c>
      <c r="GJ37" t="e">
        <f>AND(#REF!,"AAAAAFtpf78=")</f>
        <v>#REF!</v>
      </c>
      <c r="GK37" t="e">
        <f>AND(#REF!,"AAAAAFtpf8A=")</f>
        <v>#REF!</v>
      </c>
      <c r="GL37" t="e">
        <f>AND(#REF!,"AAAAAFtpf8E=")</f>
        <v>#REF!</v>
      </c>
      <c r="GM37" t="e">
        <f>AND(#REF!,"AAAAAFtpf8I=")</f>
        <v>#REF!</v>
      </c>
      <c r="GN37" t="e">
        <f>AND(#REF!,"AAAAAFtpf8M=")</f>
        <v>#REF!</v>
      </c>
      <c r="GO37" t="e">
        <f>AND(#REF!,"AAAAAFtpf8Q=")</f>
        <v>#REF!</v>
      </c>
      <c r="GP37" t="e">
        <f>AND(#REF!,"AAAAAFtpf8U=")</f>
        <v>#REF!</v>
      </c>
      <c r="GQ37" t="e">
        <f>AND(#REF!,"AAAAAFtpf8Y=")</f>
        <v>#REF!</v>
      </c>
      <c r="GR37" t="e">
        <f>AND(#REF!,"AAAAAFtpf8c=")</f>
        <v>#REF!</v>
      </c>
      <c r="GS37" t="e">
        <f>AND(#REF!,"AAAAAFtpf8g=")</f>
        <v>#REF!</v>
      </c>
      <c r="GT37" t="e">
        <f>AND(#REF!,"AAAAAFtpf8k=")</f>
        <v>#REF!</v>
      </c>
      <c r="GU37" t="e">
        <f>AND(#REF!,"AAAAAFtpf8o=")</f>
        <v>#REF!</v>
      </c>
      <c r="GV37" t="e">
        <f>AND(#REF!,"AAAAAFtpf8s=")</f>
        <v>#REF!</v>
      </c>
      <c r="GW37" t="e">
        <f>AND(#REF!,"AAAAAFtpf8w=")</f>
        <v>#REF!</v>
      </c>
      <c r="GX37" t="e">
        <f>AND(#REF!,"AAAAAFtpf80=")</f>
        <v>#REF!</v>
      </c>
      <c r="GY37" t="e">
        <f>AND(#REF!,"AAAAAFtpf84=")</f>
        <v>#REF!</v>
      </c>
      <c r="GZ37" t="e">
        <f>AND(#REF!,"AAAAAFtpf88=")</f>
        <v>#REF!</v>
      </c>
      <c r="HA37" t="e">
        <f>AND(#REF!,"AAAAAFtpf9A=")</f>
        <v>#REF!</v>
      </c>
      <c r="HB37" t="e">
        <f>AND(#REF!,"AAAAAFtpf9E=")</f>
        <v>#REF!</v>
      </c>
      <c r="HC37" t="e">
        <f>AND(#REF!,"AAAAAFtpf9I=")</f>
        <v>#REF!</v>
      </c>
      <c r="HD37" t="e">
        <f>AND(#REF!,"AAAAAFtpf9M=")</f>
        <v>#REF!</v>
      </c>
      <c r="HE37" t="e">
        <f>AND(#REF!,"AAAAAFtpf9Q=")</f>
        <v>#REF!</v>
      </c>
      <c r="HF37" t="e">
        <f>AND(#REF!,"AAAAAFtpf9U=")</f>
        <v>#REF!</v>
      </c>
      <c r="HG37" t="e">
        <f>AND(#REF!,"AAAAAFtpf9Y=")</f>
        <v>#REF!</v>
      </c>
      <c r="HH37" t="e">
        <f>AND(#REF!,"AAAAAFtpf9c=")</f>
        <v>#REF!</v>
      </c>
      <c r="HI37" t="e">
        <f>AND(#REF!,"AAAAAFtpf9g=")</f>
        <v>#REF!</v>
      </c>
      <c r="HJ37" t="e">
        <f>AND(#REF!,"AAAAAFtpf9k=")</f>
        <v>#REF!</v>
      </c>
      <c r="HK37" t="e">
        <f>AND(#REF!,"AAAAAFtpf9o=")</f>
        <v>#REF!</v>
      </c>
      <c r="HL37" t="e">
        <f>AND(#REF!,"AAAAAFtpf9s=")</f>
        <v>#REF!</v>
      </c>
      <c r="HM37" t="e">
        <f>AND(#REF!,"AAAAAFtpf9w=")</f>
        <v>#REF!</v>
      </c>
      <c r="HN37" t="e">
        <f>AND(#REF!,"AAAAAFtpf90=")</f>
        <v>#REF!</v>
      </c>
      <c r="HO37" t="e">
        <f>AND(#REF!,"AAAAAFtpf94=")</f>
        <v>#REF!</v>
      </c>
      <c r="HP37" t="e">
        <f>AND(#REF!,"AAAAAFtpf98=")</f>
        <v>#REF!</v>
      </c>
      <c r="HQ37" t="e">
        <f>AND(#REF!,"AAAAAFtpf+A=")</f>
        <v>#REF!</v>
      </c>
      <c r="HR37" t="e">
        <f>AND(#REF!,"AAAAAFtpf+E=")</f>
        <v>#REF!</v>
      </c>
      <c r="HS37" t="e">
        <f>AND(#REF!,"AAAAAFtpf+I=")</f>
        <v>#REF!</v>
      </c>
      <c r="HT37" t="e">
        <f>AND(#REF!,"AAAAAFtpf+M=")</f>
        <v>#REF!</v>
      </c>
      <c r="HU37" t="e">
        <f>AND(#REF!,"AAAAAFtpf+Q=")</f>
        <v>#REF!</v>
      </c>
      <c r="HV37" t="e">
        <f>AND(#REF!,"AAAAAFtpf+U=")</f>
        <v>#REF!</v>
      </c>
      <c r="HW37" t="e">
        <f>AND(#REF!,"AAAAAFtpf+Y=")</f>
        <v>#REF!</v>
      </c>
      <c r="HX37" t="e">
        <f>AND(#REF!,"AAAAAFtpf+c=")</f>
        <v>#REF!</v>
      </c>
      <c r="HY37" t="e">
        <f>AND(#REF!,"AAAAAFtpf+g=")</f>
        <v>#REF!</v>
      </c>
      <c r="HZ37" t="e">
        <f>AND(#REF!,"AAAAAFtpf+k=")</f>
        <v>#REF!</v>
      </c>
      <c r="IA37" t="e">
        <f>AND(#REF!,"AAAAAFtpf+o=")</f>
        <v>#REF!</v>
      </c>
      <c r="IB37" t="e">
        <f>AND(#REF!,"AAAAAFtpf+s=")</f>
        <v>#REF!</v>
      </c>
      <c r="IC37" t="e">
        <f>AND(#REF!,"AAAAAFtpf+w=")</f>
        <v>#REF!</v>
      </c>
      <c r="ID37" t="e">
        <f>AND(#REF!,"AAAAAFtpf+0=")</f>
        <v>#REF!</v>
      </c>
      <c r="IE37" t="e">
        <f>AND(#REF!,"AAAAAFtpf+4=")</f>
        <v>#REF!</v>
      </c>
      <c r="IF37" t="e">
        <f>AND(#REF!,"AAAAAFtpf+8=")</f>
        <v>#REF!</v>
      </c>
      <c r="IG37" t="e">
        <f>AND(#REF!,"AAAAAFtpf/A=")</f>
        <v>#REF!</v>
      </c>
      <c r="IH37" t="e">
        <f>AND(#REF!,"AAAAAFtpf/E=")</f>
        <v>#REF!</v>
      </c>
      <c r="II37" t="e">
        <f>AND(#REF!,"AAAAAFtpf/I=")</f>
        <v>#REF!</v>
      </c>
      <c r="IJ37" t="e">
        <f>AND(#REF!,"AAAAAFtpf/M=")</f>
        <v>#REF!</v>
      </c>
      <c r="IK37" t="e">
        <f>AND(#REF!,"AAAAAFtpf/Q=")</f>
        <v>#REF!</v>
      </c>
      <c r="IL37" t="e">
        <f>AND(#REF!,"AAAAAFtpf/U=")</f>
        <v>#REF!</v>
      </c>
      <c r="IM37" t="e">
        <f>AND(#REF!,"AAAAAFtpf/Y=")</f>
        <v>#REF!</v>
      </c>
      <c r="IN37" t="e">
        <f>AND(#REF!,"AAAAAFtpf/c=")</f>
        <v>#REF!</v>
      </c>
      <c r="IO37" t="e">
        <f>AND(#REF!,"AAAAAFtpf/g=")</f>
        <v>#REF!</v>
      </c>
      <c r="IP37" t="e">
        <f>AND(#REF!,"AAAAAFtpf/k=")</f>
        <v>#REF!</v>
      </c>
      <c r="IQ37" t="e">
        <f>AND(#REF!,"AAAAAFtpf/o=")</f>
        <v>#REF!</v>
      </c>
      <c r="IR37" t="e">
        <f>AND(#REF!,"AAAAAFtpf/s=")</f>
        <v>#REF!</v>
      </c>
      <c r="IS37" t="e">
        <f>AND(#REF!,"AAAAAFtpf/w=")</f>
        <v>#REF!</v>
      </c>
      <c r="IT37" t="e">
        <f>AND(#REF!,"AAAAAFtpf/0=")</f>
        <v>#REF!</v>
      </c>
      <c r="IU37" t="e">
        <f>AND(#REF!,"AAAAAFtpf/4=")</f>
        <v>#REF!</v>
      </c>
      <c r="IV37" t="e">
        <f>AND(#REF!,"AAAAAFtpf/8=")</f>
        <v>#REF!</v>
      </c>
    </row>
    <row r="38" spans="1:256">
      <c r="A38" t="e">
        <f>AND(#REF!,"AAAAAGs+7wA=")</f>
        <v>#REF!</v>
      </c>
      <c r="B38" t="e">
        <f>AND(#REF!,"AAAAAGs+7wE=")</f>
        <v>#REF!</v>
      </c>
      <c r="C38" t="e">
        <f>AND(#REF!,"AAAAAGs+7wI=")</f>
        <v>#REF!</v>
      </c>
      <c r="D38" t="e">
        <f>AND(#REF!,"AAAAAGs+7wM=")</f>
        <v>#REF!</v>
      </c>
      <c r="E38" t="e">
        <f>AND(#REF!,"AAAAAGs+7wQ=")</f>
        <v>#REF!</v>
      </c>
      <c r="F38" t="e">
        <f>AND(#REF!,"AAAAAGs+7wU=")</f>
        <v>#REF!</v>
      </c>
      <c r="G38" t="e">
        <f>AND(#REF!,"AAAAAGs+7wY=")</f>
        <v>#REF!</v>
      </c>
      <c r="H38" t="e">
        <f>AND(#REF!,"AAAAAGs+7wc=")</f>
        <v>#REF!</v>
      </c>
      <c r="I38" t="e">
        <f>AND(#REF!,"AAAAAGs+7wg=")</f>
        <v>#REF!</v>
      </c>
      <c r="J38" t="e">
        <f>AND(#REF!,"AAAAAGs+7wk=")</f>
        <v>#REF!</v>
      </c>
      <c r="K38" t="e">
        <f>AND(#REF!,"AAAAAGs+7wo=")</f>
        <v>#REF!</v>
      </c>
      <c r="L38" t="e">
        <f>AND(#REF!,"AAAAAGs+7ws=")</f>
        <v>#REF!</v>
      </c>
      <c r="M38" t="e">
        <f>AND(#REF!,"AAAAAGs+7ww=")</f>
        <v>#REF!</v>
      </c>
      <c r="N38" t="e">
        <f>AND(#REF!,"AAAAAGs+7w0=")</f>
        <v>#REF!</v>
      </c>
      <c r="O38" t="e">
        <f>AND(#REF!,"AAAAAGs+7w4=")</f>
        <v>#REF!</v>
      </c>
      <c r="P38" t="e">
        <f>AND(#REF!,"AAAAAGs+7w8=")</f>
        <v>#REF!</v>
      </c>
      <c r="Q38" t="e">
        <f>AND(#REF!,"AAAAAGs+7xA=")</f>
        <v>#REF!</v>
      </c>
      <c r="R38" t="e">
        <f>AND(#REF!,"AAAAAGs+7xE=")</f>
        <v>#REF!</v>
      </c>
      <c r="S38" t="e">
        <f>AND(#REF!,"AAAAAGs+7xI=")</f>
        <v>#REF!</v>
      </c>
      <c r="T38" t="e">
        <f>AND(#REF!,"AAAAAGs+7xM=")</f>
        <v>#REF!</v>
      </c>
      <c r="U38" t="e">
        <f>AND(#REF!,"AAAAAGs+7xQ=")</f>
        <v>#REF!</v>
      </c>
      <c r="V38" t="e">
        <f>AND(#REF!,"AAAAAGs+7xU=")</f>
        <v>#REF!</v>
      </c>
      <c r="W38" t="e">
        <f>AND(#REF!,"AAAAAGs+7xY=")</f>
        <v>#REF!</v>
      </c>
      <c r="X38" t="e">
        <f>AND(#REF!,"AAAAAGs+7xc=")</f>
        <v>#REF!</v>
      </c>
      <c r="Y38" t="e">
        <f>AND(#REF!,"AAAAAGs+7xg=")</f>
        <v>#REF!</v>
      </c>
      <c r="Z38" t="e">
        <f>AND(#REF!,"AAAAAGs+7xk=")</f>
        <v>#REF!</v>
      </c>
      <c r="AA38" t="e">
        <f>AND(#REF!,"AAAAAGs+7xo=")</f>
        <v>#REF!</v>
      </c>
      <c r="AB38" t="e">
        <f>AND(#REF!,"AAAAAGs+7xs=")</f>
        <v>#REF!</v>
      </c>
      <c r="AC38" t="e">
        <f>AND(#REF!,"AAAAAGs+7xw=")</f>
        <v>#REF!</v>
      </c>
      <c r="AD38" t="e">
        <f>AND(#REF!,"AAAAAGs+7x0=")</f>
        <v>#REF!</v>
      </c>
      <c r="AE38" t="e">
        <f>AND(#REF!,"AAAAAGs+7x4=")</f>
        <v>#REF!</v>
      </c>
      <c r="AF38" t="e">
        <f>AND(#REF!,"AAAAAGs+7x8=")</f>
        <v>#REF!</v>
      </c>
      <c r="AG38" t="e">
        <f>AND(#REF!,"AAAAAGs+7yA=")</f>
        <v>#REF!</v>
      </c>
      <c r="AH38" t="e">
        <f>AND(#REF!,"AAAAAGs+7yE=")</f>
        <v>#REF!</v>
      </c>
      <c r="AI38" t="e">
        <f>AND(#REF!,"AAAAAGs+7yI=")</f>
        <v>#REF!</v>
      </c>
      <c r="AJ38" t="e">
        <f>AND(#REF!,"AAAAAGs+7yM=")</f>
        <v>#REF!</v>
      </c>
      <c r="AK38" t="e">
        <f>AND(#REF!,"AAAAAGs+7yQ=")</f>
        <v>#REF!</v>
      </c>
      <c r="AL38" t="e">
        <f>AND(#REF!,"AAAAAGs+7yU=")</f>
        <v>#REF!</v>
      </c>
      <c r="AM38" t="e">
        <f>AND(#REF!,"AAAAAGs+7yY=")</f>
        <v>#REF!</v>
      </c>
      <c r="AN38" t="e">
        <f>AND(#REF!,"AAAAAGs+7yc=")</f>
        <v>#REF!</v>
      </c>
      <c r="AO38" t="e">
        <f>AND(#REF!,"AAAAAGs+7yg=")</f>
        <v>#REF!</v>
      </c>
      <c r="AP38" t="e">
        <f>AND(#REF!,"AAAAAGs+7yk=")</f>
        <v>#REF!</v>
      </c>
      <c r="AQ38" t="e">
        <f>AND(#REF!,"AAAAAGs+7yo=")</f>
        <v>#REF!</v>
      </c>
      <c r="AR38" t="e">
        <f>AND(#REF!,"AAAAAGs+7ys=")</f>
        <v>#REF!</v>
      </c>
      <c r="AS38" t="e">
        <f>AND(#REF!,"AAAAAGs+7yw=")</f>
        <v>#REF!</v>
      </c>
      <c r="AT38" t="e">
        <f>AND(#REF!,"AAAAAGs+7y0=")</f>
        <v>#REF!</v>
      </c>
      <c r="AU38" t="e">
        <f>AND(#REF!,"AAAAAGs+7y4=")</f>
        <v>#REF!</v>
      </c>
      <c r="AV38" t="e">
        <f>AND(#REF!,"AAAAAGs+7y8=")</f>
        <v>#REF!</v>
      </c>
      <c r="AW38" t="e">
        <f>AND(#REF!,"AAAAAGs+7zA=")</f>
        <v>#REF!</v>
      </c>
      <c r="AX38" t="e">
        <f>AND(#REF!,"AAAAAGs+7zE=")</f>
        <v>#REF!</v>
      </c>
      <c r="AY38" t="e">
        <f>AND(#REF!,"AAAAAGs+7zI=")</f>
        <v>#REF!</v>
      </c>
      <c r="AZ38" t="e">
        <f>AND(#REF!,"AAAAAGs+7zM=")</f>
        <v>#REF!</v>
      </c>
      <c r="BA38" t="e">
        <f>AND(#REF!,"AAAAAGs+7zQ=")</f>
        <v>#REF!</v>
      </c>
      <c r="BB38" t="e">
        <f>AND(#REF!,"AAAAAGs+7zU=")</f>
        <v>#REF!</v>
      </c>
      <c r="BC38" t="e">
        <f>AND(#REF!,"AAAAAGs+7zY=")</f>
        <v>#REF!</v>
      </c>
      <c r="BD38" t="e">
        <f>AND(#REF!,"AAAAAGs+7zc=")</f>
        <v>#REF!</v>
      </c>
      <c r="BE38" t="e">
        <f>AND(#REF!,"AAAAAGs+7zg=")</f>
        <v>#REF!</v>
      </c>
      <c r="BF38" t="e">
        <f>AND(#REF!,"AAAAAGs+7zk=")</f>
        <v>#REF!</v>
      </c>
      <c r="BG38" t="e">
        <f>AND(#REF!,"AAAAAGs+7zo=")</f>
        <v>#REF!</v>
      </c>
      <c r="BH38" t="e">
        <f>AND(#REF!,"AAAAAGs+7zs=")</f>
        <v>#REF!</v>
      </c>
      <c r="BI38" t="e">
        <f>AND(#REF!,"AAAAAGs+7zw=")</f>
        <v>#REF!</v>
      </c>
      <c r="BJ38" t="e">
        <f>AND(#REF!,"AAAAAGs+7z0=")</f>
        <v>#REF!</v>
      </c>
      <c r="BK38" t="e">
        <f>AND(#REF!,"AAAAAGs+7z4=")</f>
        <v>#REF!</v>
      </c>
      <c r="BL38" t="e">
        <f>AND(#REF!,"AAAAAGs+7z8=")</f>
        <v>#REF!</v>
      </c>
      <c r="BM38" t="e">
        <f>AND(#REF!,"AAAAAGs+70A=")</f>
        <v>#REF!</v>
      </c>
      <c r="BN38" t="e">
        <f>AND(#REF!,"AAAAAGs+70E=")</f>
        <v>#REF!</v>
      </c>
      <c r="BO38" t="e">
        <f>AND(#REF!,"AAAAAGs+70I=")</f>
        <v>#REF!</v>
      </c>
      <c r="BP38" t="e">
        <f>AND(#REF!,"AAAAAGs+70M=")</f>
        <v>#REF!</v>
      </c>
      <c r="BQ38" t="e">
        <f>AND(#REF!,"AAAAAGs+70Q=")</f>
        <v>#REF!</v>
      </c>
      <c r="BR38" t="e">
        <f>AND(#REF!,"AAAAAGs+70U=")</f>
        <v>#REF!</v>
      </c>
      <c r="BS38" t="e">
        <f>AND(#REF!,"AAAAAGs+70Y=")</f>
        <v>#REF!</v>
      </c>
      <c r="BT38" t="e">
        <f>AND(#REF!,"AAAAAGs+70c=")</f>
        <v>#REF!</v>
      </c>
      <c r="BU38" t="e">
        <f>AND(#REF!,"AAAAAGs+70g=")</f>
        <v>#REF!</v>
      </c>
      <c r="BV38" t="e">
        <f>AND(#REF!,"AAAAAGs+70k=")</f>
        <v>#REF!</v>
      </c>
      <c r="BW38" t="e">
        <f>AND(#REF!,"AAAAAGs+70o=")</f>
        <v>#REF!</v>
      </c>
      <c r="BX38" t="e">
        <f>AND(#REF!,"AAAAAGs+70s=")</f>
        <v>#REF!</v>
      </c>
      <c r="BY38" t="e">
        <f>AND(#REF!,"AAAAAGs+70w=")</f>
        <v>#REF!</v>
      </c>
      <c r="BZ38" t="e">
        <f>AND(#REF!,"AAAAAGs+700=")</f>
        <v>#REF!</v>
      </c>
      <c r="CA38" t="e">
        <f>AND(#REF!,"AAAAAGs+704=")</f>
        <v>#REF!</v>
      </c>
      <c r="CB38" t="e">
        <f>AND(#REF!,"AAAAAGs+708=")</f>
        <v>#REF!</v>
      </c>
      <c r="CC38" t="e">
        <f>AND(#REF!,"AAAAAGs+71A=")</f>
        <v>#REF!</v>
      </c>
      <c r="CD38" t="e">
        <f>AND(#REF!,"AAAAAGs+71E=")</f>
        <v>#REF!</v>
      </c>
      <c r="CE38" t="e">
        <f>AND(#REF!,"AAAAAGs+71I=")</f>
        <v>#REF!</v>
      </c>
      <c r="CF38" t="e">
        <f>AND(#REF!,"AAAAAGs+71M=")</f>
        <v>#REF!</v>
      </c>
      <c r="CG38" t="e">
        <f>AND(#REF!,"AAAAAGs+71Q=")</f>
        <v>#REF!</v>
      </c>
      <c r="CH38" t="e">
        <f>AND(#REF!,"AAAAAGs+71U=")</f>
        <v>#REF!</v>
      </c>
      <c r="CI38" t="e">
        <f>AND(#REF!,"AAAAAGs+71Y=")</f>
        <v>#REF!</v>
      </c>
      <c r="CJ38" t="e">
        <f>AND(#REF!,"AAAAAGs+71c=")</f>
        <v>#REF!</v>
      </c>
      <c r="CK38" t="e">
        <f>AND(#REF!,"AAAAAGs+71g=")</f>
        <v>#REF!</v>
      </c>
      <c r="CL38" t="e">
        <f>AND(#REF!,"AAAAAGs+71k=")</f>
        <v>#REF!</v>
      </c>
      <c r="CM38" t="e">
        <f>AND(#REF!,"AAAAAGs+71o=")</f>
        <v>#REF!</v>
      </c>
      <c r="CN38" t="e">
        <f>AND(#REF!,"AAAAAGs+71s=")</f>
        <v>#REF!</v>
      </c>
      <c r="CO38" t="e">
        <f>AND(#REF!,"AAAAAGs+71w=")</f>
        <v>#REF!</v>
      </c>
      <c r="CP38" t="e">
        <f>AND(#REF!,"AAAAAGs+710=")</f>
        <v>#REF!</v>
      </c>
      <c r="CQ38" t="e">
        <f>AND(#REF!,"AAAAAGs+714=")</f>
        <v>#REF!</v>
      </c>
      <c r="CR38" t="e">
        <f>AND(#REF!,"AAAAAGs+718=")</f>
        <v>#REF!</v>
      </c>
      <c r="CS38" t="e">
        <f>AND(#REF!,"AAAAAGs+72A=")</f>
        <v>#REF!</v>
      </c>
      <c r="CT38" t="e">
        <f>AND(#REF!,"AAAAAGs+72E=")</f>
        <v>#REF!</v>
      </c>
      <c r="CU38" t="e">
        <f>AND(#REF!,"AAAAAGs+72I=")</f>
        <v>#REF!</v>
      </c>
      <c r="CV38" t="e">
        <f>AND(#REF!,"AAAAAGs+72M=")</f>
        <v>#REF!</v>
      </c>
      <c r="CW38" t="e">
        <f>AND(#REF!,"AAAAAGs+72Q=")</f>
        <v>#REF!</v>
      </c>
      <c r="CX38" t="e">
        <f>AND(#REF!,"AAAAAGs+72U=")</f>
        <v>#REF!</v>
      </c>
      <c r="CY38" t="e">
        <f>AND(#REF!,"AAAAAGs+72Y=")</f>
        <v>#REF!</v>
      </c>
      <c r="CZ38" t="e">
        <f>AND(#REF!,"AAAAAGs+72c=")</f>
        <v>#REF!</v>
      </c>
      <c r="DA38" t="e">
        <f>AND(#REF!,"AAAAAGs+72g=")</f>
        <v>#REF!</v>
      </c>
      <c r="DB38" t="e">
        <f>AND(#REF!,"AAAAAGs+72k=")</f>
        <v>#REF!</v>
      </c>
      <c r="DC38" t="e">
        <f>AND(#REF!,"AAAAAGs+72o=")</f>
        <v>#REF!</v>
      </c>
      <c r="DD38" t="e">
        <f>AND(#REF!,"AAAAAGs+72s=")</f>
        <v>#REF!</v>
      </c>
      <c r="DE38" t="e">
        <f>AND(#REF!,"AAAAAGs+72w=")</f>
        <v>#REF!</v>
      </c>
      <c r="DF38" t="e">
        <f>AND(#REF!,"AAAAAGs+720=")</f>
        <v>#REF!</v>
      </c>
      <c r="DG38" t="e">
        <f>AND(#REF!,"AAAAAGs+724=")</f>
        <v>#REF!</v>
      </c>
      <c r="DH38" t="e">
        <f>AND(#REF!,"AAAAAGs+728=")</f>
        <v>#REF!</v>
      </c>
      <c r="DI38" t="e">
        <f>AND(#REF!,"AAAAAGs+73A=")</f>
        <v>#REF!</v>
      </c>
      <c r="DJ38" t="e">
        <f>AND(#REF!,"AAAAAGs+73E=")</f>
        <v>#REF!</v>
      </c>
      <c r="DK38" t="e">
        <f>AND(#REF!,"AAAAAGs+73I=")</f>
        <v>#REF!</v>
      </c>
      <c r="DL38" t="e">
        <f>AND(#REF!,"AAAAAGs+73M=")</f>
        <v>#REF!</v>
      </c>
      <c r="DM38" t="e">
        <f>AND(#REF!,"AAAAAGs+73Q=")</f>
        <v>#REF!</v>
      </c>
      <c r="DN38" t="e">
        <f>AND(#REF!,"AAAAAGs+73U=")</f>
        <v>#REF!</v>
      </c>
      <c r="DO38" t="e">
        <f>AND(#REF!,"AAAAAGs+73Y=")</f>
        <v>#REF!</v>
      </c>
      <c r="DP38" t="e">
        <f>AND(#REF!,"AAAAAGs+73c=")</f>
        <v>#REF!</v>
      </c>
      <c r="DQ38" t="e">
        <f>AND(#REF!,"AAAAAGs+73g=")</f>
        <v>#REF!</v>
      </c>
      <c r="DR38" t="e">
        <f>AND(#REF!,"AAAAAGs+73k=")</f>
        <v>#REF!</v>
      </c>
      <c r="DS38" t="e">
        <f>AND(#REF!,"AAAAAGs+73o=")</f>
        <v>#REF!</v>
      </c>
      <c r="DT38" t="e">
        <f>AND(#REF!,"AAAAAGs+73s=")</f>
        <v>#REF!</v>
      </c>
      <c r="DU38" t="e">
        <f>AND(#REF!,"AAAAAGs+73w=")</f>
        <v>#REF!</v>
      </c>
      <c r="DV38" t="e">
        <f>AND(#REF!,"AAAAAGs+730=")</f>
        <v>#REF!</v>
      </c>
      <c r="DW38" t="e">
        <f>AND(#REF!,"AAAAAGs+734=")</f>
        <v>#REF!</v>
      </c>
      <c r="DX38" t="e">
        <f>AND(#REF!,"AAAAAGs+738=")</f>
        <v>#REF!</v>
      </c>
      <c r="DY38" t="e">
        <f>AND(#REF!,"AAAAAGs+74A=")</f>
        <v>#REF!</v>
      </c>
      <c r="DZ38" t="e">
        <f>AND(#REF!,"AAAAAGs+74E=")</f>
        <v>#REF!</v>
      </c>
      <c r="EA38" t="e">
        <f>AND(#REF!,"AAAAAGs+74I=")</f>
        <v>#REF!</v>
      </c>
      <c r="EB38" t="e">
        <f>AND(#REF!,"AAAAAGs+74M=")</f>
        <v>#REF!</v>
      </c>
      <c r="EC38" t="e">
        <f>AND(#REF!,"AAAAAGs+74Q=")</f>
        <v>#REF!</v>
      </c>
      <c r="ED38" t="e">
        <f>AND(#REF!,"AAAAAGs+74U=")</f>
        <v>#REF!</v>
      </c>
      <c r="EE38" t="e">
        <f>AND(#REF!,"AAAAAGs+74Y=")</f>
        <v>#REF!</v>
      </c>
      <c r="EF38" t="e">
        <f>AND(#REF!,"AAAAAGs+74c=")</f>
        <v>#REF!</v>
      </c>
      <c r="EG38" t="e">
        <f>AND(#REF!,"AAAAAGs+74g=")</f>
        <v>#REF!</v>
      </c>
      <c r="EH38" t="e">
        <f>AND(#REF!,"AAAAAGs+74k=")</f>
        <v>#REF!</v>
      </c>
      <c r="EI38" t="e">
        <f>AND(#REF!,"AAAAAGs+74o=")</f>
        <v>#REF!</v>
      </c>
      <c r="EJ38" t="e">
        <f>AND(#REF!,"AAAAAGs+74s=")</f>
        <v>#REF!</v>
      </c>
      <c r="EK38" t="e">
        <f>AND(#REF!,"AAAAAGs+74w=")</f>
        <v>#REF!</v>
      </c>
      <c r="EL38" t="e">
        <f>AND(#REF!,"AAAAAGs+740=")</f>
        <v>#REF!</v>
      </c>
      <c r="EM38" t="e">
        <f>AND(#REF!,"AAAAAGs+744=")</f>
        <v>#REF!</v>
      </c>
      <c r="EN38" t="e">
        <f>AND(#REF!,"AAAAAGs+748=")</f>
        <v>#REF!</v>
      </c>
      <c r="EO38" t="e">
        <f>AND(#REF!,"AAAAAGs+75A=")</f>
        <v>#REF!</v>
      </c>
      <c r="EP38" t="e">
        <f>AND(#REF!,"AAAAAGs+75E=")</f>
        <v>#REF!</v>
      </c>
      <c r="EQ38" t="e">
        <f>AND(#REF!,"AAAAAGs+75I=")</f>
        <v>#REF!</v>
      </c>
      <c r="ER38" t="e">
        <f>AND(#REF!,"AAAAAGs+75M=")</f>
        <v>#REF!</v>
      </c>
      <c r="ES38" t="e">
        <f>AND(#REF!,"AAAAAGs+75Q=")</f>
        <v>#REF!</v>
      </c>
      <c r="ET38" t="e">
        <f>AND(#REF!,"AAAAAGs+75U=")</f>
        <v>#REF!</v>
      </c>
      <c r="EU38" t="e">
        <f>AND(#REF!,"AAAAAGs+75Y=")</f>
        <v>#REF!</v>
      </c>
      <c r="EV38" t="e">
        <f>AND(#REF!,"AAAAAGs+75c=")</f>
        <v>#REF!</v>
      </c>
      <c r="EW38" t="e">
        <f>AND(#REF!,"AAAAAGs+75g=")</f>
        <v>#REF!</v>
      </c>
      <c r="EX38" t="e">
        <f>AND(#REF!,"AAAAAGs+75k=")</f>
        <v>#REF!</v>
      </c>
      <c r="EY38" t="e">
        <f>AND(#REF!,"AAAAAGs+75o=")</f>
        <v>#REF!</v>
      </c>
      <c r="EZ38" t="e">
        <f>AND(#REF!,"AAAAAGs+75s=")</f>
        <v>#REF!</v>
      </c>
      <c r="FA38" t="e">
        <f>AND(#REF!,"AAAAAGs+75w=")</f>
        <v>#REF!</v>
      </c>
      <c r="FB38" t="e">
        <f>AND(#REF!,"AAAAAGs+750=")</f>
        <v>#REF!</v>
      </c>
      <c r="FC38" t="e">
        <f>AND(#REF!,"AAAAAGs+754=")</f>
        <v>#REF!</v>
      </c>
      <c r="FD38" t="e">
        <f>AND(#REF!,"AAAAAGs+758=")</f>
        <v>#REF!</v>
      </c>
      <c r="FE38" t="e">
        <f>AND(#REF!,"AAAAAGs+76A=")</f>
        <v>#REF!</v>
      </c>
      <c r="FF38" t="e">
        <f>AND(#REF!,"AAAAAGs+76E=")</f>
        <v>#REF!</v>
      </c>
      <c r="FG38" t="e">
        <f>AND(#REF!,"AAAAAGs+76I=")</f>
        <v>#REF!</v>
      </c>
      <c r="FH38" t="e">
        <f>AND(#REF!,"AAAAAGs+76M=")</f>
        <v>#REF!</v>
      </c>
      <c r="FI38" t="e">
        <f>AND(#REF!,"AAAAAGs+76Q=")</f>
        <v>#REF!</v>
      </c>
      <c r="FJ38" t="e">
        <f>AND(#REF!,"AAAAAGs+76U=")</f>
        <v>#REF!</v>
      </c>
      <c r="FK38" t="e">
        <f>AND(#REF!,"AAAAAGs+76Y=")</f>
        <v>#REF!</v>
      </c>
      <c r="FL38" t="e">
        <f>AND(#REF!,"AAAAAGs+76c=")</f>
        <v>#REF!</v>
      </c>
      <c r="FM38" t="e">
        <f>AND(#REF!,"AAAAAGs+76g=")</f>
        <v>#REF!</v>
      </c>
      <c r="FN38" t="e">
        <f>AND(#REF!,"AAAAAGs+76k=")</f>
        <v>#REF!</v>
      </c>
      <c r="FO38" t="e">
        <f>AND(#REF!,"AAAAAGs+76o=")</f>
        <v>#REF!</v>
      </c>
      <c r="FP38" t="e">
        <f>AND(#REF!,"AAAAAGs+76s=")</f>
        <v>#REF!</v>
      </c>
      <c r="FQ38" t="e">
        <f>AND(#REF!,"AAAAAGs+76w=")</f>
        <v>#REF!</v>
      </c>
      <c r="FR38" t="e">
        <f>AND(#REF!,"AAAAAGs+760=")</f>
        <v>#REF!</v>
      </c>
      <c r="FS38" t="e">
        <f>AND(#REF!,"AAAAAGs+764=")</f>
        <v>#REF!</v>
      </c>
      <c r="FT38" t="e">
        <f>AND(#REF!,"AAAAAGs+768=")</f>
        <v>#REF!</v>
      </c>
      <c r="FU38" t="e">
        <f>AND(#REF!,"AAAAAGs+77A=")</f>
        <v>#REF!</v>
      </c>
      <c r="FV38" t="e">
        <f>AND(#REF!,"AAAAAGs+77E=")</f>
        <v>#REF!</v>
      </c>
      <c r="FW38" t="e">
        <f>AND(#REF!,"AAAAAGs+77I=")</f>
        <v>#REF!</v>
      </c>
      <c r="FX38" t="e">
        <f>AND(#REF!,"AAAAAGs+77M=")</f>
        <v>#REF!</v>
      </c>
      <c r="FY38" t="e">
        <f>AND(#REF!,"AAAAAGs+77Q=")</f>
        <v>#REF!</v>
      </c>
      <c r="FZ38" t="e">
        <f>AND(#REF!,"AAAAAGs+77U=")</f>
        <v>#REF!</v>
      </c>
      <c r="GA38" t="e">
        <f>AND(#REF!,"AAAAAGs+77Y=")</f>
        <v>#REF!</v>
      </c>
      <c r="GB38" t="e">
        <f>AND(#REF!,"AAAAAGs+77c=")</f>
        <v>#REF!</v>
      </c>
      <c r="GC38" t="e">
        <f>AND(#REF!,"AAAAAGs+77g=")</f>
        <v>#REF!</v>
      </c>
      <c r="GD38" t="e">
        <f>AND(#REF!,"AAAAAGs+77k=")</f>
        <v>#REF!</v>
      </c>
      <c r="GE38" t="e">
        <f>AND(#REF!,"AAAAAGs+77o=")</f>
        <v>#REF!</v>
      </c>
      <c r="GF38" t="e">
        <f>AND(#REF!,"AAAAAGs+77s=")</f>
        <v>#REF!</v>
      </c>
      <c r="GG38" t="e">
        <f>AND(#REF!,"AAAAAGs+77w=")</f>
        <v>#REF!</v>
      </c>
      <c r="GH38" t="e">
        <f>AND(#REF!,"AAAAAGs+770=")</f>
        <v>#REF!</v>
      </c>
      <c r="GI38" t="e">
        <f>AND(#REF!,"AAAAAGs+774=")</f>
        <v>#REF!</v>
      </c>
      <c r="GJ38" t="e">
        <f>AND(#REF!,"AAAAAGs+778=")</f>
        <v>#REF!</v>
      </c>
      <c r="GK38" t="e">
        <f>AND(#REF!,"AAAAAGs+78A=")</f>
        <v>#REF!</v>
      </c>
      <c r="GL38" t="e">
        <f>AND(#REF!,"AAAAAGs+78E=")</f>
        <v>#REF!</v>
      </c>
      <c r="GM38" t="e">
        <f>AND(#REF!,"AAAAAGs+78I=")</f>
        <v>#REF!</v>
      </c>
      <c r="GN38" t="e">
        <f>AND(#REF!,"AAAAAGs+78M=")</f>
        <v>#REF!</v>
      </c>
      <c r="GO38" t="e">
        <f>AND(#REF!,"AAAAAGs+78Q=")</f>
        <v>#REF!</v>
      </c>
      <c r="GP38" t="e">
        <f>AND(#REF!,"AAAAAGs+78U=")</f>
        <v>#REF!</v>
      </c>
      <c r="GQ38" t="e">
        <f>AND(#REF!,"AAAAAGs+78Y=")</f>
        <v>#REF!</v>
      </c>
      <c r="GR38" t="e">
        <f>AND(#REF!,"AAAAAGs+78c=")</f>
        <v>#REF!</v>
      </c>
      <c r="GS38" t="e">
        <f>AND(#REF!,"AAAAAGs+78g=")</f>
        <v>#REF!</v>
      </c>
      <c r="GT38" t="e">
        <f>AND(#REF!,"AAAAAGs+78k=")</f>
        <v>#REF!</v>
      </c>
      <c r="GU38" t="e">
        <f>AND(#REF!,"AAAAAGs+78o=")</f>
        <v>#REF!</v>
      </c>
      <c r="GV38" t="e">
        <f>AND(#REF!,"AAAAAGs+78s=")</f>
        <v>#REF!</v>
      </c>
      <c r="GW38" t="e">
        <f>AND(#REF!,"AAAAAGs+78w=")</f>
        <v>#REF!</v>
      </c>
      <c r="GX38" t="e">
        <f>AND(#REF!,"AAAAAGs+780=")</f>
        <v>#REF!</v>
      </c>
      <c r="GY38" t="e">
        <f>AND(#REF!,"AAAAAGs+784=")</f>
        <v>#REF!</v>
      </c>
      <c r="GZ38" t="e">
        <f>AND(#REF!,"AAAAAGs+788=")</f>
        <v>#REF!</v>
      </c>
      <c r="HA38" t="e">
        <f>AND(#REF!,"AAAAAGs+79A=")</f>
        <v>#REF!</v>
      </c>
      <c r="HB38" t="e">
        <f>AND(#REF!,"AAAAAGs+79E=")</f>
        <v>#REF!</v>
      </c>
      <c r="HC38" t="e">
        <f>AND(#REF!,"AAAAAGs+79I=")</f>
        <v>#REF!</v>
      </c>
      <c r="HD38" t="e">
        <f>AND(#REF!,"AAAAAGs+79M=")</f>
        <v>#REF!</v>
      </c>
      <c r="HE38" t="e">
        <f>AND(#REF!,"AAAAAGs+79Q=")</f>
        <v>#REF!</v>
      </c>
      <c r="HF38" t="e">
        <f>AND(#REF!,"AAAAAGs+79U=")</f>
        <v>#REF!</v>
      </c>
      <c r="HG38" t="e">
        <f>AND(#REF!,"AAAAAGs+79Y=")</f>
        <v>#REF!</v>
      </c>
      <c r="HH38" t="e">
        <f>AND(#REF!,"AAAAAGs+79c=")</f>
        <v>#REF!</v>
      </c>
      <c r="HI38" t="e">
        <f>AND(#REF!,"AAAAAGs+79g=")</f>
        <v>#REF!</v>
      </c>
      <c r="HJ38" t="e">
        <f>AND(#REF!,"AAAAAGs+79k=")</f>
        <v>#REF!</v>
      </c>
      <c r="HK38" t="e">
        <f>AND(#REF!,"AAAAAGs+79o=")</f>
        <v>#REF!</v>
      </c>
      <c r="HL38" t="e">
        <f>AND(#REF!,"AAAAAGs+79s=")</f>
        <v>#REF!</v>
      </c>
      <c r="HM38" t="e">
        <f>AND(#REF!,"AAAAAGs+79w=")</f>
        <v>#REF!</v>
      </c>
      <c r="HN38" t="e">
        <f>AND(#REF!,"AAAAAGs+790=")</f>
        <v>#REF!</v>
      </c>
      <c r="HO38" t="e">
        <f>AND(#REF!,"AAAAAGs+794=")</f>
        <v>#REF!</v>
      </c>
      <c r="HP38" t="e">
        <f>AND(#REF!,"AAAAAGs+798=")</f>
        <v>#REF!</v>
      </c>
      <c r="HQ38" t="e">
        <f>AND(#REF!,"AAAAAGs+7+A=")</f>
        <v>#REF!</v>
      </c>
      <c r="HR38" t="e">
        <f>AND(#REF!,"AAAAAGs+7+E=")</f>
        <v>#REF!</v>
      </c>
      <c r="HS38" t="e">
        <f>AND(#REF!,"AAAAAGs+7+I=")</f>
        <v>#REF!</v>
      </c>
      <c r="HT38" t="e">
        <f>AND(#REF!,"AAAAAGs+7+M=")</f>
        <v>#REF!</v>
      </c>
      <c r="HU38" t="e">
        <f>AND(#REF!,"AAAAAGs+7+Q=")</f>
        <v>#REF!</v>
      </c>
      <c r="HV38" t="e">
        <f>AND(#REF!,"AAAAAGs+7+U=")</f>
        <v>#REF!</v>
      </c>
      <c r="HW38" t="e">
        <f>AND(#REF!,"AAAAAGs+7+Y=")</f>
        <v>#REF!</v>
      </c>
      <c r="HX38" t="e">
        <f>AND(#REF!,"AAAAAGs+7+c=")</f>
        <v>#REF!</v>
      </c>
      <c r="HY38" t="e">
        <f>AND(#REF!,"AAAAAGs+7+g=")</f>
        <v>#REF!</v>
      </c>
      <c r="HZ38" t="e">
        <f>AND(#REF!,"AAAAAGs+7+k=")</f>
        <v>#REF!</v>
      </c>
      <c r="IA38" t="e">
        <f>AND(#REF!,"AAAAAGs+7+o=")</f>
        <v>#REF!</v>
      </c>
      <c r="IB38" t="e">
        <f>AND(#REF!,"AAAAAGs+7+s=")</f>
        <v>#REF!</v>
      </c>
      <c r="IC38" t="e">
        <f>AND(#REF!,"AAAAAGs+7+w=")</f>
        <v>#REF!</v>
      </c>
      <c r="ID38" t="e">
        <f>AND(#REF!,"AAAAAGs+7+0=")</f>
        <v>#REF!</v>
      </c>
      <c r="IE38" t="e">
        <f>AND(#REF!,"AAAAAGs+7+4=")</f>
        <v>#REF!</v>
      </c>
      <c r="IF38" t="e">
        <f>AND(#REF!,"AAAAAGs+7+8=")</f>
        <v>#REF!</v>
      </c>
      <c r="IG38" t="e">
        <f>AND(#REF!,"AAAAAGs+7/A=")</f>
        <v>#REF!</v>
      </c>
      <c r="IH38" t="e">
        <f>AND(#REF!,"AAAAAGs+7/E=")</f>
        <v>#REF!</v>
      </c>
      <c r="II38" t="e">
        <f>AND(#REF!,"AAAAAGs+7/I=")</f>
        <v>#REF!</v>
      </c>
      <c r="IJ38" t="e">
        <f>AND(#REF!,"AAAAAGs+7/M=")</f>
        <v>#REF!</v>
      </c>
      <c r="IK38" t="e">
        <f>AND(#REF!,"AAAAAGs+7/Q=")</f>
        <v>#REF!</v>
      </c>
      <c r="IL38" t="e">
        <f>AND(#REF!,"AAAAAGs+7/U=")</f>
        <v>#REF!</v>
      </c>
      <c r="IM38" t="e">
        <f>AND(#REF!,"AAAAAGs+7/Y=")</f>
        <v>#REF!</v>
      </c>
      <c r="IN38" t="e">
        <f>AND(#REF!,"AAAAAGs+7/c=")</f>
        <v>#REF!</v>
      </c>
      <c r="IO38" t="e">
        <f>AND(#REF!,"AAAAAGs+7/g=")</f>
        <v>#REF!</v>
      </c>
      <c r="IP38" t="e">
        <f>AND(#REF!,"AAAAAGs+7/k=")</f>
        <v>#REF!</v>
      </c>
      <c r="IQ38" t="e">
        <f>AND(#REF!,"AAAAAGs+7/o=")</f>
        <v>#REF!</v>
      </c>
      <c r="IR38" t="e">
        <f>AND(#REF!,"AAAAAGs+7/s=")</f>
        <v>#REF!</v>
      </c>
      <c r="IS38" t="e">
        <f>AND(#REF!,"AAAAAGs+7/w=")</f>
        <v>#REF!</v>
      </c>
      <c r="IT38" t="e">
        <f>AND(#REF!,"AAAAAGs+7/0=")</f>
        <v>#REF!</v>
      </c>
      <c r="IU38" t="e">
        <f>AND(#REF!,"AAAAAGs+7/4=")</f>
        <v>#REF!</v>
      </c>
      <c r="IV38" t="e">
        <f>AND(#REF!,"AAAAAGs+7/8=")</f>
        <v>#REF!</v>
      </c>
    </row>
    <row r="39" spans="1:256">
      <c r="A39" t="e">
        <f>AND(#REF!,"AAAAAG67/gA=")</f>
        <v>#REF!</v>
      </c>
      <c r="B39" t="e">
        <f>AND(#REF!,"AAAAAG67/gE=")</f>
        <v>#REF!</v>
      </c>
      <c r="C39" t="e">
        <f>AND(#REF!,"AAAAAG67/gI=")</f>
        <v>#REF!</v>
      </c>
      <c r="D39" t="e">
        <f>AND(#REF!,"AAAAAG67/gM=")</f>
        <v>#REF!</v>
      </c>
      <c r="E39" t="e">
        <f>AND(#REF!,"AAAAAG67/gQ=")</f>
        <v>#REF!</v>
      </c>
      <c r="F39" t="e">
        <f>AND(#REF!,"AAAAAG67/gU=")</f>
        <v>#REF!</v>
      </c>
      <c r="G39" t="e">
        <f>AND(#REF!,"AAAAAG67/gY=")</f>
        <v>#REF!</v>
      </c>
      <c r="H39" t="e">
        <f>AND(#REF!,"AAAAAG67/gc=")</f>
        <v>#REF!</v>
      </c>
      <c r="I39" t="e">
        <f>AND(#REF!,"AAAAAG67/gg=")</f>
        <v>#REF!</v>
      </c>
      <c r="J39" t="e">
        <f>AND(#REF!,"AAAAAG67/gk=")</f>
        <v>#REF!</v>
      </c>
      <c r="K39" t="e">
        <f>AND(#REF!,"AAAAAG67/go=")</f>
        <v>#REF!</v>
      </c>
      <c r="L39" t="e">
        <f>AND(#REF!,"AAAAAG67/gs=")</f>
        <v>#REF!</v>
      </c>
      <c r="M39" t="e">
        <f>AND(#REF!,"AAAAAG67/gw=")</f>
        <v>#REF!</v>
      </c>
      <c r="N39" t="e">
        <f>AND(#REF!,"AAAAAG67/g0=")</f>
        <v>#REF!</v>
      </c>
      <c r="O39" t="e">
        <f>AND(#REF!,"AAAAAG67/g4=")</f>
        <v>#REF!</v>
      </c>
      <c r="P39" t="e">
        <f>AND(#REF!,"AAAAAG67/g8=")</f>
        <v>#REF!</v>
      </c>
      <c r="Q39" t="e">
        <f>AND(#REF!,"AAAAAG67/hA=")</f>
        <v>#REF!</v>
      </c>
      <c r="R39" t="e">
        <f>AND(#REF!,"AAAAAG67/hE=")</f>
        <v>#REF!</v>
      </c>
      <c r="S39" t="e">
        <f>AND(#REF!,"AAAAAG67/hI=")</f>
        <v>#REF!</v>
      </c>
      <c r="T39" t="e">
        <f>AND(#REF!,"AAAAAG67/hM=")</f>
        <v>#REF!</v>
      </c>
      <c r="U39" t="e">
        <f>AND(#REF!,"AAAAAG67/hQ=")</f>
        <v>#REF!</v>
      </c>
      <c r="V39" t="e">
        <f>AND(#REF!,"AAAAAG67/hU=")</f>
        <v>#REF!</v>
      </c>
      <c r="W39" t="e">
        <f>AND(#REF!,"AAAAAG67/hY=")</f>
        <v>#REF!</v>
      </c>
      <c r="X39" t="e">
        <f>AND(#REF!,"AAAAAG67/hc=")</f>
        <v>#REF!</v>
      </c>
      <c r="Y39" t="e">
        <f>AND(#REF!,"AAAAAG67/hg=")</f>
        <v>#REF!</v>
      </c>
      <c r="Z39" t="e">
        <f>AND(#REF!,"AAAAAG67/hk=")</f>
        <v>#REF!</v>
      </c>
      <c r="AA39" t="e">
        <f>AND(#REF!,"AAAAAG67/ho=")</f>
        <v>#REF!</v>
      </c>
      <c r="AB39" t="e">
        <f>AND(#REF!,"AAAAAG67/hs=")</f>
        <v>#REF!</v>
      </c>
      <c r="AC39" t="e">
        <f>AND(#REF!,"AAAAAG67/hw=")</f>
        <v>#REF!</v>
      </c>
      <c r="AD39" t="e">
        <f>AND(#REF!,"AAAAAG67/h0=")</f>
        <v>#REF!</v>
      </c>
      <c r="AE39" t="e">
        <f>AND(#REF!,"AAAAAG67/h4=")</f>
        <v>#REF!</v>
      </c>
      <c r="AF39" t="e">
        <f>AND(#REF!,"AAAAAG67/h8=")</f>
        <v>#REF!</v>
      </c>
      <c r="AG39" t="e">
        <f>AND(#REF!,"AAAAAG67/iA=")</f>
        <v>#REF!</v>
      </c>
      <c r="AH39" t="e">
        <f>AND(#REF!,"AAAAAG67/iE=")</f>
        <v>#REF!</v>
      </c>
      <c r="AI39" t="e">
        <f>AND(#REF!,"AAAAAG67/iI=")</f>
        <v>#REF!</v>
      </c>
      <c r="AJ39" t="e">
        <f>AND(#REF!,"AAAAAG67/iM=")</f>
        <v>#REF!</v>
      </c>
      <c r="AK39" t="e">
        <f>AND(#REF!,"AAAAAG67/iQ=")</f>
        <v>#REF!</v>
      </c>
      <c r="AL39" t="e">
        <f>AND(#REF!,"AAAAAG67/iU=")</f>
        <v>#REF!</v>
      </c>
      <c r="AM39" t="e">
        <f>AND(#REF!,"AAAAAG67/iY=")</f>
        <v>#REF!</v>
      </c>
      <c r="AN39" t="e">
        <f>AND(#REF!,"AAAAAG67/ic=")</f>
        <v>#REF!</v>
      </c>
      <c r="AO39" t="e">
        <f>AND(#REF!,"AAAAAG67/ig=")</f>
        <v>#REF!</v>
      </c>
      <c r="AP39" t="e">
        <f>AND(#REF!,"AAAAAG67/ik=")</f>
        <v>#REF!</v>
      </c>
      <c r="AQ39" t="e">
        <f>AND(#REF!,"AAAAAG67/io=")</f>
        <v>#REF!</v>
      </c>
      <c r="AR39" t="e">
        <f>AND(#REF!,"AAAAAG67/is=")</f>
        <v>#REF!</v>
      </c>
      <c r="AS39" t="e">
        <f>AND(#REF!,"AAAAAG67/iw=")</f>
        <v>#REF!</v>
      </c>
      <c r="AT39" t="e">
        <f>AND(#REF!,"AAAAAG67/i0=")</f>
        <v>#REF!</v>
      </c>
      <c r="AU39" t="e">
        <f>AND(#REF!,"AAAAAG67/i4=")</f>
        <v>#REF!</v>
      </c>
      <c r="AV39" t="e">
        <f>AND(#REF!,"AAAAAG67/i8=")</f>
        <v>#REF!</v>
      </c>
      <c r="AW39" t="e">
        <f>AND(#REF!,"AAAAAG67/jA=")</f>
        <v>#REF!</v>
      </c>
      <c r="AX39" t="e">
        <f>AND(#REF!,"AAAAAG67/jE=")</f>
        <v>#REF!</v>
      </c>
      <c r="AY39" t="e">
        <f>AND(#REF!,"AAAAAG67/jI=")</f>
        <v>#REF!</v>
      </c>
      <c r="AZ39" t="e">
        <f>AND(#REF!,"AAAAAG67/jM=")</f>
        <v>#REF!</v>
      </c>
      <c r="BA39" t="e">
        <f>AND(#REF!,"AAAAAG67/jQ=")</f>
        <v>#REF!</v>
      </c>
      <c r="BB39" t="e">
        <f>AND(#REF!,"AAAAAG67/jU=")</f>
        <v>#REF!</v>
      </c>
      <c r="BC39" t="e">
        <f>AND(#REF!,"AAAAAG67/jY=")</f>
        <v>#REF!</v>
      </c>
      <c r="BD39" t="e">
        <f>AND(#REF!,"AAAAAG67/jc=")</f>
        <v>#REF!</v>
      </c>
      <c r="BE39" t="e">
        <f>AND(#REF!,"AAAAAG67/jg=")</f>
        <v>#REF!</v>
      </c>
      <c r="BF39" t="e">
        <f>AND(#REF!,"AAAAAG67/jk=")</f>
        <v>#REF!</v>
      </c>
      <c r="BG39" t="e">
        <f>AND(#REF!,"AAAAAG67/jo=")</f>
        <v>#REF!</v>
      </c>
      <c r="BH39" t="e">
        <f>AND(#REF!,"AAAAAG67/js=")</f>
        <v>#REF!</v>
      </c>
      <c r="BI39" t="e">
        <f>AND(#REF!,"AAAAAG67/jw=")</f>
        <v>#REF!</v>
      </c>
      <c r="BJ39" t="e">
        <f>AND(#REF!,"AAAAAG67/j0=")</f>
        <v>#REF!</v>
      </c>
      <c r="BK39" t="e">
        <f>AND(#REF!,"AAAAAG67/j4=")</f>
        <v>#REF!</v>
      </c>
      <c r="BL39" t="e">
        <f>AND(#REF!,"AAAAAG67/j8=")</f>
        <v>#REF!</v>
      </c>
      <c r="BM39" t="e">
        <f>AND(#REF!,"AAAAAG67/kA=")</f>
        <v>#REF!</v>
      </c>
      <c r="BN39" t="e">
        <f>AND(#REF!,"AAAAAG67/kE=")</f>
        <v>#REF!</v>
      </c>
      <c r="BO39" t="e">
        <f>AND(#REF!,"AAAAAG67/kI=")</f>
        <v>#REF!</v>
      </c>
      <c r="BP39" t="e">
        <f>AND(#REF!,"AAAAAG67/kM=")</f>
        <v>#REF!</v>
      </c>
      <c r="BQ39" t="e">
        <f>AND(#REF!,"AAAAAG67/kQ=")</f>
        <v>#REF!</v>
      </c>
      <c r="BR39" t="e">
        <f>AND(#REF!,"AAAAAG67/kU=")</f>
        <v>#REF!</v>
      </c>
      <c r="BS39" t="e">
        <f>AND(#REF!,"AAAAAG67/kY=")</f>
        <v>#REF!</v>
      </c>
      <c r="BT39" t="e">
        <f>AND(#REF!,"AAAAAG67/kc=")</f>
        <v>#REF!</v>
      </c>
      <c r="BU39" t="e">
        <f>AND(#REF!,"AAAAAG67/kg=")</f>
        <v>#REF!</v>
      </c>
      <c r="BV39" t="e">
        <f>AND(#REF!,"AAAAAG67/kk=")</f>
        <v>#REF!</v>
      </c>
      <c r="BW39" t="e">
        <f>AND(#REF!,"AAAAAG67/ko=")</f>
        <v>#REF!</v>
      </c>
      <c r="BX39" t="e">
        <f>AND(#REF!,"AAAAAG67/ks=")</f>
        <v>#REF!</v>
      </c>
      <c r="BY39" t="e">
        <f>AND(#REF!,"AAAAAG67/kw=")</f>
        <v>#REF!</v>
      </c>
      <c r="BZ39" t="e">
        <f>AND(#REF!,"AAAAAG67/k0=")</f>
        <v>#REF!</v>
      </c>
      <c r="CA39" t="e">
        <f>AND(#REF!,"AAAAAG67/k4=")</f>
        <v>#REF!</v>
      </c>
      <c r="CB39" t="e">
        <f>AND(#REF!,"AAAAAG67/k8=")</f>
        <v>#REF!</v>
      </c>
      <c r="CC39" t="e">
        <f>AND(#REF!,"AAAAAG67/lA=")</f>
        <v>#REF!</v>
      </c>
      <c r="CD39" t="e">
        <f>AND(#REF!,"AAAAAG67/lE=")</f>
        <v>#REF!</v>
      </c>
      <c r="CE39" t="e">
        <f>AND(#REF!,"AAAAAG67/lI=")</f>
        <v>#REF!</v>
      </c>
      <c r="CF39" t="e">
        <f>AND(#REF!,"AAAAAG67/lM=")</f>
        <v>#REF!</v>
      </c>
      <c r="CG39" t="e">
        <f>AND(#REF!,"AAAAAG67/lQ=")</f>
        <v>#REF!</v>
      </c>
      <c r="CH39" t="e">
        <f>AND(#REF!,"AAAAAG67/lU=")</f>
        <v>#REF!</v>
      </c>
      <c r="CI39" t="e">
        <f>AND(#REF!,"AAAAAG67/lY=")</f>
        <v>#REF!</v>
      </c>
      <c r="CJ39" t="e">
        <f>AND(#REF!,"AAAAAG67/lc=")</f>
        <v>#REF!</v>
      </c>
      <c r="CK39" t="e">
        <f>AND(#REF!,"AAAAAG67/lg=")</f>
        <v>#REF!</v>
      </c>
      <c r="CL39" t="e">
        <f>AND(#REF!,"AAAAAG67/lk=")</f>
        <v>#REF!</v>
      </c>
      <c r="CM39" t="e">
        <f>AND(#REF!,"AAAAAG67/lo=")</f>
        <v>#REF!</v>
      </c>
      <c r="CN39" t="e">
        <f>AND(#REF!,"AAAAAG67/ls=")</f>
        <v>#REF!</v>
      </c>
      <c r="CO39" t="e">
        <f>AND(#REF!,"AAAAAG67/lw=")</f>
        <v>#REF!</v>
      </c>
      <c r="CP39" t="e">
        <f>AND(#REF!,"AAAAAG67/l0=")</f>
        <v>#REF!</v>
      </c>
      <c r="CQ39" t="e">
        <f>AND(#REF!,"AAAAAG67/l4=")</f>
        <v>#REF!</v>
      </c>
      <c r="CR39" t="e">
        <f>AND(#REF!,"AAAAAG67/l8=")</f>
        <v>#REF!</v>
      </c>
      <c r="CS39" t="e">
        <f>AND(#REF!,"AAAAAG67/mA=")</f>
        <v>#REF!</v>
      </c>
      <c r="CT39" t="e">
        <f>AND(#REF!,"AAAAAG67/mE=")</f>
        <v>#REF!</v>
      </c>
      <c r="CU39" t="e">
        <f>AND(#REF!,"AAAAAG67/mI=")</f>
        <v>#REF!</v>
      </c>
      <c r="CV39" t="e">
        <f>AND(#REF!,"AAAAAG67/mM=")</f>
        <v>#REF!</v>
      </c>
      <c r="CW39" t="e">
        <f>AND(#REF!,"AAAAAG67/mQ=")</f>
        <v>#REF!</v>
      </c>
      <c r="CX39" t="e">
        <f>AND(#REF!,"AAAAAG67/mU=")</f>
        <v>#REF!</v>
      </c>
      <c r="CY39" t="e">
        <f>AND(#REF!,"AAAAAG67/mY=")</f>
        <v>#REF!</v>
      </c>
      <c r="CZ39" t="e">
        <f>AND(#REF!,"AAAAAG67/mc=")</f>
        <v>#REF!</v>
      </c>
      <c r="DA39" t="e">
        <f>AND(#REF!,"AAAAAG67/mg=")</f>
        <v>#REF!</v>
      </c>
      <c r="DB39" t="e">
        <f>AND(#REF!,"AAAAAG67/mk=")</f>
        <v>#REF!</v>
      </c>
      <c r="DC39" t="e">
        <f>AND(#REF!,"AAAAAG67/mo=")</f>
        <v>#REF!</v>
      </c>
      <c r="DD39" t="e">
        <f>AND(#REF!,"AAAAAG67/ms=")</f>
        <v>#REF!</v>
      </c>
      <c r="DE39" t="e">
        <f>AND(#REF!,"AAAAAG67/mw=")</f>
        <v>#REF!</v>
      </c>
      <c r="DF39" t="e">
        <f>AND(#REF!,"AAAAAG67/m0=")</f>
        <v>#REF!</v>
      </c>
      <c r="DG39" t="e">
        <f>AND(#REF!,"AAAAAG67/m4=")</f>
        <v>#REF!</v>
      </c>
      <c r="DH39" t="e">
        <f>AND(#REF!,"AAAAAG67/m8=")</f>
        <v>#REF!</v>
      </c>
      <c r="DI39" t="e">
        <f>AND(#REF!,"AAAAAG67/nA=")</f>
        <v>#REF!</v>
      </c>
      <c r="DJ39" t="e">
        <f>AND(#REF!,"AAAAAG67/nE=")</f>
        <v>#REF!</v>
      </c>
      <c r="DK39" t="e">
        <f>AND(#REF!,"AAAAAG67/nI=")</f>
        <v>#REF!</v>
      </c>
      <c r="DL39" t="e">
        <f>AND(#REF!,"AAAAAG67/nM=")</f>
        <v>#REF!</v>
      </c>
      <c r="DM39" t="e">
        <f>AND(#REF!,"AAAAAG67/nQ=")</f>
        <v>#REF!</v>
      </c>
      <c r="DN39" t="e">
        <f>AND(#REF!,"AAAAAG67/nU=")</f>
        <v>#REF!</v>
      </c>
      <c r="DO39" t="e">
        <f>AND(#REF!,"AAAAAG67/nY=")</f>
        <v>#REF!</v>
      </c>
      <c r="DP39" t="e">
        <f>AND(#REF!,"AAAAAG67/nc=")</f>
        <v>#REF!</v>
      </c>
      <c r="DQ39" t="e">
        <f>AND(#REF!,"AAAAAG67/ng=")</f>
        <v>#REF!</v>
      </c>
      <c r="DR39" t="e">
        <f>AND(#REF!,"AAAAAG67/nk=")</f>
        <v>#REF!</v>
      </c>
      <c r="DS39" t="e">
        <f>AND(#REF!,"AAAAAG67/no=")</f>
        <v>#REF!</v>
      </c>
      <c r="DT39" t="e">
        <f>AND(#REF!,"AAAAAG67/ns=")</f>
        <v>#REF!</v>
      </c>
      <c r="DU39" t="e">
        <f>AND(#REF!,"AAAAAG67/nw=")</f>
        <v>#REF!</v>
      </c>
      <c r="DV39" t="e">
        <f>AND(#REF!,"AAAAAG67/n0=")</f>
        <v>#REF!</v>
      </c>
      <c r="DW39" t="e">
        <f>AND(#REF!,"AAAAAG67/n4=")</f>
        <v>#REF!</v>
      </c>
      <c r="DX39" t="e">
        <f>AND(#REF!,"AAAAAG67/n8=")</f>
        <v>#REF!</v>
      </c>
      <c r="DY39" t="e">
        <f>AND(#REF!,"AAAAAG67/oA=")</f>
        <v>#REF!</v>
      </c>
      <c r="DZ39" t="e">
        <f>AND(#REF!,"AAAAAG67/oE=")</f>
        <v>#REF!</v>
      </c>
      <c r="EA39" t="e">
        <f>AND(#REF!,"AAAAAG67/oI=")</f>
        <v>#REF!</v>
      </c>
      <c r="EB39" t="e">
        <f>AND(#REF!,"AAAAAG67/oM=")</f>
        <v>#REF!</v>
      </c>
      <c r="EC39" t="e">
        <f>AND(#REF!,"AAAAAG67/oQ=")</f>
        <v>#REF!</v>
      </c>
      <c r="ED39" t="e">
        <f>AND(#REF!,"AAAAAG67/oU=")</f>
        <v>#REF!</v>
      </c>
      <c r="EE39" t="e">
        <f>AND(#REF!,"AAAAAG67/oY=")</f>
        <v>#REF!</v>
      </c>
      <c r="EF39" t="e">
        <f>AND(#REF!,"AAAAAG67/oc=")</f>
        <v>#REF!</v>
      </c>
      <c r="EG39" t="e">
        <f>AND(#REF!,"AAAAAG67/og=")</f>
        <v>#REF!</v>
      </c>
      <c r="EH39" t="e">
        <f>AND(#REF!,"AAAAAG67/ok=")</f>
        <v>#REF!</v>
      </c>
      <c r="EI39" t="e">
        <f>AND(#REF!,"AAAAAG67/oo=")</f>
        <v>#REF!</v>
      </c>
      <c r="EJ39" t="e">
        <f>AND(#REF!,"AAAAAG67/os=")</f>
        <v>#REF!</v>
      </c>
      <c r="EK39" t="e">
        <f>AND(#REF!,"AAAAAG67/ow=")</f>
        <v>#REF!</v>
      </c>
      <c r="EL39" t="e">
        <f>AND(#REF!,"AAAAAG67/o0=")</f>
        <v>#REF!</v>
      </c>
      <c r="EM39" t="e">
        <f>AND(#REF!,"AAAAAG67/o4=")</f>
        <v>#REF!</v>
      </c>
      <c r="EN39" t="e">
        <f>AND(#REF!,"AAAAAG67/o8=")</f>
        <v>#REF!</v>
      </c>
      <c r="EO39" t="e">
        <f>AND(#REF!,"AAAAAG67/pA=")</f>
        <v>#REF!</v>
      </c>
      <c r="EP39" t="e">
        <f>AND(#REF!,"AAAAAG67/pE=")</f>
        <v>#REF!</v>
      </c>
      <c r="EQ39" t="e">
        <f>AND(#REF!,"AAAAAG67/pI=")</f>
        <v>#REF!</v>
      </c>
      <c r="ER39" t="e">
        <f>AND(#REF!,"AAAAAG67/pM=")</f>
        <v>#REF!</v>
      </c>
      <c r="ES39" t="e">
        <f>AND(#REF!,"AAAAAG67/pQ=")</f>
        <v>#REF!</v>
      </c>
      <c r="ET39" t="e">
        <f>AND(#REF!,"AAAAAG67/pU=")</f>
        <v>#REF!</v>
      </c>
      <c r="EU39" t="e">
        <f>AND(#REF!,"AAAAAG67/pY=")</f>
        <v>#REF!</v>
      </c>
      <c r="EV39" t="e">
        <f>AND(#REF!,"AAAAAG67/pc=")</f>
        <v>#REF!</v>
      </c>
      <c r="EW39" t="e">
        <f>AND(#REF!,"AAAAAG67/pg=")</f>
        <v>#REF!</v>
      </c>
      <c r="EX39" t="e">
        <f>AND(#REF!,"AAAAAG67/pk=")</f>
        <v>#REF!</v>
      </c>
      <c r="EY39" t="e">
        <f>AND(#REF!,"AAAAAG67/po=")</f>
        <v>#REF!</v>
      </c>
      <c r="EZ39" t="e">
        <f>AND(#REF!,"AAAAAG67/ps=")</f>
        <v>#REF!</v>
      </c>
      <c r="FA39" t="e">
        <f>AND(#REF!,"AAAAAG67/pw=")</f>
        <v>#REF!</v>
      </c>
      <c r="FB39" t="e">
        <f>AND(#REF!,"AAAAAG67/p0=")</f>
        <v>#REF!</v>
      </c>
      <c r="FC39" t="e">
        <f>AND(#REF!,"AAAAAG67/p4=")</f>
        <v>#REF!</v>
      </c>
      <c r="FD39" t="e">
        <f>AND(#REF!,"AAAAAG67/p8=")</f>
        <v>#REF!</v>
      </c>
      <c r="FE39" t="e">
        <f>AND(#REF!,"AAAAAG67/qA=")</f>
        <v>#REF!</v>
      </c>
      <c r="FF39" t="e">
        <f>AND(#REF!,"AAAAAG67/qE=")</f>
        <v>#REF!</v>
      </c>
      <c r="FG39" t="e">
        <f>AND(#REF!,"AAAAAG67/qI=")</f>
        <v>#REF!</v>
      </c>
      <c r="FH39" t="e">
        <f>AND(#REF!,"AAAAAG67/qM=")</f>
        <v>#REF!</v>
      </c>
      <c r="FI39" t="e">
        <f>AND(#REF!,"AAAAAG67/qQ=")</f>
        <v>#REF!</v>
      </c>
      <c r="FJ39" t="e">
        <f>AND(#REF!,"AAAAAG67/qU=")</f>
        <v>#REF!</v>
      </c>
      <c r="FK39" t="e">
        <f>AND(#REF!,"AAAAAG67/qY=")</f>
        <v>#REF!</v>
      </c>
      <c r="FL39" t="e">
        <f>AND(#REF!,"AAAAAG67/qc=")</f>
        <v>#REF!</v>
      </c>
      <c r="FM39" t="e">
        <f>AND(#REF!,"AAAAAG67/qg=")</f>
        <v>#REF!</v>
      </c>
      <c r="FN39" t="e">
        <f>AND(#REF!,"AAAAAG67/qk=")</f>
        <v>#REF!</v>
      </c>
      <c r="FO39" t="e">
        <f>AND(#REF!,"AAAAAG67/qo=")</f>
        <v>#REF!</v>
      </c>
      <c r="FP39" t="e">
        <f>AND(#REF!,"AAAAAG67/qs=")</f>
        <v>#REF!</v>
      </c>
      <c r="FQ39" t="e">
        <f>AND(#REF!,"AAAAAG67/qw=")</f>
        <v>#REF!</v>
      </c>
      <c r="FR39" t="e">
        <f>AND(#REF!,"AAAAAG67/q0=")</f>
        <v>#REF!</v>
      </c>
      <c r="FS39" t="e">
        <f>AND(#REF!,"AAAAAG67/q4=")</f>
        <v>#REF!</v>
      </c>
      <c r="FT39" t="e">
        <f>AND(#REF!,"AAAAAG67/q8=")</f>
        <v>#REF!</v>
      </c>
      <c r="FU39" t="e">
        <f>AND(#REF!,"AAAAAG67/rA=")</f>
        <v>#REF!</v>
      </c>
      <c r="FV39" t="e">
        <f>AND(#REF!,"AAAAAG67/rE=")</f>
        <v>#REF!</v>
      </c>
      <c r="FW39" t="e">
        <f>AND(#REF!,"AAAAAG67/rI=")</f>
        <v>#REF!</v>
      </c>
      <c r="FX39" t="e">
        <f>AND(#REF!,"AAAAAG67/rM=")</f>
        <v>#REF!</v>
      </c>
      <c r="FY39" t="e">
        <f>AND(#REF!,"AAAAAG67/rQ=")</f>
        <v>#REF!</v>
      </c>
      <c r="FZ39" t="e">
        <f>AND(#REF!,"AAAAAG67/rU=")</f>
        <v>#REF!</v>
      </c>
      <c r="GA39" t="e">
        <f>AND(#REF!,"AAAAAG67/rY=")</f>
        <v>#REF!</v>
      </c>
      <c r="GB39" t="e">
        <f>AND(#REF!,"AAAAAG67/rc=")</f>
        <v>#REF!</v>
      </c>
      <c r="GC39" t="e">
        <f>AND(#REF!,"AAAAAG67/rg=")</f>
        <v>#REF!</v>
      </c>
      <c r="GD39" t="e">
        <f>AND(#REF!,"AAAAAG67/rk=")</f>
        <v>#REF!</v>
      </c>
      <c r="GE39" t="e">
        <f>AND(#REF!,"AAAAAG67/ro=")</f>
        <v>#REF!</v>
      </c>
      <c r="GF39" t="e">
        <f>AND(#REF!,"AAAAAG67/rs=")</f>
        <v>#REF!</v>
      </c>
      <c r="GG39" t="e">
        <f>AND(#REF!,"AAAAAG67/rw=")</f>
        <v>#REF!</v>
      </c>
      <c r="GH39" t="e">
        <f>AND(#REF!,"AAAAAG67/r0=")</f>
        <v>#REF!</v>
      </c>
      <c r="GI39" t="e">
        <f>AND(#REF!,"AAAAAG67/r4=")</f>
        <v>#REF!</v>
      </c>
      <c r="GJ39" t="e">
        <f>AND(#REF!,"AAAAAG67/r8=")</f>
        <v>#REF!</v>
      </c>
      <c r="GK39" t="e">
        <f>AND(#REF!,"AAAAAG67/sA=")</f>
        <v>#REF!</v>
      </c>
      <c r="GL39" t="e">
        <f>AND(#REF!,"AAAAAG67/sE=")</f>
        <v>#REF!</v>
      </c>
      <c r="GM39" t="e">
        <f>AND(#REF!,"AAAAAG67/sI=")</f>
        <v>#REF!</v>
      </c>
      <c r="GN39" t="e">
        <f>AND(#REF!,"AAAAAG67/sM=")</f>
        <v>#REF!</v>
      </c>
      <c r="GO39" t="e">
        <f>AND(#REF!,"AAAAAG67/sQ=")</f>
        <v>#REF!</v>
      </c>
      <c r="GP39" t="e">
        <f>AND(#REF!,"AAAAAG67/sU=")</f>
        <v>#REF!</v>
      </c>
      <c r="GQ39" t="e">
        <f>AND(#REF!,"AAAAAG67/sY=")</f>
        <v>#REF!</v>
      </c>
      <c r="GR39" t="e">
        <f>AND(#REF!,"AAAAAG67/sc=")</f>
        <v>#REF!</v>
      </c>
      <c r="GS39" t="e">
        <f>AND(#REF!,"AAAAAG67/sg=")</f>
        <v>#REF!</v>
      </c>
      <c r="GT39" t="e">
        <f>AND(#REF!,"AAAAAG67/sk=")</f>
        <v>#REF!</v>
      </c>
      <c r="GU39" t="e">
        <f>AND(#REF!,"AAAAAG67/so=")</f>
        <v>#REF!</v>
      </c>
      <c r="GV39" t="e">
        <f>AND(#REF!,"AAAAAG67/ss=")</f>
        <v>#REF!</v>
      </c>
      <c r="GW39" t="e">
        <f>AND(#REF!,"AAAAAG67/sw=")</f>
        <v>#REF!</v>
      </c>
      <c r="GX39" t="e">
        <f>AND(#REF!,"AAAAAG67/s0=")</f>
        <v>#REF!</v>
      </c>
      <c r="GY39" t="e">
        <f>AND(#REF!,"AAAAAG67/s4=")</f>
        <v>#REF!</v>
      </c>
      <c r="GZ39" t="e">
        <f>AND(#REF!,"AAAAAG67/s8=")</f>
        <v>#REF!</v>
      </c>
      <c r="HA39" t="e">
        <f>AND(#REF!,"AAAAAG67/tA=")</f>
        <v>#REF!</v>
      </c>
      <c r="HB39" t="e">
        <f>AND(#REF!,"AAAAAG67/tE=")</f>
        <v>#REF!</v>
      </c>
      <c r="HC39" t="e">
        <f>AND(#REF!,"AAAAAG67/tI=")</f>
        <v>#REF!</v>
      </c>
      <c r="HD39" t="e">
        <f>AND(#REF!,"AAAAAG67/tM=")</f>
        <v>#REF!</v>
      </c>
      <c r="HE39" t="e">
        <f>AND(#REF!,"AAAAAG67/tQ=")</f>
        <v>#REF!</v>
      </c>
      <c r="HF39" t="e">
        <f>AND(#REF!,"AAAAAG67/tU=")</f>
        <v>#REF!</v>
      </c>
      <c r="HG39" t="e">
        <f>AND(#REF!,"AAAAAG67/tY=")</f>
        <v>#REF!</v>
      </c>
      <c r="HH39" t="e">
        <f>AND(#REF!,"AAAAAG67/tc=")</f>
        <v>#REF!</v>
      </c>
      <c r="HI39" t="e">
        <f>AND(#REF!,"AAAAAG67/tg=")</f>
        <v>#REF!</v>
      </c>
      <c r="HJ39" t="e">
        <f>AND(#REF!,"AAAAAG67/tk=")</f>
        <v>#REF!</v>
      </c>
      <c r="HK39" t="e">
        <f>AND(#REF!,"AAAAAG67/to=")</f>
        <v>#REF!</v>
      </c>
      <c r="HL39" t="e">
        <f>AND(#REF!,"AAAAAG67/ts=")</f>
        <v>#REF!</v>
      </c>
      <c r="HM39" t="e">
        <f>AND(#REF!,"AAAAAG67/tw=")</f>
        <v>#REF!</v>
      </c>
      <c r="HN39" t="e">
        <f>AND(#REF!,"AAAAAG67/t0=")</f>
        <v>#REF!</v>
      </c>
      <c r="HO39" t="e">
        <f>AND(#REF!,"AAAAAG67/t4=")</f>
        <v>#REF!</v>
      </c>
      <c r="HP39" t="e">
        <f>AND(#REF!,"AAAAAG67/t8=")</f>
        <v>#REF!</v>
      </c>
      <c r="HQ39" t="e">
        <f>AND(#REF!,"AAAAAG67/uA=")</f>
        <v>#REF!</v>
      </c>
      <c r="HR39" t="e">
        <f>AND(#REF!,"AAAAAG67/uE=")</f>
        <v>#REF!</v>
      </c>
      <c r="HS39" t="e">
        <f>AND(#REF!,"AAAAAG67/uI=")</f>
        <v>#REF!</v>
      </c>
      <c r="HT39" t="e">
        <f>AND(#REF!,"AAAAAG67/uM=")</f>
        <v>#REF!</v>
      </c>
      <c r="HU39" t="e">
        <f>AND(#REF!,"AAAAAG67/uQ=")</f>
        <v>#REF!</v>
      </c>
      <c r="HV39" t="e">
        <f>AND(#REF!,"AAAAAG67/uU=")</f>
        <v>#REF!</v>
      </c>
      <c r="HW39" t="e">
        <f>AND(#REF!,"AAAAAG67/uY=")</f>
        <v>#REF!</v>
      </c>
      <c r="HX39" t="e">
        <f>AND(#REF!,"AAAAAG67/uc=")</f>
        <v>#REF!</v>
      </c>
      <c r="HY39" t="e">
        <f>AND(#REF!,"AAAAAG67/ug=")</f>
        <v>#REF!</v>
      </c>
      <c r="HZ39" t="e">
        <f>AND(#REF!,"AAAAAG67/uk=")</f>
        <v>#REF!</v>
      </c>
      <c r="IA39" t="e">
        <f>AND(#REF!,"AAAAAG67/uo=")</f>
        <v>#REF!</v>
      </c>
      <c r="IB39" t="e">
        <f>AND(#REF!,"AAAAAG67/us=")</f>
        <v>#REF!</v>
      </c>
      <c r="IC39" t="e">
        <f>AND(#REF!,"AAAAAG67/uw=")</f>
        <v>#REF!</v>
      </c>
      <c r="ID39" t="e">
        <f>AND(#REF!,"AAAAAG67/u0=")</f>
        <v>#REF!</v>
      </c>
      <c r="IE39" t="e">
        <f>AND(#REF!,"AAAAAG67/u4=")</f>
        <v>#REF!</v>
      </c>
      <c r="IF39" t="e">
        <f>AND(#REF!,"AAAAAG67/u8=")</f>
        <v>#REF!</v>
      </c>
      <c r="IG39" t="e">
        <f>AND(#REF!,"AAAAAG67/vA=")</f>
        <v>#REF!</v>
      </c>
      <c r="IH39" t="e">
        <f>AND(#REF!,"AAAAAG67/vE=")</f>
        <v>#REF!</v>
      </c>
      <c r="II39" t="e">
        <f>AND(#REF!,"AAAAAG67/vI=")</f>
        <v>#REF!</v>
      </c>
      <c r="IJ39" t="e">
        <f>AND(#REF!,"AAAAAG67/vM=")</f>
        <v>#REF!</v>
      </c>
      <c r="IK39" t="e">
        <f>AND(#REF!,"AAAAAG67/vQ=")</f>
        <v>#REF!</v>
      </c>
      <c r="IL39" t="e">
        <f>AND(#REF!,"AAAAAG67/vU=")</f>
        <v>#REF!</v>
      </c>
      <c r="IM39" t="e">
        <f>AND(#REF!,"AAAAAG67/vY=")</f>
        <v>#REF!</v>
      </c>
      <c r="IN39" t="e">
        <f>AND(#REF!,"AAAAAG67/vc=")</f>
        <v>#REF!</v>
      </c>
      <c r="IO39" t="e">
        <f>AND(#REF!,"AAAAAG67/vg=")</f>
        <v>#REF!</v>
      </c>
      <c r="IP39" t="e">
        <f>AND(#REF!,"AAAAAG67/vk=")</f>
        <v>#REF!</v>
      </c>
      <c r="IQ39" t="e">
        <f>AND(#REF!,"AAAAAG67/vo=")</f>
        <v>#REF!</v>
      </c>
      <c r="IR39" t="e">
        <f>AND(#REF!,"AAAAAG67/vs=")</f>
        <v>#REF!</v>
      </c>
      <c r="IS39" t="e">
        <f>AND(#REF!,"AAAAAG67/vw=")</f>
        <v>#REF!</v>
      </c>
      <c r="IT39" t="e">
        <f>AND(#REF!,"AAAAAG67/v0=")</f>
        <v>#REF!</v>
      </c>
      <c r="IU39" t="e">
        <f>AND(#REF!,"AAAAAG67/v4=")</f>
        <v>#REF!</v>
      </c>
      <c r="IV39" t="e">
        <f>AND(#REF!,"AAAAAG67/v8=")</f>
        <v>#REF!</v>
      </c>
    </row>
    <row r="40" spans="1:256">
      <c r="A40" t="e">
        <f>AND(#REF!,"AAAAAH7+/AA=")</f>
        <v>#REF!</v>
      </c>
      <c r="B40" t="e">
        <f>AND(#REF!,"AAAAAH7+/AE=")</f>
        <v>#REF!</v>
      </c>
      <c r="C40" t="e">
        <f>AND(#REF!,"AAAAAH7+/AI=")</f>
        <v>#REF!</v>
      </c>
      <c r="D40" t="e">
        <f>AND(#REF!,"AAAAAH7+/AM=")</f>
        <v>#REF!</v>
      </c>
      <c r="E40" t="e">
        <f>AND(#REF!,"AAAAAH7+/AQ=")</f>
        <v>#REF!</v>
      </c>
      <c r="F40" t="e">
        <f>AND(#REF!,"AAAAAH7+/AU=")</f>
        <v>#REF!</v>
      </c>
      <c r="G40" t="e">
        <f>AND(#REF!,"AAAAAH7+/AY=")</f>
        <v>#REF!</v>
      </c>
      <c r="H40" t="e">
        <f>AND(#REF!,"AAAAAH7+/Ac=")</f>
        <v>#REF!</v>
      </c>
      <c r="I40" t="e">
        <f>AND(#REF!,"AAAAAH7+/Ag=")</f>
        <v>#REF!</v>
      </c>
      <c r="J40" t="e">
        <f>AND(#REF!,"AAAAAH7+/Ak=")</f>
        <v>#REF!</v>
      </c>
      <c r="K40" t="e">
        <f>AND(#REF!,"AAAAAH7+/Ao=")</f>
        <v>#REF!</v>
      </c>
      <c r="L40" t="e">
        <f>AND(#REF!,"AAAAAH7+/As=")</f>
        <v>#REF!</v>
      </c>
      <c r="M40" t="e">
        <f>AND(#REF!,"AAAAAH7+/Aw=")</f>
        <v>#REF!</v>
      </c>
      <c r="N40" t="e">
        <f>AND(#REF!,"AAAAAH7+/A0=")</f>
        <v>#REF!</v>
      </c>
      <c r="O40" t="e">
        <f>AND(#REF!,"AAAAAH7+/A4=")</f>
        <v>#REF!</v>
      </c>
      <c r="P40" t="e">
        <f>AND(#REF!,"AAAAAH7+/A8=")</f>
        <v>#REF!</v>
      </c>
      <c r="Q40" t="e">
        <f>AND(#REF!,"AAAAAH7+/BA=")</f>
        <v>#REF!</v>
      </c>
      <c r="R40" t="e">
        <f>AND(#REF!,"AAAAAH7+/BE=")</f>
        <v>#REF!</v>
      </c>
      <c r="S40" t="e">
        <f>AND(#REF!,"AAAAAH7+/BI=")</f>
        <v>#REF!</v>
      </c>
      <c r="T40" t="e">
        <f>AND(#REF!,"AAAAAH7+/BM=")</f>
        <v>#REF!</v>
      </c>
      <c r="U40" t="e">
        <f>AND(#REF!,"AAAAAH7+/BQ=")</f>
        <v>#REF!</v>
      </c>
      <c r="V40" t="e">
        <f>AND(#REF!,"AAAAAH7+/BU=")</f>
        <v>#REF!</v>
      </c>
      <c r="W40" t="e">
        <f>AND(#REF!,"AAAAAH7+/BY=")</f>
        <v>#REF!</v>
      </c>
      <c r="X40" t="e">
        <f>AND(#REF!,"AAAAAH7+/Bc=")</f>
        <v>#REF!</v>
      </c>
      <c r="Y40" t="e">
        <f>AND(#REF!,"AAAAAH7+/Bg=")</f>
        <v>#REF!</v>
      </c>
      <c r="Z40" t="e">
        <f>AND(#REF!,"AAAAAH7+/Bk=")</f>
        <v>#REF!</v>
      </c>
      <c r="AA40" t="e">
        <f>AND(#REF!,"AAAAAH7+/Bo=")</f>
        <v>#REF!</v>
      </c>
      <c r="AB40" t="e">
        <f>AND(#REF!,"AAAAAH7+/Bs=")</f>
        <v>#REF!</v>
      </c>
      <c r="AC40" t="e">
        <f>AND(#REF!,"AAAAAH7+/Bw=")</f>
        <v>#REF!</v>
      </c>
      <c r="AD40" t="e">
        <f>AND(#REF!,"AAAAAH7+/B0=")</f>
        <v>#REF!</v>
      </c>
      <c r="AE40" t="e">
        <f>AND(#REF!,"AAAAAH7+/B4=")</f>
        <v>#REF!</v>
      </c>
      <c r="AF40" t="e">
        <f>AND(#REF!,"AAAAAH7+/B8=")</f>
        <v>#REF!</v>
      </c>
      <c r="AG40" t="e">
        <f>AND(#REF!,"AAAAAH7+/CA=")</f>
        <v>#REF!</v>
      </c>
      <c r="AH40" t="e">
        <f>AND(#REF!,"AAAAAH7+/CE=")</f>
        <v>#REF!</v>
      </c>
      <c r="AI40" t="e">
        <f>AND(#REF!,"AAAAAH7+/CI=")</f>
        <v>#REF!</v>
      </c>
      <c r="AJ40" t="e">
        <f>AND(#REF!,"AAAAAH7+/CM=")</f>
        <v>#REF!</v>
      </c>
      <c r="AK40" t="e">
        <f>AND(#REF!,"AAAAAH7+/CQ=")</f>
        <v>#REF!</v>
      </c>
      <c r="AL40" t="e">
        <f>AND(#REF!,"AAAAAH7+/CU=")</f>
        <v>#REF!</v>
      </c>
      <c r="AM40" t="e">
        <f>AND(#REF!,"AAAAAH7+/CY=")</f>
        <v>#REF!</v>
      </c>
      <c r="AN40" t="e">
        <f>AND(#REF!,"AAAAAH7+/Cc=")</f>
        <v>#REF!</v>
      </c>
      <c r="AO40" t="e">
        <f>AND(#REF!,"AAAAAH7+/Cg=")</f>
        <v>#REF!</v>
      </c>
      <c r="AP40" t="e">
        <f>AND(#REF!,"AAAAAH7+/Ck=")</f>
        <v>#REF!</v>
      </c>
      <c r="AQ40" t="e">
        <f>AND(#REF!,"AAAAAH7+/Co=")</f>
        <v>#REF!</v>
      </c>
      <c r="AR40" t="e">
        <f>AND(#REF!,"AAAAAH7+/Cs=")</f>
        <v>#REF!</v>
      </c>
      <c r="AS40" t="e">
        <f>AND(#REF!,"AAAAAH7+/Cw=")</f>
        <v>#REF!</v>
      </c>
      <c r="AT40" t="e">
        <f>AND(#REF!,"AAAAAH7+/C0=")</f>
        <v>#REF!</v>
      </c>
      <c r="AU40" t="e">
        <f>AND(#REF!,"AAAAAH7+/C4=")</f>
        <v>#REF!</v>
      </c>
      <c r="AV40" t="e">
        <f>AND(#REF!,"AAAAAH7+/C8=")</f>
        <v>#REF!</v>
      </c>
      <c r="AW40" t="e">
        <f>AND(#REF!,"AAAAAH7+/DA=")</f>
        <v>#REF!</v>
      </c>
      <c r="AX40" t="e">
        <f>AND(#REF!,"AAAAAH7+/DE=")</f>
        <v>#REF!</v>
      </c>
      <c r="AY40" t="e">
        <f>AND(#REF!,"AAAAAH7+/DI=")</f>
        <v>#REF!</v>
      </c>
      <c r="AZ40" t="e">
        <f>AND(#REF!,"AAAAAH7+/DM=")</f>
        <v>#REF!</v>
      </c>
      <c r="BA40" t="e">
        <f>AND(#REF!,"AAAAAH7+/DQ=")</f>
        <v>#REF!</v>
      </c>
      <c r="BB40" t="e">
        <f>AND(#REF!,"AAAAAH7+/DU=")</f>
        <v>#REF!</v>
      </c>
      <c r="BC40" t="e">
        <f>AND(#REF!,"AAAAAH7+/DY=")</f>
        <v>#REF!</v>
      </c>
      <c r="BD40" t="e">
        <f>AND(#REF!,"AAAAAH7+/Dc=")</f>
        <v>#REF!</v>
      </c>
      <c r="BE40" t="e">
        <f>AND(#REF!,"AAAAAH7+/Dg=")</f>
        <v>#REF!</v>
      </c>
      <c r="BF40" t="e">
        <f>AND(#REF!,"AAAAAH7+/Dk=")</f>
        <v>#REF!</v>
      </c>
      <c r="BG40" t="e">
        <f>AND(#REF!,"AAAAAH7+/Do=")</f>
        <v>#REF!</v>
      </c>
      <c r="BH40" t="e">
        <f>AND(#REF!,"AAAAAH7+/Ds=")</f>
        <v>#REF!</v>
      </c>
      <c r="BI40" t="e">
        <f>AND(#REF!,"AAAAAH7+/Dw=")</f>
        <v>#REF!</v>
      </c>
      <c r="BJ40" t="e">
        <f>AND(#REF!,"AAAAAH7+/D0=")</f>
        <v>#REF!</v>
      </c>
      <c r="BK40" t="e">
        <f>AND(#REF!,"AAAAAH7+/D4=")</f>
        <v>#REF!</v>
      </c>
      <c r="BL40" t="e">
        <f>AND(#REF!,"AAAAAH7+/D8=")</f>
        <v>#REF!</v>
      </c>
      <c r="BM40" t="e">
        <f>AND(#REF!,"AAAAAH7+/EA=")</f>
        <v>#REF!</v>
      </c>
      <c r="BN40" t="e">
        <f>AND(#REF!,"AAAAAH7+/EE=")</f>
        <v>#REF!</v>
      </c>
      <c r="BO40" t="e">
        <f>AND(#REF!,"AAAAAH7+/EI=")</f>
        <v>#REF!</v>
      </c>
      <c r="BP40" t="e">
        <f>AND(#REF!,"AAAAAH7+/EM=")</f>
        <v>#REF!</v>
      </c>
      <c r="BQ40" t="e">
        <f>AND(#REF!,"AAAAAH7+/EQ=")</f>
        <v>#REF!</v>
      </c>
      <c r="BR40" t="e">
        <f>AND(#REF!,"AAAAAH7+/EU=")</f>
        <v>#REF!</v>
      </c>
      <c r="BS40" t="e">
        <f>AND(#REF!,"AAAAAH7+/EY=")</f>
        <v>#REF!</v>
      </c>
      <c r="BT40" t="e">
        <f>AND(#REF!,"AAAAAH7+/Ec=")</f>
        <v>#REF!</v>
      </c>
      <c r="BU40" t="e">
        <f>AND(#REF!,"AAAAAH7+/Eg=")</f>
        <v>#REF!</v>
      </c>
      <c r="BV40" t="e">
        <f>AND(#REF!,"AAAAAH7+/Ek=")</f>
        <v>#REF!</v>
      </c>
      <c r="BW40" t="e">
        <f>AND(#REF!,"AAAAAH7+/Eo=")</f>
        <v>#REF!</v>
      </c>
      <c r="BX40" t="e">
        <f>AND(#REF!,"AAAAAH7+/Es=")</f>
        <v>#REF!</v>
      </c>
      <c r="BY40" t="e">
        <f>AND(#REF!,"AAAAAH7+/Ew=")</f>
        <v>#REF!</v>
      </c>
      <c r="BZ40" t="e">
        <f>AND(#REF!,"AAAAAH7+/E0=")</f>
        <v>#REF!</v>
      </c>
      <c r="CA40" t="e">
        <f>AND(#REF!,"AAAAAH7+/E4=")</f>
        <v>#REF!</v>
      </c>
      <c r="CB40" t="e">
        <f>AND(#REF!,"AAAAAH7+/E8=")</f>
        <v>#REF!</v>
      </c>
      <c r="CC40" t="e">
        <f>AND(#REF!,"AAAAAH7+/FA=")</f>
        <v>#REF!</v>
      </c>
      <c r="CD40" t="e">
        <f>AND(#REF!,"AAAAAH7+/FE=")</f>
        <v>#REF!</v>
      </c>
      <c r="CE40" t="e">
        <f>AND(#REF!,"AAAAAH7+/FI=")</f>
        <v>#REF!</v>
      </c>
      <c r="CF40" t="e">
        <f>AND(#REF!,"AAAAAH7+/FM=")</f>
        <v>#REF!</v>
      </c>
      <c r="CG40" t="e">
        <f>AND(#REF!,"AAAAAH7+/FQ=")</f>
        <v>#REF!</v>
      </c>
      <c r="CH40" t="e">
        <f>AND(#REF!,"AAAAAH7+/FU=")</f>
        <v>#REF!</v>
      </c>
      <c r="CI40" t="e">
        <f>AND(#REF!,"AAAAAH7+/FY=")</f>
        <v>#REF!</v>
      </c>
      <c r="CJ40" t="e">
        <f>AND(#REF!,"AAAAAH7+/Fc=")</f>
        <v>#REF!</v>
      </c>
      <c r="CK40" t="e">
        <f>AND(#REF!,"AAAAAH7+/Fg=")</f>
        <v>#REF!</v>
      </c>
      <c r="CL40" t="e">
        <f>AND(#REF!,"AAAAAH7+/Fk=")</f>
        <v>#REF!</v>
      </c>
      <c r="CM40" t="e">
        <f>AND(#REF!,"AAAAAH7+/Fo=")</f>
        <v>#REF!</v>
      </c>
      <c r="CN40" t="e">
        <f>AND(#REF!,"AAAAAH7+/Fs=")</f>
        <v>#REF!</v>
      </c>
      <c r="CO40" t="e">
        <f>AND(#REF!,"AAAAAH7+/Fw=")</f>
        <v>#REF!</v>
      </c>
      <c r="CP40" t="e">
        <f>AND(#REF!,"AAAAAH7+/F0=")</f>
        <v>#REF!</v>
      </c>
      <c r="CQ40" t="e">
        <f>AND(#REF!,"AAAAAH7+/F4=")</f>
        <v>#REF!</v>
      </c>
      <c r="CR40" t="e">
        <f>AND(#REF!,"AAAAAH7+/F8=")</f>
        <v>#REF!</v>
      </c>
      <c r="CS40" t="e">
        <f>AND(#REF!,"AAAAAH7+/GA=")</f>
        <v>#REF!</v>
      </c>
      <c r="CT40" t="e">
        <f>AND(#REF!,"AAAAAH7+/GE=")</f>
        <v>#REF!</v>
      </c>
      <c r="CU40" t="e">
        <f>AND(#REF!,"AAAAAH7+/GI=")</f>
        <v>#REF!</v>
      </c>
      <c r="CV40" t="e">
        <f>AND(#REF!,"AAAAAH7+/GM=")</f>
        <v>#REF!</v>
      </c>
      <c r="CW40" t="e">
        <f>AND(#REF!,"AAAAAH7+/GQ=")</f>
        <v>#REF!</v>
      </c>
      <c r="CX40" t="e">
        <f>AND(#REF!,"AAAAAH7+/GU=")</f>
        <v>#REF!</v>
      </c>
      <c r="CY40" t="e">
        <f>AND(#REF!,"AAAAAH7+/GY=")</f>
        <v>#REF!</v>
      </c>
      <c r="CZ40" t="e">
        <f>AND(#REF!,"AAAAAH7+/Gc=")</f>
        <v>#REF!</v>
      </c>
      <c r="DA40" t="e">
        <f>AND(#REF!,"AAAAAH7+/Gg=")</f>
        <v>#REF!</v>
      </c>
      <c r="DB40" t="e">
        <f>AND(#REF!,"AAAAAH7+/Gk=")</f>
        <v>#REF!</v>
      </c>
      <c r="DC40" t="e">
        <f>AND(#REF!,"AAAAAH7+/Go=")</f>
        <v>#REF!</v>
      </c>
      <c r="DD40" t="e">
        <f>AND(#REF!,"AAAAAH7+/Gs=")</f>
        <v>#REF!</v>
      </c>
      <c r="DE40" t="e">
        <f>AND(#REF!,"AAAAAH7+/Gw=")</f>
        <v>#REF!</v>
      </c>
      <c r="DF40" t="e">
        <f>AND(#REF!,"AAAAAH7+/G0=")</f>
        <v>#REF!</v>
      </c>
      <c r="DG40" t="e">
        <f>AND(#REF!,"AAAAAH7+/G4=")</f>
        <v>#REF!</v>
      </c>
      <c r="DH40" t="e">
        <f>AND(#REF!,"AAAAAH7+/G8=")</f>
        <v>#REF!</v>
      </c>
      <c r="DI40" t="e">
        <f>AND(#REF!,"AAAAAH7+/HA=")</f>
        <v>#REF!</v>
      </c>
      <c r="DJ40" t="e">
        <f>AND(#REF!,"AAAAAH7+/HE=")</f>
        <v>#REF!</v>
      </c>
      <c r="DK40" t="e">
        <f>AND(#REF!,"AAAAAH7+/HI=")</f>
        <v>#REF!</v>
      </c>
      <c r="DL40" t="e">
        <f>AND(#REF!,"AAAAAH7+/HM=")</f>
        <v>#REF!</v>
      </c>
      <c r="DM40" t="e">
        <f>AND(#REF!,"AAAAAH7+/HQ=")</f>
        <v>#REF!</v>
      </c>
      <c r="DN40" t="e">
        <f>AND(#REF!,"AAAAAH7+/HU=")</f>
        <v>#REF!</v>
      </c>
      <c r="DO40" t="e">
        <f>AND(#REF!,"AAAAAH7+/HY=")</f>
        <v>#REF!</v>
      </c>
      <c r="DP40" t="e">
        <f>AND(#REF!,"AAAAAH7+/Hc=")</f>
        <v>#REF!</v>
      </c>
      <c r="DQ40" t="e">
        <f>AND(#REF!,"AAAAAH7+/Hg=")</f>
        <v>#REF!</v>
      </c>
      <c r="DR40" t="e">
        <f>AND(#REF!,"AAAAAH7+/Hk=")</f>
        <v>#REF!</v>
      </c>
      <c r="DS40" t="e">
        <f>AND(#REF!,"AAAAAH7+/Ho=")</f>
        <v>#REF!</v>
      </c>
      <c r="DT40" t="e">
        <f>AND(#REF!,"AAAAAH7+/Hs=")</f>
        <v>#REF!</v>
      </c>
      <c r="DU40" t="e">
        <f>AND(#REF!,"AAAAAH7+/Hw=")</f>
        <v>#REF!</v>
      </c>
      <c r="DV40" t="e">
        <f>AND(#REF!,"AAAAAH7+/H0=")</f>
        <v>#REF!</v>
      </c>
      <c r="DW40" t="e">
        <f>AND(#REF!,"AAAAAH7+/H4=")</f>
        <v>#REF!</v>
      </c>
      <c r="DX40" t="e">
        <f>AND(#REF!,"AAAAAH7+/H8=")</f>
        <v>#REF!</v>
      </c>
      <c r="DY40" t="e">
        <f>AND(#REF!,"AAAAAH7+/IA=")</f>
        <v>#REF!</v>
      </c>
      <c r="DZ40" t="e">
        <f>AND(#REF!,"AAAAAH7+/IE=")</f>
        <v>#REF!</v>
      </c>
      <c r="EA40" t="e">
        <f>AND(#REF!,"AAAAAH7+/II=")</f>
        <v>#REF!</v>
      </c>
      <c r="EB40" t="e">
        <f>AND(#REF!,"AAAAAH7+/IM=")</f>
        <v>#REF!</v>
      </c>
      <c r="EC40" t="e">
        <f>AND(#REF!,"AAAAAH7+/IQ=")</f>
        <v>#REF!</v>
      </c>
      <c r="ED40" t="e">
        <f>AND(#REF!,"AAAAAH7+/IU=")</f>
        <v>#REF!</v>
      </c>
      <c r="EE40" t="e">
        <f>AND(#REF!,"AAAAAH7+/IY=")</f>
        <v>#REF!</v>
      </c>
      <c r="EF40" t="e">
        <f>AND(#REF!,"AAAAAH7+/Ic=")</f>
        <v>#REF!</v>
      </c>
      <c r="EG40" t="e">
        <f>AND(#REF!,"AAAAAH7+/Ig=")</f>
        <v>#REF!</v>
      </c>
      <c r="EH40" t="e">
        <f>AND(#REF!,"AAAAAH7+/Ik=")</f>
        <v>#REF!</v>
      </c>
      <c r="EI40" t="e">
        <f>AND(#REF!,"AAAAAH7+/Io=")</f>
        <v>#REF!</v>
      </c>
      <c r="EJ40" t="e">
        <f>AND(#REF!,"AAAAAH7+/Is=")</f>
        <v>#REF!</v>
      </c>
      <c r="EK40" t="e">
        <f>AND(#REF!,"AAAAAH7+/Iw=")</f>
        <v>#REF!</v>
      </c>
      <c r="EL40" t="e">
        <f>AND(#REF!,"AAAAAH7+/I0=")</f>
        <v>#REF!</v>
      </c>
      <c r="EM40" t="e">
        <f>AND(#REF!,"AAAAAH7+/I4=")</f>
        <v>#REF!</v>
      </c>
      <c r="EN40" t="e">
        <f>AND(#REF!,"AAAAAH7+/I8=")</f>
        <v>#REF!</v>
      </c>
      <c r="EO40" t="e">
        <f>AND(#REF!,"AAAAAH7+/JA=")</f>
        <v>#REF!</v>
      </c>
      <c r="EP40" t="e">
        <f>AND(#REF!,"AAAAAH7+/JE=")</f>
        <v>#REF!</v>
      </c>
      <c r="EQ40" t="e">
        <f>AND(#REF!,"AAAAAH7+/JI=")</f>
        <v>#REF!</v>
      </c>
      <c r="ER40" t="e">
        <f>AND(#REF!,"AAAAAH7+/JM=")</f>
        <v>#REF!</v>
      </c>
      <c r="ES40" t="e">
        <f>AND(#REF!,"AAAAAH7+/JQ=")</f>
        <v>#REF!</v>
      </c>
      <c r="ET40" t="e">
        <f>AND(#REF!,"AAAAAH7+/JU=")</f>
        <v>#REF!</v>
      </c>
      <c r="EU40" t="e">
        <f>AND(#REF!,"AAAAAH7+/JY=")</f>
        <v>#REF!</v>
      </c>
      <c r="EV40" t="e">
        <f>AND(#REF!,"AAAAAH7+/Jc=")</f>
        <v>#REF!</v>
      </c>
      <c r="EW40" t="e">
        <f>AND(#REF!,"AAAAAH7+/Jg=")</f>
        <v>#REF!</v>
      </c>
      <c r="EX40" t="e">
        <f>AND(#REF!,"AAAAAH7+/Jk=")</f>
        <v>#REF!</v>
      </c>
      <c r="EY40" t="e">
        <f>AND(#REF!,"AAAAAH7+/Jo=")</f>
        <v>#REF!</v>
      </c>
      <c r="EZ40" t="e">
        <f>AND(#REF!,"AAAAAH7+/Js=")</f>
        <v>#REF!</v>
      </c>
      <c r="FA40" t="e">
        <f>AND(#REF!,"AAAAAH7+/Jw=")</f>
        <v>#REF!</v>
      </c>
      <c r="FB40" t="e">
        <f>AND(#REF!,"AAAAAH7+/J0=")</f>
        <v>#REF!</v>
      </c>
      <c r="FC40" t="e">
        <f>AND(#REF!,"AAAAAH7+/J4=")</f>
        <v>#REF!</v>
      </c>
      <c r="FD40" t="e">
        <f>AND(#REF!,"AAAAAH7+/J8=")</f>
        <v>#REF!</v>
      </c>
      <c r="FE40" t="e">
        <f>AND(#REF!,"AAAAAH7+/KA=")</f>
        <v>#REF!</v>
      </c>
      <c r="FF40" t="e">
        <f>AND(#REF!,"AAAAAH7+/KE=")</f>
        <v>#REF!</v>
      </c>
      <c r="FG40" t="e">
        <f>AND(#REF!,"AAAAAH7+/KI=")</f>
        <v>#REF!</v>
      </c>
      <c r="FH40" t="e">
        <f>AND(#REF!,"AAAAAH7+/KM=")</f>
        <v>#REF!</v>
      </c>
      <c r="FI40" t="e">
        <f>AND(#REF!,"AAAAAH7+/KQ=")</f>
        <v>#REF!</v>
      </c>
      <c r="FJ40" t="e">
        <f>AND(#REF!,"AAAAAH7+/KU=")</f>
        <v>#REF!</v>
      </c>
      <c r="FK40" t="e">
        <f>AND(#REF!,"AAAAAH7+/KY=")</f>
        <v>#REF!</v>
      </c>
      <c r="FL40" t="e">
        <f>AND(#REF!,"AAAAAH7+/Kc=")</f>
        <v>#REF!</v>
      </c>
      <c r="FM40" t="e">
        <f>AND(#REF!,"AAAAAH7+/Kg=")</f>
        <v>#REF!</v>
      </c>
      <c r="FN40" t="e">
        <f>AND(#REF!,"AAAAAH7+/Kk=")</f>
        <v>#REF!</v>
      </c>
      <c r="FO40" t="e">
        <f>AND(#REF!,"AAAAAH7+/Ko=")</f>
        <v>#REF!</v>
      </c>
      <c r="FP40" t="e">
        <f>AND(#REF!,"AAAAAH7+/Ks=")</f>
        <v>#REF!</v>
      </c>
      <c r="FQ40" t="e">
        <f>AND(#REF!,"AAAAAH7+/Kw=")</f>
        <v>#REF!</v>
      </c>
      <c r="FR40" t="e">
        <f>AND(#REF!,"AAAAAH7+/K0=")</f>
        <v>#REF!</v>
      </c>
      <c r="FS40" t="e">
        <f>AND(#REF!,"AAAAAH7+/K4=")</f>
        <v>#REF!</v>
      </c>
      <c r="FT40" t="e">
        <f>AND(#REF!,"AAAAAH7+/K8=")</f>
        <v>#REF!</v>
      </c>
      <c r="FU40" t="e">
        <f>AND(#REF!,"AAAAAH7+/LA=")</f>
        <v>#REF!</v>
      </c>
      <c r="FV40" t="e">
        <f>AND(#REF!,"AAAAAH7+/LE=")</f>
        <v>#REF!</v>
      </c>
      <c r="FW40" t="e">
        <f>AND(#REF!,"AAAAAH7+/LI=")</f>
        <v>#REF!</v>
      </c>
      <c r="FX40" t="e">
        <f>AND(#REF!,"AAAAAH7+/LM=")</f>
        <v>#REF!</v>
      </c>
      <c r="FY40" t="e">
        <f>AND(#REF!,"AAAAAH7+/LQ=")</f>
        <v>#REF!</v>
      </c>
      <c r="FZ40" t="e">
        <f>AND(#REF!,"AAAAAH7+/LU=")</f>
        <v>#REF!</v>
      </c>
      <c r="GA40" t="e">
        <f>AND(#REF!,"AAAAAH7+/LY=")</f>
        <v>#REF!</v>
      </c>
      <c r="GB40" t="e">
        <f>AND(#REF!,"AAAAAH7+/Lc=")</f>
        <v>#REF!</v>
      </c>
      <c r="GC40" t="e">
        <f>AND(#REF!,"AAAAAH7+/Lg=")</f>
        <v>#REF!</v>
      </c>
      <c r="GD40" t="e">
        <f>AND(#REF!,"AAAAAH7+/Lk=")</f>
        <v>#REF!</v>
      </c>
      <c r="GE40" t="e">
        <f>AND(#REF!,"AAAAAH7+/Lo=")</f>
        <v>#REF!</v>
      </c>
      <c r="GF40" t="e">
        <f>AND(#REF!,"AAAAAH7+/Ls=")</f>
        <v>#REF!</v>
      </c>
      <c r="GG40" t="e">
        <f>AND(#REF!,"AAAAAH7+/Lw=")</f>
        <v>#REF!</v>
      </c>
      <c r="GH40" t="e">
        <f>AND(#REF!,"AAAAAH7+/L0=")</f>
        <v>#REF!</v>
      </c>
      <c r="GI40" t="e">
        <f>AND(#REF!,"AAAAAH7+/L4=")</f>
        <v>#REF!</v>
      </c>
      <c r="GJ40" t="e">
        <f>AND(#REF!,"AAAAAH7+/L8=")</f>
        <v>#REF!</v>
      </c>
      <c r="GK40" t="e">
        <f>AND(#REF!,"AAAAAH7+/MA=")</f>
        <v>#REF!</v>
      </c>
      <c r="GL40" t="e">
        <f>AND(#REF!,"AAAAAH7+/ME=")</f>
        <v>#REF!</v>
      </c>
      <c r="GM40" t="e">
        <f>AND(#REF!,"AAAAAH7+/MI=")</f>
        <v>#REF!</v>
      </c>
      <c r="GN40" t="e">
        <f>AND(#REF!,"AAAAAH7+/MM=")</f>
        <v>#REF!</v>
      </c>
      <c r="GO40" t="e">
        <f>AND(#REF!,"AAAAAH7+/MQ=")</f>
        <v>#REF!</v>
      </c>
      <c r="GP40" t="e">
        <f>AND(#REF!,"AAAAAH7+/MU=")</f>
        <v>#REF!</v>
      </c>
      <c r="GQ40" t="e">
        <f>AND(#REF!,"AAAAAH7+/MY=")</f>
        <v>#REF!</v>
      </c>
      <c r="GR40" t="e">
        <f>AND(#REF!,"AAAAAH7+/Mc=")</f>
        <v>#REF!</v>
      </c>
      <c r="GS40" t="e">
        <f>AND(#REF!,"AAAAAH7+/Mg=")</f>
        <v>#REF!</v>
      </c>
      <c r="GT40" t="e">
        <f>AND(#REF!,"AAAAAH7+/Mk=")</f>
        <v>#REF!</v>
      </c>
      <c r="GU40" t="e">
        <f>AND(#REF!,"AAAAAH7+/Mo=")</f>
        <v>#REF!</v>
      </c>
      <c r="GV40" t="e">
        <f>AND(#REF!,"AAAAAH7+/Ms=")</f>
        <v>#REF!</v>
      </c>
      <c r="GW40" t="e">
        <f>AND(#REF!,"AAAAAH7+/Mw=")</f>
        <v>#REF!</v>
      </c>
      <c r="GX40" t="e">
        <f>AND(#REF!,"AAAAAH7+/M0=")</f>
        <v>#REF!</v>
      </c>
      <c r="GY40" t="e">
        <f>AND(#REF!,"AAAAAH7+/M4=")</f>
        <v>#REF!</v>
      </c>
      <c r="GZ40" t="e">
        <f>AND(#REF!,"AAAAAH7+/M8=")</f>
        <v>#REF!</v>
      </c>
      <c r="HA40" t="e">
        <f>AND(#REF!,"AAAAAH7+/NA=")</f>
        <v>#REF!</v>
      </c>
      <c r="HB40" t="e">
        <f>AND(#REF!,"AAAAAH7+/NE=")</f>
        <v>#REF!</v>
      </c>
      <c r="HC40" t="e">
        <f>AND(#REF!,"AAAAAH7+/NI=")</f>
        <v>#REF!</v>
      </c>
      <c r="HD40" t="e">
        <f>AND(#REF!,"AAAAAH7+/NM=")</f>
        <v>#REF!</v>
      </c>
      <c r="HE40" t="e">
        <f>AND(#REF!,"AAAAAH7+/NQ=")</f>
        <v>#REF!</v>
      </c>
      <c r="HF40" t="e">
        <f>AND(#REF!,"AAAAAH7+/NU=")</f>
        <v>#REF!</v>
      </c>
      <c r="HG40" t="e">
        <f>AND(#REF!,"AAAAAH7+/NY=")</f>
        <v>#REF!</v>
      </c>
      <c r="HH40" t="e">
        <f>AND(#REF!,"AAAAAH7+/Nc=")</f>
        <v>#REF!</v>
      </c>
      <c r="HI40" t="e">
        <f>AND(#REF!,"AAAAAH7+/Ng=")</f>
        <v>#REF!</v>
      </c>
      <c r="HJ40" t="e">
        <f>AND(#REF!,"AAAAAH7+/Nk=")</f>
        <v>#REF!</v>
      </c>
      <c r="HK40" t="e">
        <f>AND(#REF!,"AAAAAH7+/No=")</f>
        <v>#REF!</v>
      </c>
      <c r="HL40" t="e">
        <f>AND(#REF!,"AAAAAH7+/Ns=")</f>
        <v>#REF!</v>
      </c>
      <c r="HM40" t="e">
        <f>AND(#REF!,"AAAAAH7+/Nw=")</f>
        <v>#REF!</v>
      </c>
      <c r="HN40" t="e">
        <f>AND(#REF!,"AAAAAH7+/N0=")</f>
        <v>#REF!</v>
      </c>
      <c r="HO40" t="e">
        <f>AND(#REF!,"AAAAAH7+/N4=")</f>
        <v>#REF!</v>
      </c>
      <c r="HP40" t="e">
        <f>AND(#REF!,"AAAAAH7+/N8=")</f>
        <v>#REF!</v>
      </c>
      <c r="HQ40" t="e">
        <f>AND(#REF!,"AAAAAH7+/OA=")</f>
        <v>#REF!</v>
      </c>
      <c r="HR40" t="e">
        <f>AND(#REF!,"AAAAAH7+/OE=")</f>
        <v>#REF!</v>
      </c>
      <c r="HS40" t="e">
        <f>AND(#REF!,"AAAAAH7+/OI=")</f>
        <v>#REF!</v>
      </c>
      <c r="HT40" t="e">
        <f>AND(#REF!,"AAAAAH7+/OM=")</f>
        <v>#REF!</v>
      </c>
      <c r="HU40" t="e">
        <f>AND(#REF!,"AAAAAH7+/OQ=")</f>
        <v>#REF!</v>
      </c>
      <c r="HV40" t="e">
        <f>AND(#REF!,"AAAAAH7+/OU=")</f>
        <v>#REF!</v>
      </c>
      <c r="HW40" t="e">
        <f>AND(#REF!,"AAAAAH7+/OY=")</f>
        <v>#REF!</v>
      </c>
      <c r="HX40" t="e">
        <f>AND(#REF!,"AAAAAH7+/Oc=")</f>
        <v>#REF!</v>
      </c>
      <c r="HY40" t="e">
        <f>AND(#REF!,"AAAAAH7+/Og=")</f>
        <v>#REF!</v>
      </c>
      <c r="HZ40" t="e">
        <f>AND(#REF!,"AAAAAH7+/Ok=")</f>
        <v>#REF!</v>
      </c>
      <c r="IA40" t="e">
        <f>AND(#REF!,"AAAAAH7+/Oo=")</f>
        <v>#REF!</v>
      </c>
      <c r="IB40" t="e">
        <f>AND(#REF!,"AAAAAH7+/Os=")</f>
        <v>#REF!</v>
      </c>
      <c r="IC40" t="e">
        <f>AND(#REF!,"AAAAAH7+/Ow=")</f>
        <v>#REF!</v>
      </c>
      <c r="ID40" t="e">
        <f>AND(#REF!,"AAAAAH7+/O0=")</f>
        <v>#REF!</v>
      </c>
      <c r="IE40" t="e">
        <f>AND(#REF!,"AAAAAH7+/O4=")</f>
        <v>#REF!</v>
      </c>
      <c r="IF40" t="e">
        <f>AND(#REF!,"AAAAAH7+/O8=")</f>
        <v>#REF!</v>
      </c>
      <c r="IG40" t="e">
        <f>AND(#REF!,"AAAAAH7+/PA=")</f>
        <v>#REF!</v>
      </c>
      <c r="IH40" t="e">
        <f>AND(#REF!,"AAAAAH7+/PE=")</f>
        <v>#REF!</v>
      </c>
      <c r="II40" t="e">
        <f>AND(#REF!,"AAAAAH7+/PI=")</f>
        <v>#REF!</v>
      </c>
      <c r="IJ40" t="e">
        <f>AND(#REF!,"AAAAAH7+/PM=")</f>
        <v>#REF!</v>
      </c>
      <c r="IK40" t="e">
        <f>AND(#REF!,"AAAAAH7+/PQ=")</f>
        <v>#REF!</v>
      </c>
      <c r="IL40" t="e">
        <f>AND(#REF!,"AAAAAH7+/PU=")</f>
        <v>#REF!</v>
      </c>
      <c r="IM40" t="e">
        <f>AND(#REF!,"AAAAAH7+/PY=")</f>
        <v>#REF!</v>
      </c>
      <c r="IN40" t="e">
        <f>AND(#REF!,"AAAAAH7+/Pc=")</f>
        <v>#REF!</v>
      </c>
      <c r="IO40" t="e">
        <f>AND(#REF!,"AAAAAH7+/Pg=")</f>
        <v>#REF!</v>
      </c>
      <c r="IP40" t="e">
        <f>AND(#REF!,"AAAAAH7+/Pk=")</f>
        <v>#REF!</v>
      </c>
      <c r="IQ40" t="e">
        <f>AND(#REF!,"AAAAAH7+/Po=")</f>
        <v>#REF!</v>
      </c>
      <c r="IR40" t="e">
        <f>AND(#REF!,"AAAAAH7+/Ps=")</f>
        <v>#REF!</v>
      </c>
      <c r="IS40" t="e">
        <f>AND(#REF!,"AAAAAH7+/Pw=")</f>
        <v>#REF!</v>
      </c>
      <c r="IT40" t="e">
        <f>AND(#REF!,"AAAAAH7+/P0=")</f>
        <v>#REF!</v>
      </c>
      <c r="IU40" t="e">
        <f>AND(#REF!,"AAAAAH7+/P4=")</f>
        <v>#REF!</v>
      </c>
      <c r="IV40" t="e">
        <f>AND(#REF!,"AAAAAH7+/P8=")</f>
        <v>#REF!</v>
      </c>
    </row>
    <row r="41" spans="1:256">
      <c r="A41" t="e">
        <f>AND(#REF!,"AAAAAH/vzwA=")</f>
        <v>#REF!</v>
      </c>
      <c r="B41" t="e">
        <f>AND(#REF!,"AAAAAH/vzwE=")</f>
        <v>#REF!</v>
      </c>
      <c r="C41" t="e">
        <f>AND(#REF!,"AAAAAH/vzwI=")</f>
        <v>#REF!</v>
      </c>
      <c r="D41" t="e">
        <f>AND(#REF!,"AAAAAH/vzwM=")</f>
        <v>#REF!</v>
      </c>
      <c r="E41" t="e">
        <f>AND(#REF!,"AAAAAH/vzwQ=")</f>
        <v>#REF!</v>
      </c>
      <c r="F41" t="e">
        <f>AND(#REF!,"AAAAAH/vzwU=")</f>
        <v>#REF!</v>
      </c>
      <c r="G41" t="e">
        <f>AND(#REF!,"AAAAAH/vzwY=")</f>
        <v>#REF!</v>
      </c>
      <c r="H41" t="e">
        <f>AND(#REF!,"AAAAAH/vzwc=")</f>
        <v>#REF!</v>
      </c>
      <c r="I41" t="e">
        <f>AND(#REF!,"AAAAAH/vzwg=")</f>
        <v>#REF!</v>
      </c>
      <c r="J41" t="e">
        <f>AND(#REF!,"AAAAAH/vzwk=")</f>
        <v>#REF!</v>
      </c>
      <c r="K41" t="e">
        <f>AND(#REF!,"AAAAAH/vzwo=")</f>
        <v>#REF!</v>
      </c>
      <c r="L41" t="e">
        <f>AND(#REF!,"AAAAAH/vzws=")</f>
        <v>#REF!</v>
      </c>
      <c r="M41" t="e">
        <f>AND(#REF!,"AAAAAH/vzww=")</f>
        <v>#REF!</v>
      </c>
      <c r="N41" t="e">
        <f>AND(#REF!,"AAAAAH/vzw0=")</f>
        <v>#REF!</v>
      </c>
      <c r="O41" t="e">
        <f>AND(#REF!,"AAAAAH/vzw4=")</f>
        <v>#REF!</v>
      </c>
      <c r="P41" t="e">
        <f>AND(#REF!,"AAAAAH/vzw8=")</f>
        <v>#REF!</v>
      </c>
      <c r="Q41" t="e">
        <f>AND(#REF!,"AAAAAH/vzxA=")</f>
        <v>#REF!</v>
      </c>
      <c r="R41" t="e">
        <f>AND(#REF!,"AAAAAH/vzxE=")</f>
        <v>#REF!</v>
      </c>
      <c r="S41" t="e">
        <f>AND(#REF!,"AAAAAH/vzxI=")</f>
        <v>#REF!</v>
      </c>
      <c r="T41" t="e">
        <f>AND(#REF!,"AAAAAH/vzxM=")</f>
        <v>#REF!</v>
      </c>
      <c r="U41" t="e">
        <f>AND(#REF!,"AAAAAH/vzxQ=")</f>
        <v>#REF!</v>
      </c>
      <c r="V41" t="e">
        <f>AND(#REF!,"AAAAAH/vzxU=")</f>
        <v>#REF!</v>
      </c>
      <c r="W41" t="e">
        <f>AND(#REF!,"AAAAAH/vzxY=")</f>
        <v>#REF!</v>
      </c>
      <c r="X41" t="e">
        <f>AND(#REF!,"AAAAAH/vzxc=")</f>
        <v>#REF!</v>
      </c>
      <c r="Y41" t="e">
        <f>AND(#REF!,"AAAAAH/vzxg=")</f>
        <v>#REF!</v>
      </c>
      <c r="Z41" t="e">
        <f>AND(#REF!,"AAAAAH/vzxk=")</f>
        <v>#REF!</v>
      </c>
      <c r="AA41" t="e">
        <f>AND(#REF!,"AAAAAH/vzxo=")</f>
        <v>#REF!</v>
      </c>
      <c r="AB41" t="e">
        <f>AND(#REF!,"AAAAAH/vzxs=")</f>
        <v>#REF!</v>
      </c>
      <c r="AC41" t="e">
        <f>AND(#REF!,"AAAAAH/vzxw=")</f>
        <v>#REF!</v>
      </c>
      <c r="AD41" t="e">
        <f>AND(#REF!,"AAAAAH/vzx0=")</f>
        <v>#REF!</v>
      </c>
      <c r="AE41" t="e">
        <f>AND(#REF!,"AAAAAH/vzx4=")</f>
        <v>#REF!</v>
      </c>
      <c r="AF41" t="e">
        <f>AND(#REF!,"AAAAAH/vzx8=")</f>
        <v>#REF!</v>
      </c>
      <c r="AG41" t="e">
        <f>AND(#REF!,"AAAAAH/vzyA=")</f>
        <v>#REF!</v>
      </c>
      <c r="AH41" t="e">
        <f>AND(#REF!,"AAAAAH/vzyE=")</f>
        <v>#REF!</v>
      </c>
      <c r="AI41" t="e">
        <f>AND(#REF!,"AAAAAH/vzyI=")</f>
        <v>#REF!</v>
      </c>
      <c r="AJ41" t="e">
        <f>AND(#REF!,"AAAAAH/vzyM=")</f>
        <v>#REF!</v>
      </c>
      <c r="AK41" t="e">
        <f>AND(#REF!,"AAAAAH/vzyQ=")</f>
        <v>#REF!</v>
      </c>
      <c r="AL41" t="e">
        <f>AND(#REF!,"AAAAAH/vzyU=")</f>
        <v>#REF!</v>
      </c>
      <c r="AM41" t="e">
        <f>AND(#REF!,"AAAAAH/vzyY=")</f>
        <v>#REF!</v>
      </c>
      <c r="AN41" t="e">
        <f>AND(#REF!,"AAAAAH/vzyc=")</f>
        <v>#REF!</v>
      </c>
      <c r="AO41" t="e">
        <f>AND(#REF!,"AAAAAH/vzyg=")</f>
        <v>#REF!</v>
      </c>
      <c r="AP41" t="e">
        <f>AND(#REF!,"AAAAAH/vzyk=")</f>
        <v>#REF!</v>
      </c>
      <c r="AQ41" t="e">
        <f>AND(#REF!,"AAAAAH/vzyo=")</f>
        <v>#REF!</v>
      </c>
      <c r="AR41" t="e">
        <f>AND(#REF!,"AAAAAH/vzys=")</f>
        <v>#REF!</v>
      </c>
      <c r="AS41" t="e">
        <f>AND(#REF!,"AAAAAH/vzyw=")</f>
        <v>#REF!</v>
      </c>
      <c r="AT41" t="e">
        <f>AND(#REF!,"AAAAAH/vzy0=")</f>
        <v>#REF!</v>
      </c>
      <c r="AU41" t="e">
        <f>AND(#REF!,"AAAAAH/vzy4=")</f>
        <v>#REF!</v>
      </c>
      <c r="AV41" t="e">
        <f>AND(#REF!,"AAAAAH/vzy8=")</f>
        <v>#REF!</v>
      </c>
      <c r="AW41" t="e">
        <f>AND(#REF!,"AAAAAH/vzzA=")</f>
        <v>#REF!</v>
      </c>
      <c r="AX41" t="e">
        <f>AND(#REF!,"AAAAAH/vzzE=")</f>
        <v>#REF!</v>
      </c>
      <c r="AY41" t="e">
        <f>AND(#REF!,"AAAAAH/vzzI=")</f>
        <v>#REF!</v>
      </c>
      <c r="AZ41" t="e">
        <f>AND(#REF!,"AAAAAH/vzzM=")</f>
        <v>#REF!</v>
      </c>
      <c r="BA41" t="e">
        <f>AND(#REF!,"AAAAAH/vzzQ=")</f>
        <v>#REF!</v>
      </c>
      <c r="BB41" t="e">
        <f>AND(#REF!,"AAAAAH/vzzU=")</f>
        <v>#REF!</v>
      </c>
      <c r="BC41" t="e">
        <f>AND(#REF!,"AAAAAH/vzzY=")</f>
        <v>#REF!</v>
      </c>
      <c r="BD41" t="e">
        <f>AND(#REF!,"AAAAAH/vzzc=")</f>
        <v>#REF!</v>
      </c>
      <c r="BE41" t="e">
        <f>AND(#REF!,"AAAAAH/vzzg=")</f>
        <v>#REF!</v>
      </c>
      <c r="BF41" t="e">
        <f>AND(#REF!,"AAAAAH/vzzk=")</f>
        <v>#REF!</v>
      </c>
      <c r="BG41" t="e">
        <f>AND(#REF!,"AAAAAH/vzzo=")</f>
        <v>#REF!</v>
      </c>
      <c r="BH41" t="e">
        <f>AND(#REF!,"AAAAAH/vzzs=")</f>
        <v>#REF!</v>
      </c>
      <c r="BI41" t="e">
        <f>AND(#REF!,"AAAAAH/vzzw=")</f>
        <v>#REF!</v>
      </c>
      <c r="BJ41" t="e">
        <f>AND(#REF!,"AAAAAH/vzz0=")</f>
        <v>#REF!</v>
      </c>
      <c r="BK41" t="e">
        <f>AND(#REF!,"AAAAAH/vzz4=")</f>
        <v>#REF!</v>
      </c>
      <c r="BL41" t="e">
        <f>AND(#REF!,"AAAAAH/vzz8=")</f>
        <v>#REF!</v>
      </c>
      <c r="BM41" t="e">
        <f>AND(#REF!,"AAAAAH/vz0A=")</f>
        <v>#REF!</v>
      </c>
      <c r="BN41" t="e">
        <f>AND(#REF!,"AAAAAH/vz0E=")</f>
        <v>#REF!</v>
      </c>
      <c r="BO41" t="e">
        <f>AND(#REF!,"AAAAAH/vz0I=")</f>
        <v>#REF!</v>
      </c>
      <c r="BP41" t="e">
        <f>AND(#REF!,"AAAAAH/vz0M=")</f>
        <v>#REF!</v>
      </c>
      <c r="BQ41" t="e">
        <f>AND(#REF!,"AAAAAH/vz0Q=")</f>
        <v>#REF!</v>
      </c>
      <c r="BR41" t="e">
        <f>AND(#REF!,"AAAAAH/vz0U=")</f>
        <v>#REF!</v>
      </c>
      <c r="BS41" t="e">
        <f>AND(#REF!,"AAAAAH/vz0Y=")</f>
        <v>#REF!</v>
      </c>
      <c r="BT41" t="e">
        <f>AND(#REF!,"AAAAAH/vz0c=")</f>
        <v>#REF!</v>
      </c>
      <c r="BU41" t="e">
        <f>AND(#REF!,"AAAAAH/vz0g=")</f>
        <v>#REF!</v>
      </c>
      <c r="BV41" t="e">
        <f>AND(#REF!,"AAAAAH/vz0k=")</f>
        <v>#REF!</v>
      </c>
      <c r="BW41" t="e">
        <f>AND(#REF!,"AAAAAH/vz0o=")</f>
        <v>#REF!</v>
      </c>
      <c r="BX41" t="e">
        <f>AND(#REF!,"AAAAAH/vz0s=")</f>
        <v>#REF!</v>
      </c>
      <c r="BY41" t="e">
        <f>AND(#REF!,"AAAAAH/vz0w=")</f>
        <v>#REF!</v>
      </c>
      <c r="BZ41" t="e">
        <f>AND(#REF!,"AAAAAH/vz00=")</f>
        <v>#REF!</v>
      </c>
      <c r="CA41" t="e">
        <f>AND(#REF!,"AAAAAH/vz04=")</f>
        <v>#REF!</v>
      </c>
      <c r="CB41" t="e">
        <f>AND(#REF!,"AAAAAH/vz08=")</f>
        <v>#REF!</v>
      </c>
      <c r="CC41" t="e">
        <f>AND(#REF!,"AAAAAH/vz1A=")</f>
        <v>#REF!</v>
      </c>
      <c r="CD41" t="e">
        <f>AND(#REF!,"AAAAAH/vz1E=")</f>
        <v>#REF!</v>
      </c>
      <c r="CE41" t="e">
        <f>AND(#REF!,"AAAAAH/vz1I=")</f>
        <v>#REF!</v>
      </c>
      <c r="CF41" t="e">
        <f>AND(#REF!,"AAAAAH/vz1M=")</f>
        <v>#REF!</v>
      </c>
      <c r="CG41" t="e">
        <f>AND(#REF!,"AAAAAH/vz1Q=")</f>
        <v>#REF!</v>
      </c>
      <c r="CH41" t="e">
        <f>AND(#REF!,"AAAAAH/vz1U=")</f>
        <v>#REF!</v>
      </c>
      <c r="CI41" t="e">
        <f>AND(#REF!,"AAAAAH/vz1Y=")</f>
        <v>#REF!</v>
      </c>
      <c r="CJ41" t="e">
        <f>AND(#REF!,"AAAAAH/vz1c=")</f>
        <v>#REF!</v>
      </c>
      <c r="CK41" t="e">
        <f>AND(#REF!,"AAAAAH/vz1g=")</f>
        <v>#REF!</v>
      </c>
      <c r="CL41" t="e">
        <f>AND(#REF!,"AAAAAH/vz1k=")</f>
        <v>#REF!</v>
      </c>
      <c r="CM41" t="e">
        <f>AND(#REF!,"AAAAAH/vz1o=")</f>
        <v>#REF!</v>
      </c>
      <c r="CN41" t="e">
        <f>AND(#REF!,"AAAAAH/vz1s=")</f>
        <v>#REF!</v>
      </c>
      <c r="CO41" t="e">
        <f>AND(#REF!,"AAAAAH/vz1w=")</f>
        <v>#REF!</v>
      </c>
      <c r="CP41" t="e">
        <f>AND(#REF!,"AAAAAH/vz10=")</f>
        <v>#REF!</v>
      </c>
      <c r="CQ41" t="e">
        <f>AND(#REF!,"AAAAAH/vz14=")</f>
        <v>#REF!</v>
      </c>
      <c r="CR41" t="e">
        <f>AND(#REF!,"AAAAAH/vz18=")</f>
        <v>#REF!</v>
      </c>
      <c r="CS41" t="e">
        <f>AND(#REF!,"AAAAAH/vz2A=")</f>
        <v>#REF!</v>
      </c>
      <c r="CT41" t="e">
        <f>AND(#REF!,"AAAAAH/vz2E=")</f>
        <v>#REF!</v>
      </c>
      <c r="CU41" t="e">
        <f>AND(#REF!,"AAAAAH/vz2I=")</f>
        <v>#REF!</v>
      </c>
      <c r="CV41" t="e">
        <f>AND(#REF!,"AAAAAH/vz2M=")</f>
        <v>#REF!</v>
      </c>
      <c r="CW41" t="e">
        <f>AND(#REF!,"AAAAAH/vz2Q=")</f>
        <v>#REF!</v>
      </c>
      <c r="CX41" t="e">
        <f>AND(#REF!,"AAAAAH/vz2U=")</f>
        <v>#REF!</v>
      </c>
      <c r="CY41" t="e">
        <f>AND(#REF!,"AAAAAH/vz2Y=")</f>
        <v>#REF!</v>
      </c>
      <c r="CZ41" t="e">
        <f>AND(#REF!,"AAAAAH/vz2c=")</f>
        <v>#REF!</v>
      </c>
      <c r="DA41" t="e">
        <f>AND(#REF!,"AAAAAH/vz2g=")</f>
        <v>#REF!</v>
      </c>
      <c r="DB41" t="e">
        <f>AND(#REF!,"AAAAAH/vz2k=")</f>
        <v>#REF!</v>
      </c>
      <c r="DC41" t="e">
        <f>AND(#REF!,"AAAAAH/vz2o=")</f>
        <v>#REF!</v>
      </c>
      <c r="DD41" t="e">
        <f>AND(#REF!,"AAAAAH/vz2s=")</f>
        <v>#REF!</v>
      </c>
      <c r="DE41" t="e">
        <f>AND(#REF!,"AAAAAH/vz2w=")</f>
        <v>#REF!</v>
      </c>
      <c r="DF41" t="e">
        <f>AND(#REF!,"AAAAAH/vz20=")</f>
        <v>#REF!</v>
      </c>
      <c r="DG41" t="e">
        <f>AND(#REF!,"AAAAAH/vz24=")</f>
        <v>#REF!</v>
      </c>
      <c r="DH41" t="e">
        <f>AND(#REF!,"AAAAAH/vz28=")</f>
        <v>#REF!</v>
      </c>
      <c r="DI41" t="e">
        <f>AND(#REF!,"AAAAAH/vz3A=")</f>
        <v>#REF!</v>
      </c>
      <c r="DJ41" t="e">
        <f>AND(#REF!,"AAAAAH/vz3E=")</f>
        <v>#REF!</v>
      </c>
      <c r="DK41" t="e">
        <f>AND(#REF!,"AAAAAH/vz3I=")</f>
        <v>#REF!</v>
      </c>
      <c r="DL41" t="e">
        <f>AND(#REF!,"AAAAAH/vz3M=")</f>
        <v>#REF!</v>
      </c>
      <c r="DM41" t="e">
        <f>AND(#REF!,"AAAAAH/vz3Q=")</f>
        <v>#REF!</v>
      </c>
      <c r="DN41" t="e">
        <f>AND(#REF!,"AAAAAH/vz3U=")</f>
        <v>#REF!</v>
      </c>
      <c r="DO41" t="e">
        <f>AND(#REF!,"AAAAAH/vz3Y=")</f>
        <v>#REF!</v>
      </c>
      <c r="DP41" t="e">
        <f>AND(#REF!,"AAAAAH/vz3c=")</f>
        <v>#REF!</v>
      </c>
      <c r="DQ41" t="e">
        <f>AND(#REF!,"AAAAAH/vz3g=")</f>
        <v>#REF!</v>
      </c>
      <c r="DR41" t="e">
        <f>AND(#REF!,"AAAAAH/vz3k=")</f>
        <v>#REF!</v>
      </c>
      <c r="DS41" t="e">
        <f>AND(#REF!,"AAAAAH/vz3o=")</f>
        <v>#REF!</v>
      </c>
      <c r="DT41" t="e">
        <f>AND(#REF!,"AAAAAH/vz3s=")</f>
        <v>#REF!</v>
      </c>
      <c r="DU41" t="e">
        <f>AND(#REF!,"AAAAAH/vz3w=")</f>
        <v>#REF!</v>
      </c>
      <c r="DV41" t="e">
        <f>AND(#REF!,"AAAAAH/vz30=")</f>
        <v>#REF!</v>
      </c>
      <c r="DW41" t="e">
        <f>AND(#REF!,"AAAAAH/vz34=")</f>
        <v>#REF!</v>
      </c>
      <c r="DX41" t="e">
        <f>AND(#REF!,"AAAAAH/vz38=")</f>
        <v>#REF!</v>
      </c>
      <c r="DY41" t="e">
        <f>AND(#REF!,"AAAAAH/vz4A=")</f>
        <v>#REF!</v>
      </c>
      <c r="DZ41" t="e">
        <f>AND(#REF!,"AAAAAH/vz4E=")</f>
        <v>#REF!</v>
      </c>
      <c r="EA41" t="e">
        <f>AND(#REF!,"AAAAAH/vz4I=")</f>
        <v>#REF!</v>
      </c>
      <c r="EB41" t="e">
        <f>AND(#REF!,"AAAAAH/vz4M=")</f>
        <v>#REF!</v>
      </c>
      <c r="EC41" t="e">
        <f>AND(#REF!,"AAAAAH/vz4Q=")</f>
        <v>#REF!</v>
      </c>
      <c r="ED41" t="e">
        <f>AND(#REF!,"AAAAAH/vz4U=")</f>
        <v>#REF!</v>
      </c>
      <c r="EE41" t="e">
        <f>AND(#REF!,"AAAAAH/vz4Y=")</f>
        <v>#REF!</v>
      </c>
      <c r="EF41" t="e">
        <f>AND(#REF!,"AAAAAH/vz4c=")</f>
        <v>#REF!</v>
      </c>
      <c r="EG41" t="e">
        <f>AND(#REF!,"AAAAAH/vz4g=")</f>
        <v>#REF!</v>
      </c>
      <c r="EH41" t="e">
        <f>AND(#REF!,"AAAAAH/vz4k=")</f>
        <v>#REF!</v>
      </c>
      <c r="EI41" t="e">
        <f>AND(#REF!,"AAAAAH/vz4o=")</f>
        <v>#REF!</v>
      </c>
      <c r="EJ41" t="e">
        <f>AND(#REF!,"AAAAAH/vz4s=")</f>
        <v>#REF!</v>
      </c>
      <c r="EK41" t="e">
        <f>AND(#REF!,"AAAAAH/vz4w=")</f>
        <v>#REF!</v>
      </c>
      <c r="EL41" t="e">
        <f>AND(#REF!,"AAAAAH/vz40=")</f>
        <v>#REF!</v>
      </c>
      <c r="EM41" t="e">
        <f>AND(#REF!,"AAAAAH/vz44=")</f>
        <v>#REF!</v>
      </c>
      <c r="EN41" t="e">
        <f>AND(#REF!,"AAAAAH/vz48=")</f>
        <v>#REF!</v>
      </c>
      <c r="EO41" t="e">
        <f>AND(#REF!,"AAAAAH/vz5A=")</f>
        <v>#REF!</v>
      </c>
      <c r="EP41" t="e">
        <f>AND(#REF!,"AAAAAH/vz5E=")</f>
        <v>#REF!</v>
      </c>
      <c r="EQ41" t="e">
        <f>AND(#REF!,"AAAAAH/vz5I=")</f>
        <v>#REF!</v>
      </c>
      <c r="ER41" t="e">
        <f>AND(#REF!,"AAAAAH/vz5M=")</f>
        <v>#REF!</v>
      </c>
      <c r="ES41" t="e">
        <f>AND(#REF!,"AAAAAH/vz5Q=")</f>
        <v>#REF!</v>
      </c>
      <c r="ET41" t="e">
        <f>AND(#REF!,"AAAAAH/vz5U=")</f>
        <v>#REF!</v>
      </c>
      <c r="EU41" t="e">
        <f>AND(#REF!,"AAAAAH/vz5Y=")</f>
        <v>#REF!</v>
      </c>
      <c r="EV41" t="e">
        <f>AND(#REF!,"AAAAAH/vz5c=")</f>
        <v>#REF!</v>
      </c>
      <c r="EW41" t="e">
        <f>AND(#REF!,"AAAAAH/vz5g=")</f>
        <v>#REF!</v>
      </c>
      <c r="EX41" t="e">
        <f>AND(#REF!,"AAAAAH/vz5k=")</f>
        <v>#REF!</v>
      </c>
      <c r="EY41" t="e">
        <f>AND(#REF!,"AAAAAH/vz5o=")</f>
        <v>#REF!</v>
      </c>
      <c r="EZ41" t="e">
        <f>AND(#REF!,"AAAAAH/vz5s=")</f>
        <v>#REF!</v>
      </c>
      <c r="FA41" t="e">
        <f>AND(#REF!,"AAAAAH/vz5w=")</f>
        <v>#REF!</v>
      </c>
      <c r="FB41" t="e">
        <f>AND(#REF!,"AAAAAH/vz50=")</f>
        <v>#REF!</v>
      </c>
      <c r="FC41" t="e">
        <f>AND(#REF!,"AAAAAH/vz54=")</f>
        <v>#REF!</v>
      </c>
      <c r="FD41" t="e">
        <f>AND(#REF!,"AAAAAH/vz58=")</f>
        <v>#REF!</v>
      </c>
      <c r="FE41" t="e">
        <f>AND(#REF!,"AAAAAH/vz6A=")</f>
        <v>#REF!</v>
      </c>
      <c r="FF41" t="e">
        <f>AND(#REF!,"AAAAAH/vz6E=")</f>
        <v>#REF!</v>
      </c>
      <c r="FG41" t="e">
        <f>AND(#REF!,"AAAAAH/vz6I=")</f>
        <v>#REF!</v>
      </c>
      <c r="FH41" t="e">
        <f>AND(#REF!,"AAAAAH/vz6M=")</f>
        <v>#REF!</v>
      </c>
      <c r="FI41" t="e">
        <f>AND(#REF!,"AAAAAH/vz6Q=")</f>
        <v>#REF!</v>
      </c>
      <c r="FJ41" t="e">
        <f>AND(#REF!,"AAAAAH/vz6U=")</f>
        <v>#REF!</v>
      </c>
      <c r="FK41" t="e">
        <f>AND(#REF!,"AAAAAH/vz6Y=")</f>
        <v>#REF!</v>
      </c>
      <c r="FL41" t="e">
        <f>AND(#REF!,"AAAAAH/vz6c=")</f>
        <v>#REF!</v>
      </c>
      <c r="FM41" t="e">
        <f>AND(#REF!,"AAAAAH/vz6g=")</f>
        <v>#REF!</v>
      </c>
      <c r="FN41" t="e">
        <f>AND(#REF!,"AAAAAH/vz6k=")</f>
        <v>#REF!</v>
      </c>
      <c r="FO41" t="e">
        <f>AND(#REF!,"AAAAAH/vz6o=")</f>
        <v>#REF!</v>
      </c>
      <c r="FP41" t="e">
        <f>AND(#REF!,"AAAAAH/vz6s=")</f>
        <v>#REF!</v>
      </c>
      <c r="FQ41" t="e">
        <f>AND(#REF!,"AAAAAH/vz6w=")</f>
        <v>#REF!</v>
      </c>
      <c r="FR41" t="e">
        <f>AND(#REF!,"AAAAAH/vz60=")</f>
        <v>#REF!</v>
      </c>
      <c r="FS41" t="e">
        <f>AND(#REF!,"AAAAAH/vz64=")</f>
        <v>#REF!</v>
      </c>
      <c r="FT41" t="e">
        <f>AND(#REF!,"AAAAAH/vz68=")</f>
        <v>#REF!</v>
      </c>
      <c r="FU41" t="e">
        <f>AND(#REF!,"AAAAAH/vz7A=")</f>
        <v>#REF!</v>
      </c>
      <c r="FV41" t="e">
        <f>AND(#REF!,"AAAAAH/vz7E=")</f>
        <v>#REF!</v>
      </c>
      <c r="FW41" t="e">
        <f>AND(#REF!,"AAAAAH/vz7I=")</f>
        <v>#REF!</v>
      </c>
      <c r="FX41" t="e">
        <f>AND(#REF!,"AAAAAH/vz7M=")</f>
        <v>#REF!</v>
      </c>
      <c r="FY41" t="e">
        <f>AND(#REF!,"AAAAAH/vz7Q=")</f>
        <v>#REF!</v>
      </c>
      <c r="FZ41" t="e">
        <f>AND(#REF!,"AAAAAH/vz7U=")</f>
        <v>#REF!</v>
      </c>
      <c r="GA41" t="e">
        <f>AND(#REF!,"AAAAAH/vz7Y=")</f>
        <v>#REF!</v>
      </c>
      <c r="GB41" t="e">
        <f>AND(#REF!,"AAAAAH/vz7c=")</f>
        <v>#REF!</v>
      </c>
      <c r="GC41" t="e">
        <f>AND(#REF!,"AAAAAH/vz7g=")</f>
        <v>#REF!</v>
      </c>
      <c r="GD41" t="e">
        <f>AND(#REF!,"AAAAAH/vz7k=")</f>
        <v>#REF!</v>
      </c>
      <c r="GE41" t="e">
        <f>AND(#REF!,"AAAAAH/vz7o=")</f>
        <v>#REF!</v>
      </c>
      <c r="GF41" t="e">
        <f>AND(#REF!,"AAAAAH/vz7s=")</f>
        <v>#REF!</v>
      </c>
      <c r="GG41" t="e">
        <f>AND(#REF!,"AAAAAH/vz7w=")</f>
        <v>#REF!</v>
      </c>
      <c r="GH41" t="e">
        <f>AND(#REF!,"AAAAAH/vz70=")</f>
        <v>#REF!</v>
      </c>
      <c r="GI41" t="e">
        <f>AND(#REF!,"AAAAAH/vz74=")</f>
        <v>#REF!</v>
      </c>
      <c r="GJ41" t="e">
        <f>AND(#REF!,"AAAAAH/vz78=")</f>
        <v>#REF!</v>
      </c>
      <c r="GK41" t="e">
        <f>AND(#REF!,"AAAAAH/vz8A=")</f>
        <v>#REF!</v>
      </c>
      <c r="GL41" t="e">
        <f>AND(#REF!,"AAAAAH/vz8E=")</f>
        <v>#REF!</v>
      </c>
      <c r="GM41" t="e">
        <f>AND(#REF!,"AAAAAH/vz8I=")</f>
        <v>#REF!</v>
      </c>
      <c r="GN41" t="e">
        <f>AND(#REF!,"AAAAAH/vz8M=")</f>
        <v>#REF!</v>
      </c>
      <c r="GO41" t="e">
        <f>AND(#REF!,"AAAAAH/vz8Q=")</f>
        <v>#REF!</v>
      </c>
      <c r="GP41" t="e">
        <f>AND(#REF!,"AAAAAH/vz8U=")</f>
        <v>#REF!</v>
      </c>
      <c r="GQ41" t="e">
        <f>AND(#REF!,"AAAAAH/vz8Y=")</f>
        <v>#REF!</v>
      </c>
      <c r="GR41" t="e">
        <f>AND(#REF!,"AAAAAH/vz8c=")</f>
        <v>#REF!</v>
      </c>
      <c r="GS41" t="e">
        <f>AND(#REF!,"AAAAAH/vz8g=")</f>
        <v>#REF!</v>
      </c>
      <c r="GT41" t="e">
        <f>AND(#REF!,"AAAAAH/vz8k=")</f>
        <v>#REF!</v>
      </c>
      <c r="GU41" t="e">
        <f>AND(#REF!,"AAAAAH/vz8o=")</f>
        <v>#REF!</v>
      </c>
      <c r="GV41" t="e">
        <f>AND(#REF!,"AAAAAH/vz8s=")</f>
        <v>#REF!</v>
      </c>
      <c r="GW41" t="e">
        <f>AND(#REF!,"AAAAAH/vz8w=")</f>
        <v>#REF!</v>
      </c>
      <c r="GX41" t="e">
        <f>AND(#REF!,"AAAAAH/vz80=")</f>
        <v>#REF!</v>
      </c>
      <c r="GY41" t="e">
        <f>AND(#REF!,"AAAAAH/vz84=")</f>
        <v>#REF!</v>
      </c>
      <c r="GZ41" t="e">
        <f>AND(#REF!,"AAAAAH/vz88=")</f>
        <v>#REF!</v>
      </c>
      <c r="HA41" t="e">
        <f>AND(#REF!,"AAAAAH/vz9A=")</f>
        <v>#REF!</v>
      </c>
      <c r="HB41" t="e">
        <f>AND(#REF!,"AAAAAH/vz9E=")</f>
        <v>#REF!</v>
      </c>
      <c r="HC41" t="e">
        <f>AND(#REF!,"AAAAAH/vz9I=")</f>
        <v>#REF!</v>
      </c>
      <c r="HD41" t="e">
        <f>AND(#REF!,"AAAAAH/vz9M=")</f>
        <v>#REF!</v>
      </c>
      <c r="HE41" t="e">
        <f>AND(#REF!,"AAAAAH/vz9Q=")</f>
        <v>#REF!</v>
      </c>
      <c r="HF41" t="e">
        <f>AND(#REF!,"AAAAAH/vz9U=")</f>
        <v>#REF!</v>
      </c>
      <c r="HG41" t="e">
        <f>AND(#REF!,"AAAAAH/vz9Y=")</f>
        <v>#REF!</v>
      </c>
      <c r="HH41" t="e">
        <f>AND(#REF!,"AAAAAH/vz9c=")</f>
        <v>#REF!</v>
      </c>
      <c r="HI41" t="e">
        <f>AND(#REF!,"AAAAAH/vz9g=")</f>
        <v>#REF!</v>
      </c>
      <c r="HJ41" t="e">
        <f>AND(#REF!,"AAAAAH/vz9k=")</f>
        <v>#REF!</v>
      </c>
      <c r="HK41" t="e">
        <f>AND(#REF!,"AAAAAH/vz9o=")</f>
        <v>#REF!</v>
      </c>
      <c r="HL41" t="e">
        <f>AND(#REF!,"AAAAAH/vz9s=")</f>
        <v>#REF!</v>
      </c>
      <c r="HM41" t="e">
        <f>AND(#REF!,"AAAAAH/vz9w=")</f>
        <v>#REF!</v>
      </c>
      <c r="HN41" t="e">
        <f>AND(#REF!,"AAAAAH/vz90=")</f>
        <v>#REF!</v>
      </c>
      <c r="HO41" t="e">
        <f>AND(#REF!,"AAAAAH/vz94=")</f>
        <v>#REF!</v>
      </c>
      <c r="HP41" t="e">
        <f>AND(#REF!,"AAAAAH/vz98=")</f>
        <v>#REF!</v>
      </c>
      <c r="HQ41" t="e">
        <f>AND(#REF!,"AAAAAH/vz+A=")</f>
        <v>#REF!</v>
      </c>
      <c r="HR41" t="e">
        <f>AND(#REF!,"AAAAAH/vz+E=")</f>
        <v>#REF!</v>
      </c>
      <c r="HS41" t="e">
        <f>AND(#REF!,"AAAAAH/vz+I=")</f>
        <v>#REF!</v>
      </c>
      <c r="HT41" t="e">
        <f>AND(#REF!,"AAAAAH/vz+M=")</f>
        <v>#REF!</v>
      </c>
      <c r="HU41" t="e">
        <f>AND(#REF!,"AAAAAH/vz+Q=")</f>
        <v>#REF!</v>
      </c>
      <c r="HV41" t="e">
        <f>AND(#REF!,"AAAAAH/vz+U=")</f>
        <v>#REF!</v>
      </c>
      <c r="HW41" t="e">
        <f>AND(#REF!,"AAAAAH/vz+Y=")</f>
        <v>#REF!</v>
      </c>
      <c r="HX41" t="e">
        <f>AND(#REF!,"AAAAAH/vz+c=")</f>
        <v>#REF!</v>
      </c>
      <c r="HY41" t="e">
        <f>AND(#REF!,"AAAAAH/vz+g=")</f>
        <v>#REF!</v>
      </c>
      <c r="HZ41" t="e">
        <f>AND(#REF!,"AAAAAH/vz+k=")</f>
        <v>#REF!</v>
      </c>
      <c r="IA41" t="e">
        <f>AND(#REF!,"AAAAAH/vz+o=")</f>
        <v>#REF!</v>
      </c>
      <c r="IB41" t="e">
        <f>AND(#REF!,"AAAAAH/vz+s=")</f>
        <v>#REF!</v>
      </c>
      <c r="IC41" t="e">
        <f>AND(#REF!,"AAAAAH/vz+w=")</f>
        <v>#REF!</v>
      </c>
      <c r="ID41" t="e">
        <f>AND(#REF!,"AAAAAH/vz+0=")</f>
        <v>#REF!</v>
      </c>
      <c r="IE41" t="e">
        <f>AND(#REF!,"AAAAAH/vz+4=")</f>
        <v>#REF!</v>
      </c>
      <c r="IF41" t="e">
        <f>AND(#REF!,"AAAAAH/vz+8=")</f>
        <v>#REF!</v>
      </c>
      <c r="IG41" t="e">
        <f>AND(#REF!,"AAAAAH/vz/A=")</f>
        <v>#REF!</v>
      </c>
      <c r="IH41" t="e">
        <f>AND(#REF!,"AAAAAH/vz/E=")</f>
        <v>#REF!</v>
      </c>
      <c r="II41" t="e">
        <f>AND(#REF!,"AAAAAH/vz/I=")</f>
        <v>#REF!</v>
      </c>
      <c r="IJ41" t="e">
        <f>AND(#REF!,"AAAAAH/vz/M=")</f>
        <v>#REF!</v>
      </c>
      <c r="IK41" t="e">
        <f>AND(#REF!,"AAAAAH/vz/Q=")</f>
        <v>#REF!</v>
      </c>
      <c r="IL41" t="e">
        <f>AND(#REF!,"AAAAAH/vz/U=")</f>
        <v>#REF!</v>
      </c>
      <c r="IM41" t="e">
        <f>AND(#REF!,"AAAAAH/vz/Y=")</f>
        <v>#REF!</v>
      </c>
      <c r="IN41" t="e">
        <f>AND(#REF!,"AAAAAH/vz/c=")</f>
        <v>#REF!</v>
      </c>
      <c r="IO41" t="e">
        <f>AND(#REF!,"AAAAAH/vz/g=")</f>
        <v>#REF!</v>
      </c>
      <c r="IP41" t="e">
        <f>AND(#REF!,"AAAAAH/vz/k=")</f>
        <v>#REF!</v>
      </c>
      <c r="IQ41" t="e">
        <f>AND(#REF!,"AAAAAH/vz/o=")</f>
        <v>#REF!</v>
      </c>
      <c r="IR41" t="e">
        <f>AND(#REF!,"AAAAAH/vz/s=")</f>
        <v>#REF!</v>
      </c>
      <c r="IS41" t="e">
        <f>AND(#REF!,"AAAAAH/vz/w=")</f>
        <v>#REF!</v>
      </c>
      <c r="IT41" t="e">
        <f>AND(#REF!,"AAAAAH/vz/0=")</f>
        <v>#REF!</v>
      </c>
      <c r="IU41" t="e">
        <f>AND(#REF!,"AAAAAH/vz/4=")</f>
        <v>#REF!</v>
      </c>
      <c r="IV41" t="e">
        <f>AND(#REF!,"AAAAAH/vz/8=")</f>
        <v>#REF!</v>
      </c>
    </row>
    <row r="42" spans="1:256">
      <c r="A42" t="e">
        <f>AND(#REF!,"AAAAAH5rnwA=")</f>
        <v>#REF!</v>
      </c>
      <c r="B42" t="e">
        <f>AND(#REF!,"AAAAAH5rnwE=")</f>
        <v>#REF!</v>
      </c>
      <c r="C42" t="e">
        <f>AND(#REF!,"AAAAAH5rnwI=")</f>
        <v>#REF!</v>
      </c>
      <c r="D42" t="e">
        <f>AND(#REF!,"AAAAAH5rnwM=")</f>
        <v>#REF!</v>
      </c>
      <c r="E42" t="e">
        <f>AND(#REF!,"AAAAAH5rnwQ=")</f>
        <v>#REF!</v>
      </c>
      <c r="F42" t="e">
        <f>AND(#REF!,"AAAAAH5rnwU=")</f>
        <v>#REF!</v>
      </c>
      <c r="G42" t="e">
        <f>AND(#REF!,"AAAAAH5rnwY=")</f>
        <v>#REF!</v>
      </c>
      <c r="H42" t="e">
        <f>AND(#REF!,"AAAAAH5rnwc=")</f>
        <v>#REF!</v>
      </c>
      <c r="I42" t="e">
        <f>AND(#REF!,"AAAAAH5rnwg=")</f>
        <v>#REF!</v>
      </c>
      <c r="J42" t="e">
        <f>AND(#REF!,"AAAAAH5rnwk=")</f>
        <v>#REF!</v>
      </c>
      <c r="K42" t="e">
        <f>AND(#REF!,"AAAAAH5rnwo=")</f>
        <v>#REF!</v>
      </c>
      <c r="L42" t="e">
        <f>AND(#REF!,"AAAAAH5rnws=")</f>
        <v>#REF!</v>
      </c>
      <c r="M42" t="e">
        <f>AND(#REF!,"AAAAAH5rnww=")</f>
        <v>#REF!</v>
      </c>
      <c r="N42" t="e">
        <f>AND(#REF!,"AAAAAH5rnw0=")</f>
        <v>#REF!</v>
      </c>
      <c r="O42" t="e">
        <f>AND(#REF!,"AAAAAH5rnw4=")</f>
        <v>#REF!</v>
      </c>
      <c r="P42" t="e">
        <f>AND(#REF!,"AAAAAH5rnw8=")</f>
        <v>#REF!</v>
      </c>
      <c r="Q42" t="e">
        <f>AND(#REF!,"AAAAAH5rnxA=")</f>
        <v>#REF!</v>
      </c>
      <c r="R42" t="e">
        <f>AND(#REF!,"AAAAAH5rnxE=")</f>
        <v>#REF!</v>
      </c>
      <c r="S42" t="e">
        <f>AND(#REF!,"AAAAAH5rnxI=")</f>
        <v>#REF!</v>
      </c>
      <c r="T42" t="e">
        <f>AND(#REF!,"AAAAAH5rnxM=")</f>
        <v>#REF!</v>
      </c>
      <c r="U42" t="e">
        <f>AND(#REF!,"AAAAAH5rnxQ=")</f>
        <v>#REF!</v>
      </c>
      <c r="V42" t="e">
        <f>AND(#REF!,"AAAAAH5rnxU=")</f>
        <v>#REF!</v>
      </c>
      <c r="W42" t="e">
        <f>AND(#REF!,"AAAAAH5rnxY=")</f>
        <v>#REF!</v>
      </c>
      <c r="X42" t="e">
        <f>AND(#REF!,"AAAAAH5rnxc=")</f>
        <v>#REF!</v>
      </c>
      <c r="Y42" t="e">
        <f>AND(#REF!,"AAAAAH5rnxg=")</f>
        <v>#REF!</v>
      </c>
      <c r="Z42" t="e">
        <f>AND(#REF!,"AAAAAH5rnxk=")</f>
        <v>#REF!</v>
      </c>
      <c r="AA42" t="e">
        <f>AND(#REF!,"AAAAAH5rnxo=")</f>
        <v>#REF!</v>
      </c>
      <c r="AB42" t="e">
        <f>AND(#REF!,"AAAAAH5rnxs=")</f>
        <v>#REF!</v>
      </c>
      <c r="AC42" t="e">
        <f>AND(#REF!,"AAAAAH5rnxw=")</f>
        <v>#REF!</v>
      </c>
      <c r="AD42" t="e">
        <f>AND(#REF!,"AAAAAH5rnx0=")</f>
        <v>#REF!</v>
      </c>
      <c r="AE42" t="e">
        <f>AND(#REF!,"AAAAAH5rnx4=")</f>
        <v>#REF!</v>
      </c>
      <c r="AF42" t="e">
        <f>AND(#REF!,"AAAAAH5rnx8=")</f>
        <v>#REF!</v>
      </c>
      <c r="AG42" t="e">
        <f>AND(#REF!,"AAAAAH5rnyA=")</f>
        <v>#REF!</v>
      </c>
      <c r="AH42" t="e">
        <f>AND(#REF!,"AAAAAH5rnyE=")</f>
        <v>#REF!</v>
      </c>
      <c r="AI42" t="e">
        <f>AND(#REF!,"AAAAAH5rnyI=")</f>
        <v>#REF!</v>
      </c>
      <c r="AJ42" t="e">
        <f>AND(#REF!,"AAAAAH5rnyM=")</f>
        <v>#REF!</v>
      </c>
      <c r="AK42" t="e">
        <f>AND(#REF!,"AAAAAH5rnyQ=")</f>
        <v>#REF!</v>
      </c>
      <c r="AL42" t="e">
        <f>AND(#REF!,"AAAAAH5rnyU=")</f>
        <v>#REF!</v>
      </c>
      <c r="AM42" t="e">
        <f>AND(#REF!,"AAAAAH5rnyY=")</f>
        <v>#REF!</v>
      </c>
      <c r="AN42" t="e">
        <f>AND(#REF!,"AAAAAH5rnyc=")</f>
        <v>#REF!</v>
      </c>
      <c r="AO42" t="e">
        <f>AND(#REF!,"AAAAAH5rnyg=")</f>
        <v>#REF!</v>
      </c>
      <c r="AP42" t="e">
        <f>AND(#REF!,"AAAAAH5rnyk=")</f>
        <v>#REF!</v>
      </c>
      <c r="AQ42" t="e">
        <f>AND(#REF!,"AAAAAH5rnyo=")</f>
        <v>#REF!</v>
      </c>
      <c r="AR42" t="e">
        <f>AND(#REF!,"AAAAAH5rnys=")</f>
        <v>#REF!</v>
      </c>
      <c r="AS42" t="e">
        <f>AND(#REF!,"AAAAAH5rnyw=")</f>
        <v>#REF!</v>
      </c>
      <c r="AT42" t="e">
        <f>AND(#REF!,"AAAAAH5rny0=")</f>
        <v>#REF!</v>
      </c>
      <c r="AU42" t="e">
        <f>AND(#REF!,"AAAAAH5rny4=")</f>
        <v>#REF!</v>
      </c>
      <c r="AV42" t="e">
        <f>AND(#REF!,"AAAAAH5rny8=")</f>
        <v>#REF!</v>
      </c>
      <c r="AW42" t="e">
        <f>AND(#REF!,"AAAAAH5rnzA=")</f>
        <v>#REF!</v>
      </c>
      <c r="AX42" t="e">
        <f>AND(#REF!,"AAAAAH5rnzE=")</f>
        <v>#REF!</v>
      </c>
      <c r="AY42" t="e">
        <f>AND(#REF!,"AAAAAH5rnzI=")</f>
        <v>#REF!</v>
      </c>
      <c r="AZ42" t="e">
        <f>AND(#REF!,"AAAAAH5rnzM=")</f>
        <v>#REF!</v>
      </c>
      <c r="BA42" t="e">
        <f>AND(#REF!,"AAAAAH5rnzQ=")</f>
        <v>#REF!</v>
      </c>
      <c r="BB42" t="e">
        <f>AND(#REF!,"AAAAAH5rnzU=")</f>
        <v>#REF!</v>
      </c>
      <c r="BC42" t="e">
        <f>AND(#REF!,"AAAAAH5rnzY=")</f>
        <v>#REF!</v>
      </c>
      <c r="BD42" t="e">
        <f>AND(#REF!,"AAAAAH5rnzc=")</f>
        <v>#REF!</v>
      </c>
      <c r="BE42" t="e">
        <f>AND(#REF!,"AAAAAH5rnzg=")</f>
        <v>#REF!</v>
      </c>
      <c r="BF42" t="e">
        <f>AND(#REF!,"AAAAAH5rnzk=")</f>
        <v>#REF!</v>
      </c>
      <c r="BG42" t="e">
        <f>AND(#REF!,"AAAAAH5rnzo=")</f>
        <v>#REF!</v>
      </c>
      <c r="BH42" t="e">
        <f>AND(#REF!,"AAAAAH5rnzs=")</f>
        <v>#REF!</v>
      </c>
      <c r="BI42" t="e">
        <f>AND(#REF!,"AAAAAH5rnzw=")</f>
        <v>#REF!</v>
      </c>
      <c r="BJ42" t="e">
        <f>AND(#REF!,"AAAAAH5rnz0=")</f>
        <v>#REF!</v>
      </c>
      <c r="BK42" t="e">
        <f>AND(#REF!,"AAAAAH5rnz4=")</f>
        <v>#REF!</v>
      </c>
      <c r="BL42" t="e">
        <f>AND(#REF!,"AAAAAH5rnz8=")</f>
        <v>#REF!</v>
      </c>
      <c r="BM42" t="e">
        <f>AND(#REF!,"AAAAAH5rn0A=")</f>
        <v>#REF!</v>
      </c>
      <c r="BN42" t="e">
        <f>AND(#REF!,"AAAAAH5rn0E=")</f>
        <v>#REF!</v>
      </c>
      <c r="BO42" t="e">
        <f>AND(#REF!,"AAAAAH5rn0I=")</f>
        <v>#REF!</v>
      </c>
      <c r="BP42" t="e">
        <f>AND(#REF!,"AAAAAH5rn0M=")</f>
        <v>#REF!</v>
      </c>
      <c r="BQ42" t="e">
        <f>AND(#REF!,"AAAAAH5rn0Q=")</f>
        <v>#REF!</v>
      </c>
      <c r="BR42" t="e">
        <f>AND(#REF!,"AAAAAH5rn0U=")</f>
        <v>#REF!</v>
      </c>
      <c r="BS42" t="e">
        <f>AND(#REF!,"AAAAAH5rn0Y=")</f>
        <v>#REF!</v>
      </c>
      <c r="BT42" t="e">
        <f>AND(#REF!,"AAAAAH5rn0c=")</f>
        <v>#REF!</v>
      </c>
      <c r="BU42" t="e">
        <f>AND(#REF!,"AAAAAH5rn0g=")</f>
        <v>#REF!</v>
      </c>
      <c r="BV42" t="e">
        <f>AND(#REF!,"AAAAAH5rn0k=")</f>
        <v>#REF!</v>
      </c>
      <c r="BW42" t="e">
        <f>AND(#REF!,"AAAAAH5rn0o=")</f>
        <v>#REF!</v>
      </c>
      <c r="BX42" t="e">
        <f>AND(#REF!,"AAAAAH5rn0s=")</f>
        <v>#REF!</v>
      </c>
      <c r="BY42" t="e">
        <f>AND(#REF!,"AAAAAH5rn0w=")</f>
        <v>#REF!</v>
      </c>
      <c r="BZ42" t="e">
        <f>AND(#REF!,"AAAAAH5rn00=")</f>
        <v>#REF!</v>
      </c>
      <c r="CA42" t="e">
        <f>AND(#REF!,"AAAAAH5rn04=")</f>
        <v>#REF!</v>
      </c>
      <c r="CB42" t="e">
        <f>AND(#REF!,"AAAAAH5rn08=")</f>
        <v>#REF!</v>
      </c>
      <c r="CC42" t="e">
        <f>AND(#REF!,"AAAAAH5rn1A=")</f>
        <v>#REF!</v>
      </c>
      <c r="CD42" t="e">
        <f>AND(#REF!,"AAAAAH5rn1E=")</f>
        <v>#REF!</v>
      </c>
      <c r="CE42" t="e">
        <f>AND(#REF!,"AAAAAH5rn1I=")</f>
        <v>#REF!</v>
      </c>
      <c r="CF42" t="e">
        <f>AND(#REF!,"AAAAAH5rn1M=")</f>
        <v>#REF!</v>
      </c>
      <c r="CG42" t="e">
        <f>AND(#REF!,"AAAAAH5rn1Q=")</f>
        <v>#REF!</v>
      </c>
      <c r="CH42" t="e">
        <f>AND(#REF!,"AAAAAH5rn1U=")</f>
        <v>#REF!</v>
      </c>
      <c r="CI42" t="e">
        <f>AND(#REF!,"AAAAAH5rn1Y=")</f>
        <v>#REF!</v>
      </c>
      <c r="CJ42" t="e">
        <f>AND(#REF!,"AAAAAH5rn1c=")</f>
        <v>#REF!</v>
      </c>
      <c r="CK42" t="e">
        <f>AND(#REF!,"AAAAAH5rn1g=")</f>
        <v>#REF!</v>
      </c>
      <c r="CL42" t="e">
        <f>AND(#REF!,"AAAAAH5rn1k=")</f>
        <v>#REF!</v>
      </c>
      <c r="CM42" t="e">
        <f>AND(#REF!,"AAAAAH5rn1o=")</f>
        <v>#REF!</v>
      </c>
      <c r="CN42" t="e">
        <f>AND(#REF!,"AAAAAH5rn1s=")</f>
        <v>#REF!</v>
      </c>
      <c r="CO42" t="e">
        <f>AND(#REF!,"AAAAAH5rn1w=")</f>
        <v>#REF!</v>
      </c>
      <c r="CP42" t="e">
        <f>AND(#REF!,"AAAAAH5rn10=")</f>
        <v>#REF!</v>
      </c>
      <c r="CQ42" t="e">
        <f>AND(#REF!,"AAAAAH5rn14=")</f>
        <v>#REF!</v>
      </c>
      <c r="CR42" t="e">
        <f>AND(#REF!,"AAAAAH5rn18=")</f>
        <v>#REF!</v>
      </c>
      <c r="CS42" t="e">
        <f>AND(#REF!,"AAAAAH5rn2A=")</f>
        <v>#REF!</v>
      </c>
      <c r="CT42" t="e">
        <f>AND(#REF!,"AAAAAH5rn2E=")</f>
        <v>#REF!</v>
      </c>
      <c r="CU42" t="e">
        <f>AND(#REF!,"AAAAAH5rn2I=")</f>
        <v>#REF!</v>
      </c>
      <c r="CV42" t="e">
        <f>AND(#REF!,"AAAAAH5rn2M=")</f>
        <v>#REF!</v>
      </c>
      <c r="CW42" t="e">
        <f>AND(#REF!,"AAAAAH5rn2Q=")</f>
        <v>#REF!</v>
      </c>
      <c r="CX42" t="e">
        <f>AND(#REF!,"AAAAAH5rn2U=")</f>
        <v>#REF!</v>
      </c>
      <c r="CY42" t="e">
        <f>AND(#REF!,"AAAAAH5rn2Y=")</f>
        <v>#REF!</v>
      </c>
      <c r="CZ42" t="e">
        <f>AND(#REF!,"AAAAAH5rn2c=")</f>
        <v>#REF!</v>
      </c>
      <c r="DA42" t="e">
        <f>AND(#REF!,"AAAAAH5rn2g=")</f>
        <v>#REF!</v>
      </c>
      <c r="DB42" t="e">
        <f>AND(#REF!,"AAAAAH5rn2k=")</f>
        <v>#REF!</v>
      </c>
      <c r="DC42" t="e">
        <f>AND(#REF!,"AAAAAH5rn2o=")</f>
        <v>#REF!</v>
      </c>
      <c r="DD42" t="e">
        <f>AND(#REF!,"AAAAAH5rn2s=")</f>
        <v>#REF!</v>
      </c>
      <c r="DE42" t="e">
        <f>AND(#REF!,"AAAAAH5rn2w=")</f>
        <v>#REF!</v>
      </c>
      <c r="DF42" t="e">
        <f>AND(#REF!,"AAAAAH5rn20=")</f>
        <v>#REF!</v>
      </c>
      <c r="DG42" t="e">
        <f>AND(#REF!,"AAAAAH5rn24=")</f>
        <v>#REF!</v>
      </c>
      <c r="DH42" t="e">
        <f>AND(#REF!,"AAAAAH5rn28=")</f>
        <v>#REF!</v>
      </c>
      <c r="DI42" t="e">
        <f>AND(#REF!,"AAAAAH5rn3A=")</f>
        <v>#REF!</v>
      </c>
      <c r="DJ42" t="e">
        <f>AND(#REF!,"AAAAAH5rn3E=")</f>
        <v>#REF!</v>
      </c>
      <c r="DK42" t="e">
        <f>AND(#REF!,"AAAAAH5rn3I=")</f>
        <v>#REF!</v>
      </c>
      <c r="DL42" t="e">
        <f>AND(#REF!,"AAAAAH5rn3M=")</f>
        <v>#REF!</v>
      </c>
      <c r="DM42" t="e">
        <f>AND(#REF!,"AAAAAH5rn3Q=")</f>
        <v>#REF!</v>
      </c>
      <c r="DN42" t="e">
        <f>AND(#REF!,"AAAAAH5rn3U=")</f>
        <v>#REF!</v>
      </c>
      <c r="DO42" t="e">
        <f>AND(#REF!,"AAAAAH5rn3Y=")</f>
        <v>#REF!</v>
      </c>
      <c r="DP42" t="e">
        <f>AND(#REF!,"AAAAAH5rn3c=")</f>
        <v>#REF!</v>
      </c>
      <c r="DQ42" t="e">
        <f>AND(#REF!,"AAAAAH5rn3g=")</f>
        <v>#REF!</v>
      </c>
      <c r="DR42" t="e">
        <f>AND(#REF!,"AAAAAH5rn3k=")</f>
        <v>#REF!</v>
      </c>
      <c r="DS42" t="e">
        <f>AND(#REF!,"AAAAAH5rn3o=")</f>
        <v>#REF!</v>
      </c>
      <c r="DT42" t="e">
        <f>AND(#REF!,"AAAAAH5rn3s=")</f>
        <v>#REF!</v>
      </c>
      <c r="DU42" t="e">
        <f>AND(#REF!,"AAAAAH5rn3w=")</f>
        <v>#REF!</v>
      </c>
      <c r="DV42" t="e">
        <f>AND(#REF!,"AAAAAH5rn30=")</f>
        <v>#REF!</v>
      </c>
      <c r="DW42" t="e">
        <f>AND(#REF!,"AAAAAH5rn34=")</f>
        <v>#REF!</v>
      </c>
      <c r="DX42" t="e">
        <f>AND(#REF!,"AAAAAH5rn38=")</f>
        <v>#REF!</v>
      </c>
      <c r="DY42" t="e">
        <f>AND(#REF!,"AAAAAH5rn4A=")</f>
        <v>#REF!</v>
      </c>
      <c r="DZ42" t="e">
        <f>AND(#REF!,"AAAAAH5rn4E=")</f>
        <v>#REF!</v>
      </c>
      <c r="EA42" t="e">
        <f>AND(#REF!,"AAAAAH5rn4I=")</f>
        <v>#REF!</v>
      </c>
      <c r="EB42" t="e">
        <f>AND(#REF!,"AAAAAH5rn4M=")</f>
        <v>#REF!</v>
      </c>
      <c r="EC42" t="e">
        <f>AND(#REF!,"AAAAAH5rn4Q=")</f>
        <v>#REF!</v>
      </c>
      <c r="ED42" t="e">
        <f>AND(#REF!,"AAAAAH5rn4U=")</f>
        <v>#REF!</v>
      </c>
      <c r="EE42" t="e">
        <f>AND(#REF!,"AAAAAH5rn4Y=")</f>
        <v>#REF!</v>
      </c>
      <c r="EF42" t="e">
        <f>AND(#REF!,"AAAAAH5rn4c=")</f>
        <v>#REF!</v>
      </c>
      <c r="EG42" t="e">
        <f>AND(#REF!,"AAAAAH5rn4g=")</f>
        <v>#REF!</v>
      </c>
      <c r="EH42" t="e">
        <f>AND(#REF!,"AAAAAH5rn4k=")</f>
        <v>#REF!</v>
      </c>
      <c r="EI42" t="e">
        <f>AND(#REF!,"AAAAAH5rn4o=")</f>
        <v>#REF!</v>
      </c>
      <c r="EJ42" t="e">
        <f>AND(#REF!,"AAAAAH5rn4s=")</f>
        <v>#REF!</v>
      </c>
      <c r="EK42" t="e">
        <f>AND(#REF!,"AAAAAH5rn4w=")</f>
        <v>#REF!</v>
      </c>
      <c r="EL42" t="e">
        <f>AND(#REF!,"AAAAAH5rn40=")</f>
        <v>#REF!</v>
      </c>
      <c r="EM42" t="e">
        <f>AND(#REF!,"AAAAAH5rn44=")</f>
        <v>#REF!</v>
      </c>
      <c r="EN42" t="e">
        <f>AND(#REF!,"AAAAAH5rn48=")</f>
        <v>#REF!</v>
      </c>
      <c r="EO42" t="e">
        <f>AND(#REF!,"AAAAAH5rn5A=")</f>
        <v>#REF!</v>
      </c>
      <c r="EP42" t="e">
        <f>AND(#REF!,"AAAAAH5rn5E=")</f>
        <v>#REF!</v>
      </c>
      <c r="EQ42" t="e">
        <f>AND(#REF!,"AAAAAH5rn5I=")</f>
        <v>#REF!</v>
      </c>
      <c r="ER42" t="e">
        <f>AND(#REF!,"AAAAAH5rn5M=")</f>
        <v>#REF!</v>
      </c>
      <c r="ES42" t="e">
        <f>AND(#REF!,"AAAAAH5rn5Q=")</f>
        <v>#REF!</v>
      </c>
      <c r="ET42" t="e">
        <f>AND(#REF!,"AAAAAH5rn5U=")</f>
        <v>#REF!</v>
      </c>
      <c r="EU42" t="e">
        <f>AND(#REF!,"AAAAAH5rn5Y=")</f>
        <v>#REF!</v>
      </c>
      <c r="EV42" t="e">
        <f>AND(#REF!,"AAAAAH5rn5c=")</f>
        <v>#REF!</v>
      </c>
      <c r="EW42" t="e">
        <f>AND(#REF!,"AAAAAH5rn5g=")</f>
        <v>#REF!</v>
      </c>
      <c r="EX42" t="e">
        <f>AND(#REF!,"AAAAAH5rn5k=")</f>
        <v>#REF!</v>
      </c>
      <c r="EY42" t="e">
        <f>AND(#REF!,"AAAAAH5rn5o=")</f>
        <v>#REF!</v>
      </c>
      <c r="EZ42" t="e">
        <f>AND(#REF!,"AAAAAH5rn5s=")</f>
        <v>#REF!</v>
      </c>
      <c r="FA42" t="e">
        <f>AND(#REF!,"AAAAAH5rn5w=")</f>
        <v>#REF!</v>
      </c>
      <c r="FB42" t="e">
        <f>AND(#REF!,"AAAAAH5rn50=")</f>
        <v>#REF!</v>
      </c>
      <c r="FC42" t="e">
        <f>AND(#REF!,"AAAAAH5rn54=")</f>
        <v>#REF!</v>
      </c>
      <c r="FD42" t="e">
        <f>AND(#REF!,"AAAAAH5rn58=")</f>
        <v>#REF!</v>
      </c>
      <c r="FE42" t="e">
        <f>AND(#REF!,"AAAAAH5rn6A=")</f>
        <v>#REF!</v>
      </c>
      <c r="FF42" t="e">
        <f>AND(#REF!,"AAAAAH5rn6E=")</f>
        <v>#REF!</v>
      </c>
      <c r="FG42" t="e">
        <f>AND(#REF!,"AAAAAH5rn6I=")</f>
        <v>#REF!</v>
      </c>
      <c r="FH42" t="e">
        <f>AND(#REF!,"AAAAAH5rn6M=")</f>
        <v>#REF!</v>
      </c>
      <c r="FI42" t="e">
        <f>AND(#REF!,"AAAAAH5rn6Q=")</f>
        <v>#REF!</v>
      </c>
      <c r="FJ42" t="e">
        <f>AND(#REF!,"AAAAAH5rn6U=")</f>
        <v>#REF!</v>
      </c>
      <c r="FK42" t="e">
        <f>AND(#REF!,"AAAAAH5rn6Y=")</f>
        <v>#REF!</v>
      </c>
      <c r="FL42" t="e">
        <f>AND(#REF!,"AAAAAH5rn6c=")</f>
        <v>#REF!</v>
      </c>
      <c r="FM42" t="e">
        <f>AND(#REF!,"AAAAAH5rn6g=")</f>
        <v>#REF!</v>
      </c>
      <c r="FN42" t="e">
        <f>AND(#REF!,"AAAAAH5rn6k=")</f>
        <v>#REF!</v>
      </c>
      <c r="FO42" t="e">
        <f>AND(#REF!,"AAAAAH5rn6o=")</f>
        <v>#REF!</v>
      </c>
      <c r="FP42" t="e">
        <f>AND(#REF!,"AAAAAH5rn6s=")</f>
        <v>#REF!</v>
      </c>
      <c r="FQ42" t="e">
        <f>AND(#REF!,"AAAAAH5rn6w=")</f>
        <v>#REF!</v>
      </c>
      <c r="FR42" t="e">
        <f>AND(#REF!,"AAAAAH5rn60=")</f>
        <v>#REF!</v>
      </c>
      <c r="FS42" t="e">
        <f>AND(#REF!,"AAAAAH5rn64=")</f>
        <v>#REF!</v>
      </c>
      <c r="FT42" t="e">
        <f>AND(#REF!,"AAAAAH5rn68=")</f>
        <v>#REF!</v>
      </c>
      <c r="FU42" t="e">
        <f>AND(#REF!,"AAAAAH5rn7A=")</f>
        <v>#REF!</v>
      </c>
      <c r="FV42" t="e">
        <f>AND(#REF!,"AAAAAH5rn7E=")</f>
        <v>#REF!</v>
      </c>
      <c r="FW42" t="e">
        <f>AND(#REF!,"AAAAAH5rn7I=")</f>
        <v>#REF!</v>
      </c>
      <c r="FX42" t="e">
        <f>AND(#REF!,"AAAAAH5rn7M=")</f>
        <v>#REF!</v>
      </c>
      <c r="FY42" t="e">
        <f>AND(#REF!,"AAAAAH5rn7Q=")</f>
        <v>#REF!</v>
      </c>
      <c r="FZ42" t="e">
        <f>AND(#REF!,"AAAAAH5rn7U=")</f>
        <v>#REF!</v>
      </c>
      <c r="GA42" t="e">
        <f>AND(#REF!,"AAAAAH5rn7Y=")</f>
        <v>#REF!</v>
      </c>
      <c r="GB42" t="e">
        <f>AND(#REF!,"AAAAAH5rn7c=")</f>
        <v>#REF!</v>
      </c>
      <c r="GC42" t="e">
        <f>AND(#REF!,"AAAAAH5rn7g=")</f>
        <v>#REF!</v>
      </c>
      <c r="GD42" t="e">
        <f>AND(#REF!,"AAAAAH5rn7k=")</f>
        <v>#REF!</v>
      </c>
      <c r="GE42" t="e">
        <f>AND(#REF!,"AAAAAH5rn7o=")</f>
        <v>#REF!</v>
      </c>
      <c r="GF42" t="e">
        <f>AND(#REF!,"AAAAAH5rn7s=")</f>
        <v>#REF!</v>
      </c>
      <c r="GG42" t="e">
        <f>AND(#REF!,"AAAAAH5rn7w=")</f>
        <v>#REF!</v>
      </c>
      <c r="GH42" t="e">
        <f>AND(#REF!,"AAAAAH5rn70=")</f>
        <v>#REF!</v>
      </c>
      <c r="GI42" t="e">
        <f>AND(#REF!,"AAAAAH5rn74=")</f>
        <v>#REF!</v>
      </c>
      <c r="GJ42" t="e">
        <f>AND(#REF!,"AAAAAH5rn78=")</f>
        <v>#REF!</v>
      </c>
      <c r="GK42" t="e">
        <f>AND(#REF!,"AAAAAH5rn8A=")</f>
        <v>#REF!</v>
      </c>
      <c r="GL42" t="e">
        <f>AND(#REF!,"AAAAAH5rn8E=")</f>
        <v>#REF!</v>
      </c>
      <c r="GM42" t="e">
        <f>AND(#REF!,"AAAAAH5rn8I=")</f>
        <v>#REF!</v>
      </c>
      <c r="GN42" t="e">
        <f>AND(#REF!,"AAAAAH5rn8M=")</f>
        <v>#REF!</v>
      </c>
      <c r="GO42" t="e">
        <f>AND(#REF!,"AAAAAH5rn8Q=")</f>
        <v>#REF!</v>
      </c>
      <c r="GP42" t="e">
        <f>AND(#REF!,"AAAAAH5rn8U=")</f>
        <v>#REF!</v>
      </c>
      <c r="GQ42" t="e">
        <f>AND(#REF!,"AAAAAH5rn8Y=")</f>
        <v>#REF!</v>
      </c>
      <c r="GR42" t="e">
        <f>AND(#REF!,"AAAAAH5rn8c=")</f>
        <v>#REF!</v>
      </c>
      <c r="GS42" t="e">
        <f>AND(#REF!,"AAAAAH5rn8g=")</f>
        <v>#REF!</v>
      </c>
      <c r="GT42" t="e">
        <f>AND(#REF!,"AAAAAH5rn8k=")</f>
        <v>#REF!</v>
      </c>
      <c r="GU42" t="e">
        <f>AND(#REF!,"AAAAAH5rn8o=")</f>
        <v>#REF!</v>
      </c>
      <c r="GV42" t="e">
        <f>AND(#REF!,"AAAAAH5rn8s=")</f>
        <v>#REF!</v>
      </c>
      <c r="GW42" t="e">
        <f>AND(#REF!,"AAAAAH5rn8w=")</f>
        <v>#REF!</v>
      </c>
      <c r="GX42" t="e">
        <f>AND(#REF!,"AAAAAH5rn80=")</f>
        <v>#REF!</v>
      </c>
      <c r="GY42" t="e">
        <f>AND(#REF!,"AAAAAH5rn84=")</f>
        <v>#REF!</v>
      </c>
      <c r="GZ42" t="e">
        <f>AND(#REF!,"AAAAAH5rn88=")</f>
        <v>#REF!</v>
      </c>
      <c r="HA42" t="e">
        <f>AND(#REF!,"AAAAAH5rn9A=")</f>
        <v>#REF!</v>
      </c>
      <c r="HB42" t="e">
        <f>AND(#REF!,"AAAAAH5rn9E=")</f>
        <v>#REF!</v>
      </c>
      <c r="HC42" t="e">
        <f>AND(#REF!,"AAAAAH5rn9I=")</f>
        <v>#REF!</v>
      </c>
      <c r="HD42" t="e">
        <f>AND(#REF!,"AAAAAH5rn9M=")</f>
        <v>#REF!</v>
      </c>
      <c r="HE42" t="e">
        <f>AND(#REF!,"AAAAAH5rn9Q=")</f>
        <v>#REF!</v>
      </c>
      <c r="HF42" t="e">
        <f>AND(#REF!,"AAAAAH5rn9U=")</f>
        <v>#REF!</v>
      </c>
      <c r="HG42" t="e">
        <f>AND(#REF!,"AAAAAH5rn9Y=")</f>
        <v>#REF!</v>
      </c>
      <c r="HH42" t="e">
        <f>AND(#REF!,"AAAAAH5rn9c=")</f>
        <v>#REF!</v>
      </c>
      <c r="HI42" t="e">
        <f>AND(#REF!,"AAAAAH5rn9g=")</f>
        <v>#REF!</v>
      </c>
      <c r="HJ42" t="e">
        <f>AND(#REF!,"AAAAAH5rn9k=")</f>
        <v>#REF!</v>
      </c>
      <c r="HK42" t="e">
        <f>AND(#REF!,"AAAAAH5rn9o=")</f>
        <v>#REF!</v>
      </c>
      <c r="HL42" t="e">
        <f>AND(#REF!,"AAAAAH5rn9s=")</f>
        <v>#REF!</v>
      </c>
      <c r="HM42" t="e">
        <f>AND(#REF!,"AAAAAH5rn9w=")</f>
        <v>#REF!</v>
      </c>
      <c r="HN42" t="e">
        <f>AND(#REF!,"AAAAAH5rn90=")</f>
        <v>#REF!</v>
      </c>
      <c r="HO42" t="e">
        <f>AND(#REF!,"AAAAAH5rn94=")</f>
        <v>#REF!</v>
      </c>
      <c r="HP42" t="e">
        <f>AND(#REF!,"AAAAAH5rn98=")</f>
        <v>#REF!</v>
      </c>
      <c r="HQ42" t="e">
        <f>AND(#REF!,"AAAAAH5rn+A=")</f>
        <v>#REF!</v>
      </c>
      <c r="HR42" t="e">
        <f>AND(#REF!,"AAAAAH5rn+E=")</f>
        <v>#REF!</v>
      </c>
      <c r="HS42" t="e">
        <f>AND(#REF!,"AAAAAH5rn+I=")</f>
        <v>#REF!</v>
      </c>
      <c r="HT42" t="e">
        <f>AND(#REF!,"AAAAAH5rn+M=")</f>
        <v>#REF!</v>
      </c>
      <c r="HU42" t="e">
        <f>AND(#REF!,"AAAAAH5rn+Q=")</f>
        <v>#REF!</v>
      </c>
      <c r="HV42" t="e">
        <f>AND(#REF!,"AAAAAH5rn+U=")</f>
        <v>#REF!</v>
      </c>
      <c r="HW42" t="e">
        <f>AND(#REF!,"AAAAAH5rn+Y=")</f>
        <v>#REF!</v>
      </c>
      <c r="HX42" t="e">
        <f>AND(#REF!,"AAAAAH5rn+c=")</f>
        <v>#REF!</v>
      </c>
      <c r="HY42" t="e">
        <f>AND(#REF!,"AAAAAH5rn+g=")</f>
        <v>#REF!</v>
      </c>
      <c r="HZ42" t="e">
        <f>AND(#REF!,"AAAAAH5rn+k=")</f>
        <v>#REF!</v>
      </c>
      <c r="IA42" t="e">
        <f>AND(#REF!,"AAAAAH5rn+o=")</f>
        <v>#REF!</v>
      </c>
      <c r="IB42" t="e">
        <f>AND(#REF!,"AAAAAH5rn+s=")</f>
        <v>#REF!</v>
      </c>
      <c r="IC42" t="e">
        <f>AND(#REF!,"AAAAAH5rn+w=")</f>
        <v>#REF!</v>
      </c>
      <c r="ID42" t="e">
        <f>AND(#REF!,"AAAAAH5rn+0=")</f>
        <v>#REF!</v>
      </c>
      <c r="IE42" t="e">
        <f>AND(#REF!,"AAAAAH5rn+4=")</f>
        <v>#REF!</v>
      </c>
      <c r="IF42" t="e">
        <f>AND(#REF!,"AAAAAH5rn+8=")</f>
        <v>#REF!</v>
      </c>
      <c r="IG42" t="e">
        <f>AND(#REF!,"AAAAAH5rn/A=")</f>
        <v>#REF!</v>
      </c>
      <c r="IH42" t="e">
        <f>AND(#REF!,"AAAAAH5rn/E=")</f>
        <v>#REF!</v>
      </c>
      <c r="II42" t="e">
        <f>AND(#REF!,"AAAAAH5rn/I=")</f>
        <v>#REF!</v>
      </c>
      <c r="IJ42" t="e">
        <f>AND(#REF!,"AAAAAH5rn/M=")</f>
        <v>#REF!</v>
      </c>
      <c r="IK42" t="e">
        <f>AND(#REF!,"AAAAAH5rn/Q=")</f>
        <v>#REF!</v>
      </c>
      <c r="IL42" t="e">
        <f>AND(#REF!,"AAAAAH5rn/U=")</f>
        <v>#REF!</v>
      </c>
      <c r="IM42" t="e">
        <f>AND(#REF!,"AAAAAH5rn/Y=")</f>
        <v>#REF!</v>
      </c>
      <c r="IN42" t="e">
        <f>AND(#REF!,"AAAAAH5rn/c=")</f>
        <v>#REF!</v>
      </c>
      <c r="IO42" t="e">
        <f>AND(#REF!,"AAAAAH5rn/g=")</f>
        <v>#REF!</v>
      </c>
      <c r="IP42" t="e">
        <f>AND(#REF!,"AAAAAH5rn/k=")</f>
        <v>#REF!</v>
      </c>
      <c r="IQ42" t="e">
        <f>AND(#REF!,"AAAAAH5rn/o=")</f>
        <v>#REF!</v>
      </c>
      <c r="IR42" t="e">
        <f>AND(#REF!,"AAAAAH5rn/s=")</f>
        <v>#REF!</v>
      </c>
      <c r="IS42" t="e">
        <f>AND(#REF!,"AAAAAH5rn/w=")</f>
        <v>#REF!</v>
      </c>
      <c r="IT42" t="e">
        <f>AND(#REF!,"AAAAAH5rn/0=")</f>
        <v>#REF!</v>
      </c>
      <c r="IU42" t="e">
        <f>AND(#REF!,"AAAAAH5rn/4=")</f>
        <v>#REF!</v>
      </c>
      <c r="IV42" t="e">
        <f>AND(#REF!,"AAAAAH5rn/8=")</f>
        <v>#REF!</v>
      </c>
    </row>
    <row r="43" spans="1:256">
      <c r="A43" t="e">
        <f>AND(#REF!,"AAAAAHrubgA=")</f>
        <v>#REF!</v>
      </c>
      <c r="B43" t="e">
        <f>AND(#REF!,"AAAAAHrubgE=")</f>
        <v>#REF!</v>
      </c>
      <c r="C43" t="e">
        <f>AND(#REF!,"AAAAAHrubgI=")</f>
        <v>#REF!</v>
      </c>
      <c r="D43" t="e">
        <f>AND(#REF!,"AAAAAHrubgM=")</f>
        <v>#REF!</v>
      </c>
      <c r="E43" t="e">
        <f>AND(#REF!,"AAAAAHrubgQ=")</f>
        <v>#REF!</v>
      </c>
      <c r="F43" t="e">
        <f>AND(#REF!,"AAAAAHrubgU=")</f>
        <v>#REF!</v>
      </c>
      <c r="G43" t="e">
        <f>AND(#REF!,"AAAAAHrubgY=")</f>
        <v>#REF!</v>
      </c>
      <c r="H43" t="e">
        <f>AND(#REF!,"AAAAAHrubgc=")</f>
        <v>#REF!</v>
      </c>
      <c r="I43" t="e">
        <f>AND(#REF!,"AAAAAHrubgg=")</f>
        <v>#REF!</v>
      </c>
      <c r="J43" t="e">
        <f>AND(#REF!,"AAAAAHrubgk=")</f>
        <v>#REF!</v>
      </c>
      <c r="K43" t="e">
        <f>AND(#REF!,"AAAAAHrubgo=")</f>
        <v>#REF!</v>
      </c>
      <c r="L43" t="e">
        <f>AND(#REF!,"AAAAAHrubgs=")</f>
        <v>#REF!</v>
      </c>
      <c r="M43" t="e">
        <f>AND(#REF!,"AAAAAHrubgw=")</f>
        <v>#REF!</v>
      </c>
      <c r="N43" t="e">
        <f>AND(#REF!,"AAAAAHrubg0=")</f>
        <v>#REF!</v>
      </c>
      <c r="O43" t="e">
        <f>AND(#REF!,"AAAAAHrubg4=")</f>
        <v>#REF!</v>
      </c>
      <c r="P43" t="e">
        <f>AND(#REF!,"AAAAAHrubg8=")</f>
        <v>#REF!</v>
      </c>
      <c r="Q43" t="e">
        <f>AND(#REF!,"AAAAAHrubhA=")</f>
        <v>#REF!</v>
      </c>
      <c r="R43" t="e">
        <f>AND(#REF!,"AAAAAHrubhE=")</f>
        <v>#REF!</v>
      </c>
      <c r="S43" t="e">
        <f>AND(#REF!,"AAAAAHrubhI=")</f>
        <v>#REF!</v>
      </c>
      <c r="T43" t="e">
        <f>AND(#REF!,"AAAAAHrubhM=")</f>
        <v>#REF!</v>
      </c>
      <c r="U43" t="e">
        <f>AND(#REF!,"AAAAAHrubhQ=")</f>
        <v>#REF!</v>
      </c>
      <c r="V43" t="e">
        <f>AND(#REF!,"AAAAAHrubhU=")</f>
        <v>#REF!</v>
      </c>
      <c r="W43" t="e">
        <f>AND(#REF!,"AAAAAHrubhY=")</f>
        <v>#REF!</v>
      </c>
      <c r="X43" t="e">
        <f>AND(#REF!,"AAAAAHrubhc=")</f>
        <v>#REF!</v>
      </c>
      <c r="Y43" t="e">
        <f>AND(#REF!,"AAAAAHrubhg=")</f>
        <v>#REF!</v>
      </c>
      <c r="Z43" t="e">
        <f>AND(#REF!,"AAAAAHrubhk=")</f>
        <v>#REF!</v>
      </c>
      <c r="AA43" t="e">
        <f>AND(#REF!,"AAAAAHrubho=")</f>
        <v>#REF!</v>
      </c>
      <c r="AB43" t="e">
        <f>AND(#REF!,"AAAAAHrubhs=")</f>
        <v>#REF!</v>
      </c>
      <c r="AC43" t="e">
        <f>AND(#REF!,"AAAAAHrubhw=")</f>
        <v>#REF!</v>
      </c>
      <c r="AD43" t="e">
        <f>AND(#REF!,"AAAAAHrubh0=")</f>
        <v>#REF!</v>
      </c>
      <c r="AE43" t="e">
        <f>AND(#REF!,"AAAAAHrubh4=")</f>
        <v>#REF!</v>
      </c>
      <c r="AF43" t="e">
        <f>AND(#REF!,"AAAAAHrubh8=")</f>
        <v>#REF!</v>
      </c>
      <c r="AG43" t="e">
        <f>AND(#REF!,"AAAAAHrubiA=")</f>
        <v>#REF!</v>
      </c>
      <c r="AH43" t="e">
        <f>AND(#REF!,"AAAAAHrubiE=")</f>
        <v>#REF!</v>
      </c>
      <c r="AI43" t="e">
        <f>AND(#REF!,"AAAAAHrubiI=")</f>
        <v>#REF!</v>
      </c>
      <c r="AJ43" t="e">
        <f>AND(#REF!,"AAAAAHrubiM=")</f>
        <v>#REF!</v>
      </c>
      <c r="AK43" t="e">
        <f>AND(#REF!,"AAAAAHrubiQ=")</f>
        <v>#REF!</v>
      </c>
      <c r="AL43" t="e">
        <f>AND(#REF!,"AAAAAHrubiU=")</f>
        <v>#REF!</v>
      </c>
      <c r="AM43" t="e">
        <f>AND(#REF!,"AAAAAHrubiY=")</f>
        <v>#REF!</v>
      </c>
      <c r="AN43" t="e">
        <f>AND(#REF!,"AAAAAHrubic=")</f>
        <v>#REF!</v>
      </c>
      <c r="AO43" t="e">
        <f>AND(#REF!,"AAAAAHrubig=")</f>
        <v>#REF!</v>
      </c>
      <c r="AP43" t="e">
        <f>AND(#REF!,"AAAAAHrubik=")</f>
        <v>#REF!</v>
      </c>
      <c r="AQ43" t="e">
        <f>AND(#REF!,"AAAAAHrubio=")</f>
        <v>#REF!</v>
      </c>
      <c r="AR43" t="e">
        <f>AND(#REF!,"AAAAAHrubis=")</f>
        <v>#REF!</v>
      </c>
      <c r="AS43" t="e">
        <f>AND(#REF!,"AAAAAHrubiw=")</f>
        <v>#REF!</v>
      </c>
      <c r="AT43" t="e">
        <f>AND(#REF!,"AAAAAHrubi0=")</f>
        <v>#REF!</v>
      </c>
      <c r="AU43" t="e">
        <f>AND(#REF!,"AAAAAHrubi4=")</f>
        <v>#REF!</v>
      </c>
      <c r="AV43" t="e">
        <f>AND(#REF!,"AAAAAHrubi8=")</f>
        <v>#REF!</v>
      </c>
      <c r="AW43" t="e">
        <f>AND(#REF!,"AAAAAHrubjA=")</f>
        <v>#REF!</v>
      </c>
      <c r="AX43" t="e">
        <f>AND(#REF!,"AAAAAHrubjE=")</f>
        <v>#REF!</v>
      </c>
      <c r="AY43" t="e">
        <f>AND(#REF!,"AAAAAHrubjI=")</f>
        <v>#REF!</v>
      </c>
      <c r="AZ43" t="e">
        <f>AND(#REF!,"AAAAAHrubjM=")</f>
        <v>#REF!</v>
      </c>
      <c r="BA43" t="e">
        <f>AND(#REF!,"AAAAAHrubjQ=")</f>
        <v>#REF!</v>
      </c>
      <c r="BB43" t="e">
        <f>AND(#REF!,"AAAAAHrubjU=")</f>
        <v>#REF!</v>
      </c>
      <c r="BC43" t="e">
        <f>AND(#REF!,"AAAAAHrubjY=")</f>
        <v>#REF!</v>
      </c>
      <c r="BD43" t="e">
        <f>AND(#REF!,"AAAAAHrubjc=")</f>
        <v>#REF!</v>
      </c>
      <c r="BE43" t="e">
        <f>AND(#REF!,"AAAAAHrubjg=")</f>
        <v>#REF!</v>
      </c>
      <c r="BF43" t="e">
        <f>AND(#REF!,"AAAAAHrubjk=")</f>
        <v>#REF!</v>
      </c>
      <c r="BG43" t="e">
        <f>AND(#REF!,"AAAAAHrubjo=")</f>
        <v>#REF!</v>
      </c>
      <c r="BH43" t="e">
        <f>AND(#REF!,"AAAAAHrubjs=")</f>
        <v>#REF!</v>
      </c>
      <c r="BI43" t="e">
        <f>AND(#REF!,"AAAAAHrubjw=")</f>
        <v>#REF!</v>
      </c>
      <c r="BJ43" t="e">
        <f>AND(#REF!,"AAAAAHrubj0=")</f>
        <v>#REF!</v>
      </c>
      <c r="BK43" t="e">
        <f>AND(#REF!,"AAAAAHrubj4=")</f>
        <v>#REF!</v>
      </c>
      <c r="BL43" t="e">
        <f>AND(#REF!,"AAAAAHrubj8=")</f>
        <v>#REF!</v>
      </c>
      <c r="BM43" t="e">
        <f>AND(#REF!,"AAAAAHrubkA=")</f>
        <v>#REF!</v>
      </c>
      <c r="BN43" t="e">
        <f>AND(#REF!,"AAAAAHrubkE=")</f>
        <v>#REF!</v>
      </c>
      <c r="BO43" t="e">
        <f>AND(#REF!,"AAAAAHrubkI=")</f>
        <v>#REF!</v>
      </c>
      <c r="BP43" t="e">
        <f>AND(#REF!,"AAAAAHrubkM=")</f>
        <v>#REF!</v>
      </c>
      <c r="BQ43" t="e">
        <f>AND(#REF!,"AAAAAHrubkQ=")</f>
        <v>#REF!</v>
      </c>
      <c r="BR43" t="e">
        <f>AND(#REF!,"AAAAAHrubkU=")</f>
        <v>#REF!</v>
      </c>
      <c r="BS43" t="e">
        <f>AND(#REF!,"AAAAAHrubkY=")</f>
        <v>#REF!</v>
      </c>
      <c r="BT43" t="e">
        <f>AND(#REF!,"AAAAAHrubkc=")</f>
        <v>#REF!</v>
      </c>
      <c r="BU43" t="e">
        <f>AND(#REF!,"AAAAAHrubkg=")</f>
        <v>#REF!</v>
      </c>
      <c r="BV43" t="e">
        <f>AND(#REF!,"AAAAAHrubkk=")</f>
        <v>#REF!</v>
      </c>
      <c r="BW43" t="e">
        <f>AND(#REF!,"AAAAAHrubko=")</f>
        <v>#REF!</v>
      </c>
      <c r="BX43" t="e">
        <f>AND(#REF!,"AAAAAHrubks=")</f>
        <v>#REF!</v>
      </c>
      <c r="BY43" t="e">
        <f>AND(#REF!,"AAAAAHrubkw=")</f>
        <v>#REF!</v>
      </c>
      <c r="BZ43" t="e">
        <f>AND(#REF!,"AAAAAHrubk0=")</f>
        <v>#REF!</v>
      </c>
      <c r="CA43" t="e">
        <f>AND(#REF!,"AAAAAHrubk4=")</f>
        <v>#REF!</v>
      </c>
      <c r="CB43" t="e">
        <f>AND(#REF!,"AAAAAHrubk8=")</f>
        <v>#REF!</v>
      </c>
      <c r="CC43" t="e">
        <f>AND(#REF!,"AAAAAHrublA=")</f>
        <v>#REF!</v>
      </c>
      <c r="CD43" t="e">
        <f>AND(#REF!,"AAAAAHrublE=")</f>
        <v>#REF!</v>
      </c>
      <c r="CE43" t="e">
        <f>AND(#REF!,"AAAAAHrublI=")</f>
        <v>#REF!</v>
      </c>
      <c r="CF43" t="e">
        <f>AND(#REF!,"AAAAAHrublM=")</f>
        <v>#REF!</v>
      </c>
      <c r="CG43" t="e">
        <f>AND(#REF!,"AAAAAHrublQ=")</f>
        <v>#REF!</v>
      </c>
      <c r="CH43" t="e">
        <f>AND(#REF!,"AAAAAHrublU=")</f>
        <v>#REF!</v>
      </c>
      <c r="CI43" t="e">
        <f>AND(#REF!,"AAAAAHrublY=")</f>
        <v>#REF!</v>
      </c>
      <c r="CJ43" t="e">
        <f>AND(#REF!,"AAAAAHrublc=")</f>
        <v>#REF!</v>
      </c>
      <c r="CK43" t="e">
        <f>AND(#REF!,"AAAAAHrublg=")</f>
        <v>#REF!</v>
      </c>
      <c r="CL43" t="e">
        <f>AND(#REF!,"AAAAAHrublk=")</f>
        <v>#REF!</v>
      </c>
      <c r="CM43" t="e">
        <f>AND(#REF!,"AAAAAHrublo=")</f>
        <v>#REF!</v>
      </c>
      <c r="CN43" t="e">
        <f>AND(#REF!,"AAAAAHrubls=")</f>
        <v>#REF!</v>
      </c>
      <c r="CO43" t="e">
        <f>AND(#REF!,"AAAAAHrublw=")</f>
        <v>#REF!</v>
      </c>
      <c r="CP43" t="e">
        <f>AND(#REF!,"AAAAAHrubl0=")</f>
        <v>#REF!</v>
      </c>
      <c r="CQ43" t="e">
        <f>AND(#REF!,"AAAAAHrubl4=")</f>
        <v>#REF!</v>
      </c>
      <c r="CR43" t="e">
        <f>AND(#REF!,"AAAAAHrubl8=")</f>
        <v>#REF!</v>
      </c>
      <c r="CS43" t="e">
        <f>AND(#REF!,"AAAAAHrubmA=")</f>
        <v>#REF!</v>
      </c>
      <c r="CT43" t="e">
        <f>AND(#REF!,"AAAAAHrubmE=")</f>
        <v>#REF!</v>
      </c>
      <c r="CU43" t="e">
        <f>AND(#REF!,"AAAAAHrubmI=")</f>
        <v>#REF!</v>
      </c>
      <c r="CV43" t="e">
        <f>AND(#REF!,"AAAAAHrubmM=")</f>
        <v>#REF!</v>
      </c>
      <c r="CW43" t="e">
        <f>AND(#REF!,"AAAAAHrubmQ=")</f>
        <v>#REF!</v>
      </c>
      <c r="CX43" t="e">
        <f>AND(#REF!,"AAAAAHrubmU=")</f>
        <v>#REF!</v>
      </c>
      <c r="CY43" t="e">
        <f>AND(#REF!,"AAAAAHrubmY=")</f>
        <v>#REF!</v>
      </c>
      <c r="CZ43" t="e">
        <f>AND(#REF!,"AAAAAHrubmc=")</f>
        <v>#REF!</v>
      </c>
      <c r="DA43" t="e">
        <f>AND(#REF!,"AAAAAHrubmg=")</f>
        <v>#REF!</v>
      </c>
      <c r="DB43" t="e">
        <f>AND(#REF!,"AAAAAHrubmk=")</f>
        <v>#REF!</v>
      </c>
      <c r="DC43" t="e">
        <f>AND(#REF!,"AAAAAHrubmo=")</f>
        <v>#REF!</v>
      </c>
      <c r="DD43" t="e">
        <f>AND(#REF!,"AAAAAHrubms=")</f>
        <v>#REF!</v>
      </c>
      <c r="DE43" t="e">
        <f>AND(#REF!,"AAAAAHrubmw=")</f>
        <v>#REF!</v>
      </c>
      <c r="DF43" t="e">
        <f>AND(#REF!,"AAAAAHrubm0=")</f>
        <v>#REF!</v>
      </c>
      <c r="DG43" t="e">
        <f>AND(#REF!,"AAAAAHrubm4=")</f>
        <v>#REF!</v>
      </c>
      <c r="DH43" t="e">
        <f>AND(#REF!,"AAAAAHrubm8=")</f>
        <v>#REF!</v>
      </c>
      <c r="DI43" t="e">
        <f>AND(#REF!,"AAAAAHrubnA=")</f>
        <v>#REF!</v>
      </c>
      <c r="DJ43" t="e">
        <f>AND(#REF!,"AAAAAHrubnE=")</f>
        <v>#REF!</v>
      </c>
      <c r="DK43" t="e">
        <f>AND(#REF!,"AAAAAHrubnI=")</f>
        <v>#REF!</v>
      </c>
      <c r="DL43" t="e">
        <f>AND(#REF!,"AAAAAHrubnM=")</f>
        <v>#REF!</v>
      </c>
      <c r="DM43" t="e">
        <f>AND(#REF!,"AAAAAHrubnQ=")</f>
        <v>#REF!</v>
      </c>
      <c r="DN43" t="e">
        <f>AND(#REF!,"AAAAAHrubnU=")</f>
        <v>#REF!</v>
      </c>
      <c r="DO43" t="e">
        <f>AND(#REF!,"AAAAAHrubnY=")</f>
        <v>#REF!</v>
      </c>
      <c r="DP43" t="e">
        <f>AND(#REF!,"AAAAAHrubnc=")</f>
        <v>#REF!</v>
      </c>
      <c r="DQ43" t="e">
        <f>AND(#REF!,"AAAAAHrubng=")</f>
        <v>#REF!</v>
      </c>
      <c r="DR43" t="e">
        <f>AND(#REF!,"AAAAAHrubnk=")</f>
        <v>#REF!</v>
      </c>
      <c r="DS43" t="e">
        <f>AND(#REF!,"AAAAAHrubno=")</f>
        <v>#REF!</v>
      </c>
      <c r="DT43" t="e">
        <f>AND(#REF!,"AAAAAHrubns=")</f>
        <v>#REF!</v>
      </c>
      <c r="DU43" t="e">
        <f>AND(#REF!,"AAAAAHrubnw=")</f>
        <v>#REF!</v>
      </c>
      <c r="DV43" t="e">
        <f>AND(#REF!,"AAAAAHrubn0=")</f>
        <v>#REF!</v>
      </c>
      <c r="DW43" t="e">
        <f>AND(#REF!,"AAAAAHrubn4=")</f>
        <v>#REF!</v>
      </c>
      <c r="DX43" t="e">
        <f>AND(#REF!,"AAAAAHrubn8=")</f>
        <v>#REF!</v>
      </c>
      <c r="DY43" t="e">
        <f>AND(#REF!,"AAAAAHruboA=")</f>
        <v>#REF!</v>
      </c>
      <c r="DZ43" t="e">
        <f>AND(#REF!,"AAAAAHruboE=")</f>
        <v>#REF!</v>
      </c>
      <c r="EA43" t="e">
        <f>AND(#REF!,"AAAAAHruboI=")</f>
        <v>#REF!</v>
      </c>
      <c r="EB43" t="e">
        <f>AND(#REF!,"AAAAAHruboM=")</f>
        <v>#REF!</v>
      </c>
      <c r="EC43" t="e">
        <f>AND(#REF!,"AAAAAHruboQ=")</f>
        <v>#REF!</v>
      </c>
      <c r="ED43" t="e">
        <f>AND(#REF!,"AAAAAHruboU=")</f>
        <v>#REF!</v>
      </c>
      <c r="EE43" t="e">
        <f>AND(#REF!,"AAAAAHruboY=")</f>
        <v>#REF!</v>
      </c>
      <c r="EF43" t="e">
        <f>AND(#REF!,"AAAAAHruboc=")</f>
        <v>#REF!</v>
      </c>
      <c r="EG43" t="e">
        <f>AND(#REF!,"AAAAAHrubog=")</f>
        <v>#REF!</v>
      </c>
      <c r="EH43" t="e">
        <f>AND(#REF!,"AAAAAHrubok=")</f>
        <v>#REF!</v>
      </c>
      <c r="EI43" t="e">
        <f>AND(#REF!,"AAAAAHruboo=")</f>
        <v>#REF!</v>
      </c>
      <c r="EJ43" t="e">
        <f>AND(#REF!,"AAAAAHrubos=")</f>
        <v>#REF!</v>
      </c>
      <c r="EK43" t="e">
        <f>AND(#REF!,"AAAAAHrubow=")</f>
        <v>#REF!</v>
      </c>
      <c r="EL43" t="e">
        <f>AND(#REF!,"AAAAAHrubo0=")</f>
        <v>#REF!</v>
      </c>
      <c r="EM43" t="e">
        <f>AND(#REF!,"AAAAAHrubo4=")</f>
        <v>#REF!</v>
      </c>
      <c r="EN43" t="e">
        <f>AND(#REF!,"AAAAAHrubo8=")</f>
        <v>#REF!</v>
      </c>
      <c r="EO43" t="e">
        <f>AND(#REF!,"AAAAAHrubpA=")</f>
        <v>#REF!</v>
      </c>
      <c r="EP43" t="e">
        <f>AND(#REF!,"AAAAAHrubpE=")</f>
        <v>#REF!</v>
      </c>
      <c r="EQ43" t="e">
        <f>AND(#REF!,"AAAAAHrubpI=")</f>
        <v>#REF!</v>
      </c>
      <c r="ER43" t="e">
        <f>AND(#REF!,"AAAAAHrubpM=")</f>
        <v>#REF!</v>
      </c>
      <c r="ES43" t="e">
        <f>AND(#REF!,"AAAAAHrubpQ=")</f>
        <v>#REF!</v>
      </c>
      <c r="ET43" t="e">
        <f>AND(#REF!,"AAAAAHrubpU=")</f>
        <v>#REF!</v>
      </c>
      <c r="EU43" t="e">
        <f>AND(#REF!,"AAAAAHrubpY=")</f>
        <v>#REF!</v>
      </c>
      <c r="EV43" t="e">
        <f>AND(#REF!,"AAAAAHrubpc=")</f>
        <v>#REF!</v>
      </c>
      <c r="EW43" t="e">
        <f>AND(#REF!,"AAAAAHrubpg=")</f>
        <v>#REF!</v>
      </c>
      <c r="EX43" t="e">
        <f>AND(#REF!,"AAAAAHrubpk=")</f>
        <v>#REF!</v>
      </c>
      <c r="EY43" t="e">
        <f>AND(#REF!,"AAAAAHrubpo=")</f>
        <v>#REF!</v>
      </c>
      <c r="EZ43" t="e">
        <f>AND(#REF!,"AAAAAHrubps=")</f>
        <v>#REF!</v>
      </c>
      <c r="FA43" t="e">
        <f>AND(#REF!,"AAAAAHrubpw=")</f>
        <v>#REF!</v>
      </c>
      <c r="FB43" t="e">
        <f>AND(#REF!,"AAAAAHrubp0=")</f>
        <v>#REF!</v>
      </c>
      <c r="FC43" t="e">
        <f>AND(#REF!,"AAAAAHrubp4=")</f>
        <v>#REF!</v>
      </c>
      <c r="FD43" t="e">
        <f>AND(#REF!,"AAAAAHrubp8=")</f>
        <v>#REF!</v>
      </c>
      <c r="FE43" t="e">
        <f>AND(#REF!,"AAAAAHrubqA=")</f>
        <v>#REF!</v>
      </c>
      <c r="FF43" t="e">
        <f>AND(#REF!,"AAAAAHrubqE=")</f>
        <v>#REF!</v>
      </c>
      <c r="FG43" t="e">
        <f>AND(#REF!,"AAAAAHrubqI=")</f>
        <v>#REF!</v>
      </c>
      <c r="FH43" t="e">
        <f>AND(#REF!,"AAAAAHrubqM=")</f>
        <v>#REF!</v>
      </c>
      <c r="FI43" t="e">
        <f>AND(#REF!,"AAAAAHrubqQ=")</f>
        <v>#REF!</v>
      </c>
      <c r="FJ43" t="e">
        <f>AND(#REF!,"AAAAAHrubqU=")</f>
        <v>#REF!</v>
      </c>
      <c r="FK43" t="e">
        <f>AND(#REF!,"AAAAAHrubqY=")</f>
        <v>#REF!</v>
      </c>
      <c r="FL43" t="e">
        <f>AND(#REF!,"AAAAAHrubqc=")</f>
        <v>#REF!</v>
      </c>
      <c r="FM43" t="e">
        <f>AND(#REF!,"AAAAAHrubqg=")</f>
        <v>#REF!</v>
      </c>
      <c r="FN43" t="e">
        <f>AND(#REF!,"AAAAAHrubqk=")</f>
        <v>#REF!</v>
      </c>
      <c r="FO43" t="e">
        <f>AND(#REF!,"AAAAAHrubqo=")</f>
        <v>#REF!</v>
      </c>
      <c r="FP43" t="e">
        <f>AND(#REF!,"AAAAAHrubqs=")</f>
        <v>#REF!</v>
      </c>
      <c r="FQ43" t="e">
        <f>AND(#REF!,"AAAAAHrubqw=")</f>
        <v>#REF!</v>
      </c>
      <c r="FR43" t="e">
        <f>AND(#REF!,"AAAAAHrubq0=")</f>
        <v>#REF!</v>
      </c>
      <c r="FS43" t="e">
        <f>AND(#REF!,"AAAAAHrubq4=")</f>
        <v>#REF!</v>
      </c>
      <c r="FT43" t="e">
        <f>AND(#REF!,"AAAAAHrubq8=")</f>
        <v>#REF!</v>
      </c>
      <c r="FU43" t="e">
        <f>AND(#REF!,"AAAAAHrubrA=")</f>
        <v>#REF!</v>
      </c>
      <c r="FV43" t="e">
        <f>AND(#REF!,"AAAAAHrubrE=")</f>
        <v>#REF!</v>
      </c>
      <c r="FW43" t="e">
        <f>AND(#REF!,"AAAAAHrubrI=")</f>
        <v>#REF!</v>
      </c>
      <c r="FX43" t="e">
        <f>AND(#REF!,"AAAAAHrubrM=")</f>
        <v>#REF!</v>
      </c>
      <c r="FY43" t="e">
        <f>AND(#REF!,"AAAAAHrubrQ=")</f>
        <v>#REF!</v>
      </c>
      <c r="FZ43" t="e">
        <f>AND(#REF!,"AAAAAHrubrU=")</f>
        <v>#REF!</v>
      </c>
      <c r="GA43" t="e">
        <f>AND(#REF!,"AAAAAHrubrY=")</f>
        <v>#REF!</v>
      </c>
      <c r="GB43" t="e">
        <f>AND(#REF!,"AAAAAHrubrc=")</f>
        <v>#REF!</v>
      </c>
      <c r="GC43" t="e">
        <f>AND(#REF!,"AAAAAHrubrg=")</f>
        <v>#REF!</v>
      </c>
      <c r="GD43" t="e">
        <f>AND(#REF!,"AAAAAHrubrk=")</f>
        <v>#REF!</v>
      </c>
      <c r="GE43" t="e">
        <f>AND(#REF!,"AAAAAHrubro=")</f>
        <v>#REF!</v>
      </c>
      <c r="GF43" t="e">
        <f>AND(#REF!,"AAAAAHrubrs=")</f>
        <v>#REF!</v>
      </c>
      <c r="GG43" t="e">
        <f>AND(#REF!,"AAAAAHrubrw=")</f>
        <v>#REF!</v>
      </c>
      <c r="GH43" t="e">
        <f>AND(#REF!,"AAAAAHrubr0=")</f>
        <v>#REF!</v>
      </c>
      <c r="GI43" t="e">
        <f>AND(#REF!,"AAAAAHrubr4=")</f>
        <v>#REF!</v>
      </c>
      <c r="GJ43" t="e">
        <f>AND(#REF!,"AAAAAHrubr8=")</f>
        <v>#REF!</v>
      </c>
      <c r="GK43" t="e">
        <f>AND(#REF!,"AAAAAHrubsA=")</f>
        <v>#REF!</v>
      </c>
      <c r="GL43" t="e">
        <f>AND(#REF!,"AAAAAHrubsE=")</f>
        <v>#REF!</v>
      </c>
      <c r="GM43" t="e">
        <f>AND(#REF!,"AAAAAHrubsI=")</f>
        <v>#REF!</v>
      </c>
      <c r="GN43" t="e">
        <f>AND(#REF!,"AAAAAHrubsM=")</f>
        <v>#REF!</v>
      </c>
      <c r="GO43" t="e">
        <f>AND(#REF!,"AAAAAHrubsQ=")</f>
        <v>#REF!</v>
      </c>
      <c r="GP43" t="e">
        <f>AND(#REF!,"AAAAAHrubsU=")</f>
        <v>#REF!</v>
      </c>
      <c r="GQ43" t="e">
        <f>AND(#REF!,"AAAAAHrubsY=")</f>
        <v>#REF!</v>
      </c>
      <c r="GR43" t="e">
        <f>AND(#REF!,"AAAAAHrubsc=")</f>
        <v>#REF!</v>
      </c>
      <c r="GS43" t="e">
        <f>AND(#REF!,"AAAAAHrubsg=")</f>
        <v>#REF!</v>
      </c>
      <c r="GT43" t="e">
        <f>AND(#REF!,"AAAAAHrubsk=")</f>
        <v>#REF!</v>
      </c>
      <c r="GU43" t="e">
        <f>AND(#REF!,"AAAAAHrubso=")</f>
        <v>#REF!</v>
      </c>
      <c r="GV43" t="e">
        <f>AND(#REF!,"AAAAAHrubss=")</f>
        <v>#REF!</v>
      </c>
      <c r="GW43" t="e">
        <f>AND(#REF!,"AAAAAHrubsw=")</f>
        <v>#REF!</v>
      </c>
      <c r="GX43" t="e">
        <f>AND(#REF!,"AAAAAHrubs0=")</f>
        <v>#REF!</v>
      </c>
      <c r="GY43" t="e">
        <f>AND(#REF!,"AAAAAHrubs4=")</f>
        <v>#REF!</v>
      </c>
      <c r="GZ43" t="e">
        <f>AND(#REF!,"AAAAAHrubs8=")</f>
        <v>#REF!</v>
      </c>
      <c r="HA43" t="e">
        <f>AND(#REF!,"AAAAAHrubtA=")</f>
        <v>#REF!</v>
      </c>
      <c r="HB43" t="e">
        <f>AND(#REF!,"AAAAAHrubtE=")</f>
        <v>#REF!</v>
      </c>
      <c r="HC43" t="e">
        <f>AND(#REF!,"AAAAAHrubtI=")</f>
        <v>#REF!</v>
      </c>
      <c r="HD43" t="e">
        <f>AND(#REF!,"AAAAAHrubtM=")</f>
        <v>#REF!</v>
      </c>
      <c r="HE43" t="e">
        <f>AND(#REF!,"AAAAAHrubtQ=")</f>
        <v>#REF!</v>
      </c>
      <c r="HF43" t="e">
        <f>AND(#REF!,"AAAAAHrubtU=")</f>
        <v>#REF!</v>
      </c>
      <c r="HG43" t="e">
        <f>AND(#REF!,"AAAAAHrubtY=")</f>
        <v>#REF!</v>
      </c>
      <c r="HH43" t="e">
        <f>AND(#REF!,"AAAAAHrubtc=")</f>
        <v>#REF!</v>
      </c>
      <c r="HI43" t="e">
        <f>AND(#REF!,"AAAAAHrubtg=")</f>
        <v>#REF!</v>
      </c>
      <c r="HJ43" t="e">
        <f>AND(#REF!,"AAAAAHrubtk=")</f>
        <v>#REF!</v>
      </c>
      <c r="HK43" t="e">
        <f>AND(#REF!,"AAAAAHrubto=")</f>
        <v>#REF!</v>
      </c>
      <c r="HL43" t="e">
        <f>AND(#REF!,"AAAAAHrubts=")</f>
        <v>#REF!</v>
      </c>
      <c r="HM43" t="e">
        <f>AND(#REF!,"AAAAAHrubtw=")</f>
        <v>#REF!</v>
      </c>
      <c r="HN43" t="e">
        <f>AND(#REF!,"AAAAAHrubt0=")</f>
        <v>#REF!</v>
      </c>
      <c r="HO43" t="e">
        <f>AND(#REF!,"AAAAAHrubt4=")</f>
        <v>#REF!</v>
      </c>
      <c r="HP43" t="e">
        <f>AND(#REF!,"AAAAAHrubt8=")</f>
        <v>#REF!</v>
      </c>
      <c r="HQ43" t="e">
        <f>AND(#REF!,"AAAAAHrubuA=")</f>
        <v>#REF!</v>
      </c>
      <c r="HR43" t="e">
        <f>AND(#REF!,"AAAAAHrubuE=")</f>
        <v>#REF!</v>
      </c>
      <c r="HS43" t="e">
        <f>AND(#REF!,"AAAAAHrubuI=")</f>
        <v>#REF!</v>
      </c>
      <c r="HT43" t="e">
        <f>AND(#REF!,"AAAAAHrubuM=")</f>
        <v>#REF!</v>
      </c>
      <c r="HU43" t="e">
        <f>AND(#REF!,"AAAAAHrubuQ=")</f>
        <v>#REF!</v>
      </c>
      <c r="HV43" t="e">
        <f>AND(#REF!,"AAAAAHrubuU=")</f>
        <v>#REF!</v>
      </c>
      <c r="HW43" t="e">
        <f>AND(#REF!,"AAAAAHrubuY=")</f>
        <v>#REF!</v>
      </c>
      <c r="HX43" t="e">
        <f>AND(#REF!,"AAAAAHrubuc=")</f>
        <v>#REF!</v>
      </c>
      <c r="HY43" t="e">
        <f>AND(#REF!,"AAAAAHrubug=")</f>
        <v>#REF!</v>
      </c>
      <c r="HZ43" t="e">
        <f>AND(#REF!,"AAAAAHrubuk=")</f>
        <v>#REF!</v>
      </c>
      <c r="IA43" t="e">
        <f>AND(#REF!,"AAAAAHrubuo=")</f>
        <v>#REF!</v>
      </c>
      <c r="IB43" t="e">
        <f>AND(#REF!,"AAAAAHrubus=")</f>
        <v>#REF!</v>
      </c>
      <c r="IC43" t="e">
        <f>AND(#REF!,"AAAAAHrubuw=")</f>
        <v>#REF!</v>
      </c>
      <c r="ID43" t="e">
        <f>AND(#REF!,"AAAAAHrubu0=")</f>
        <v>#REF!</v>
      </c>
      <c r="IE43" t="e">
        <f>AND(#REF!,"AAAAAHrubu4=")</f>
        <v>#REF!</v>
      </c>
      <c r="IF43" t="e">
        <f>AND(#REF!,"AAAAAHrubu8=")</f>
        <v>#REF!</v>
      </c>
      <c r="IG43" t="e">
        <f>AND(#REF!,"AAAAAHrubvA=")</f>
        <v>#REF!</v>
      </c>
      <c r="IH43" t="e">
        <f>AND(#REF!,"AAAAAHrubvE=")</f>
        <v>#REF!</v>
      </c>
      <c r="II43" t="e">
        <f>AND(#REF!,"AAAAAHrubvI=")</f>
        <v>#REF!</v>
      </c>
      <c r="IJ43" t="e">
        <f>AND(#REF!,"AAAAAHrubvM=")</f>
        <v>#REF!</v>
      </c>
      <c r="IK43" t="e">
        <f>AND(#REF!,"AAAAAHrubvQ=")</f>
        <v>#REF!</v>
      </c>
      <c r="IL43" t="e">
        <f>AND(#REF!,"AAAAAHrubvU=")</f>
        <v>#REF!</v>
      </c>
      <c r="IM43" t="e">
        <f>AND(#REF!,"AAAAAHrubvY=")</f>
        <v>#REF!</v>
      </c>
      <c r="IN43" t="e">
        <f>AND(#REF!,"AAAAAHrubvc=")</f>
        <v>#REF!</v>
      </c>
      <c r="IO43" t="e">
        <f>AND(#REF!,"AAAAAHrubvg=")</f>
        <v>#REF!</v>
      </c>
      <c r="IP43" t="e">
        <f>AND(#REF!,"AAAAAHrubvk=")</f>
        <v>#REF!</v>
      </c>
      <c r="IQ43" t="e">
        <f>AND(#REF!,"AAAAAHrubvo=")</f>
        <v>#REF!</v>
      </c>
      <c r="IR43" t="e">
        <f>AND(#REF!,"AAAAAHrubvs=")</f>
        <v>#REF!</v>
      </c>
      <c r="IS43" t="e">
        <f>AND(#REF!,"AAAAAHrubvw=")</f>
        <v>#REF!</v>
      </c>
      <c r="IT43" t="e">
        <f>AND(#REF!,"AAAAAHrubv0=")</f>
        <v>#REF!</v>
      </c>
      <c r="IU43" t="e">
        <f>AND(#REF!,"AAAAAHrubv4=")</f>
        <v>#REF!</v>
      </c>
      <c r="IV43" t="e">
        <f>AND(#REF!,"AAAAAHrubv8=")</f>
        <v>#REF!</v>
      </c>
    </row>
    <row r="44" spans="1:256">
      <c r="A44" t="e">
        <f>AND(#REF!,"AAAAAH6fugA=")</f>
        <v>#REF!</v>
      </c>
      <c r="B44" t="e">
        <f>AND(#REF!,"AAAAAH6fugE=")</f>
        <v>#REF!</v>
      </c>
      <c r="C44" t="e">
        <f>AND(#REF!,"AAAAAH6fugI=")</f>
        <v>#REF!</v>
      </c>
      <c r="D44" t="e">
        <f>AND(#REF!,"AAAAAH6fugM=")</f>
        <v>#REF!</v>
      </c>
      <c r="E44" t="e">
        <f>AND(#REF!,"AAAAAH6fugQ=")</f>
        <v>#REF!</v>
      </c>
      <c r="F44" t="e">
        <f>AND(#REF!,"AAAAAH6fugU=")</f>
        <v>#REF!</v>
      </c>
      <c r="G44" t="e">
        <f>AND(#REF!,"AAAAAH6fugY=")</f>
        <v>#REF!</v>
      </c>
      <c r="H44" t="e">
        <f>AND(#REF!,"AAAAAH6fugc=")</f>
        <v>#REF!</v>
      </c>
      <c r="I44" t="e">
        <f>AND(#REF!,"AAAAAH6fugg=")</f>
        <v>#REF!</v>
      </c>
      <c r="J44" t="e">
        <f>AND(#REF!,"AAAAAH6fugk=")</f>
        <v>#REF!</v>
      </c>
      <c r="K44" t="e">
        <f>AND(#REF!,"AAAAAH6fugo=")</f>
        <v>#REF!</v>
      </c>
      <c r="L44" t="e">
        <f>AND(#REF!,"AAAAAH6fugs=")</f>
        <v>#REF!</v>
      </c>
      <c r="M44" t="e">
        <f>AND(#REF!,"AAAAAH6fugw=")</f>
        <v>#REF!</v>
      </c>
      <c r="N44" t="e">
        <f>AND(#REF!,"AAAAAH6fug0=")</f>
        <v>#REF!</v>
      </c>
      <c r="O44" t="e">
        <f>AND(#REF!,"AAAAAH6fug4=")</f>
        <v>#REF!</v>
      </c>
      <c r="P44" t="e">
        <f>AND(#REF!,"AAAAAH6fug8=")</f>
        <v>#REF!</v>
      </c>
      <c r="Q44" t="e">
        <f>AND(#REF!,"AAAAAH6fuhA=")</f>
        <v>#REF!</v>
      </c>
      <c r="R44" t="e">
        <f>AND(#REF!,"AAAAAH6fuhE=")</f>
        <v>#REF!</v>
      </c>
      <c r="S44" t="e">
        <f>AND(#REF!,"AAAAAH6fuhI=")</f>
        <v>#REF!</v>
      </c>
      <c r="T44" t="e">
        <f>AND(#REF!,"AAAAAH6fuhM=")</f>
        <v>#REF!</v>
      </c>
      <c r="U44" t="e">
        <f>AND(#REF!,"AAAAAH6fuhQ=")</f>
        <v>#REF!</v>
      </c>
      <c r="V44" t="e">
        <f>AND(#REF!,"AAAAAH6fuhU=")</f>
        <v>#REF!</v>
      </c>
      <c r="W44" t="e">
        <f>AND(#REF!,"AAAAAH6fuhY=")</f>
        <v>#REF!</v>
      </c>
      <c r="X44" t="e">
        <f>AND(#REF!,"AAAAAH6fuhc=")</f>
        <v>#REF!</v>
      </c>
      <c r="Y44" t="e">
        <f>AND(#REF!,"AAAAAH6fuhg=")</f>
        <v>#REF!</v>
      </c>
      <c r="Z44" t="e">
        <f>AND(#REF!,"AAAAAH6fuhk=")</f>
        <v>#REF!</v>
      </c>
      <c r="AA44" t="e">
        <f>AND(#REF!,"AAAAAH6fuho=")</f>
        <v>#REF!</v>
      </c>
      <c r="AB44" t="e">
        <f>AND(#REF!,"AAAAAH6fuhs=")</f>
        <v>#REF!</v>
      </c>
      <c r="AC44" t="e">
        <f>AND(#REF!,"AAAAAH6fuhw=")</f>
        <v>#REF!</v>
      </c>
      <c r="AD44" t="e">
        <f>AND(#REF!,"AAAAAH6fuh0=")</f>
        <v>#REF!</v>
      </c>
      <c r="AE44" t="e">
        <f>AND(#REF!,"AAAAAH6fuh4=")</f>
        <v>#REF!</v>
      </c>
      <c r="AF44" t="e">
        <f>AND(#REF!,"AAAAAH6fuh8=")</f>
        <v>#REF!</v>
      </c>
      <c r="AG44" t="e">
        <f>AND(#REF!,"AAAAAH6fuiA=")</f>
        <v>#REF!</v>
      </c>
      <c r="AH44" t="e">
        <f>AND(#REF!,"AAAAAH6fuiE=")</f>
        <v>#REF!</v>
      </c>
      <c r="AI44" t="e">
        <f>AND(#REF!,"AAAAAH6fuiI=")</f>
        <v>#REF!</v>
      </c>
      <c r="AJ44" t="e">
        <f>AND(#REF!,"AAAAAH6fuiM=")</f>
        <v>#REF!</v>
      </c>
      <c r="AK44" t="e">
        <f>AND(#REF!,"AAAAAH6fuiQ=")</f>
        <v>#REF!</v>
      </c>
      <c r="AL44" t="e">
        <f>AND(#REF!,"AAAAAH6fuiU=")</f>
        <v>#REF!</v>
      </c>
      <c r="AM44" t="e">
        <f>AND(#REF!,"AAAAAH6fuiY=")</f>
        <v>#REF!</v>
      </c>
      <c r="AN44" t="e">
        <f>AND(#REF!,"AAAAAH6fuic=")</f>
        <v>#REF!</v>
      </c>
      <c r="AO44" t="e">
        <f>AND(#REF!,"AAAAAH6fuig=")</f>
        <v>#REF!</v>
      </c>
      <c r="AP44" t="e">
        <f>AND(#REF!,"AAAAAH6fuik=")</f>
        <v>#REF!</v>
      </c>
      <c r="AQ44" t="e">
        <f>AND(#REF!,"AAAAAH6fuio=")</f>
        <v>#REF!</v>
      </c>
      <c r="AR44" t="e">
        <f>AND(#REF!,"AAAAAH6fuis=")</f>
        <v>#REF!</v>
      </c>
      <c r="AS44" t="e">
        <f>AND(#REF!,"AAAAAH6fuiw=")</f>
        <v>#REF!</v>
      </c>
      <c r="AT44" t="e">
        <f>AND(#REF!,"AAAAAH6fui0=")</f>
        <v>#REF!</v>
      </c>
      <c r="AU44" t="e">
        <f>AND(#REF!,"AAAAAH6fui4=")</f>
        <v>#REF!</v>
      </c>
      <c r="AV44" t="e">
        <f>AND(#REF!,"AAAAAH6fui8=")</f>
        <v>#REF!</v>
      </c>
      <c r="AW44" t="e">
        <f>AND(#REF!,"AAAAAH6fujA=")</f>
        <v>#REF!</v>
      </c>
      <c r="AX44" t="e">
        <f>AND(#REF!,"AAAAAH6fujE=")</f>
        <v>#REF!</v>
      </c>
      <c r="AY44" t="e">
        <f>AND(#REF!,"AAAAAH6fujI=")</f>
        <v>#REF!</v>
      </c>
      <c r="AZ44" t="e">
        <f>AND(#REF!,"AAAAAH6fujM=")</f>
        <v>#REF!</v>
      </c>
      <c r="BA44" t="e">
        <f>AND(#REF!,"AAAAAH6fujQ=")</f>
        <v>#REF!</v>
      </c>
      <c r="BB44" t="e">
        <f>AND(#REF!,"AAAAAH6fujU=")</f>
        <v>#REF!</v>
      </c>
      <c r="BC44" t="e">
        <f>AND(#REF!,"AAAAAH6fujY=")</f>
        <v>#REF!</v>
      </c>
      <c r="BD44" t="e">
        <f>AND(#REF!,"AAAAAH6fujc=")</f>
        <v>#REF!</v>
      </c>
      <c r="BE44" t="e">
        <f>AND(#REF!,"AAAAAH6fujg=")</f>
        <v>#REF!</v>
      </c>
      <c r="BF44" t="e">
        <f>AND(#REF!,"AAAAAH6fujk=")</f>
        <v>#REF!</v>
      </c>
      <c r="BG44" t="e">
        <f>AND(#REF!,"AAAAAH6fujo=")</f>
        <v>#REF!</v>
      </c>
      <c r="BH44" t="e">
        <f>AND(#REF!,"AAAAAH6fujs=")</f>
        <v>#REF!</v>
      </c>
      <c r="BI44" t="e">
        <f>AND(#REF!,"AAAAAH6fujw=")</f>
        <v>#REF!</v>
      </c>
      <c r="BJ44" t="e">
        <f>AND(#REF!,"AAAAAH6fuj0=")</f>
        <v>#REF!</v>
      </c>
      <c r="BK44" t="e">
        <f>AND(#REF!,"AAAAAH6fuj4=")</f>
        <v>#REF!</v>
      </c>
      <c r="BL44" t="e">
        <f>AND(#REF!,"AAAAAH6fuj8=")</f>
        <v>#REF!</v>
      </c>
      <c r="BM44" t="e">
        <f>AND(#REF!,"AAAAAH6fukA=")</f>
        <v>#REF!</v>
      </c>
      <c r="BN44" t="e">
        <f>AND(#REF!,"AAAAAH6fukE=")</f>
        <v>#REF!</v>
      </c>
      <c r="BO44" t="e">
        <f>AND(#REF!,"AAAAAH6fukI=")</f>
        <v>#REF!</v>
      </c>
      <c r="BP44" t="e">
        <f>AND(#REF!,"AAAAAH6fukM=")</f>
        <v>#REF!</v>
      </c>
      <c r="BQ44" t="e">
        <f>AND(#REF!,"AAAAAH6fukQ=")</f>
        <v>#REF!</v>
      </c>
      <c r="BR44" t="e">
        <f>AND(#REF!,"AAAAAH6fukU=")</f>
        <v>#REF!</v>
      </c>
      <c r="BS44" t="e">
        <f>AND(#REF!,"AAAAAH6fukY=")</f>
        <v>#REF!</v>
      </c>
      <c r="BT44" t="e">
        <f>AND(#REF!,"AAAAAH6fukc=")</f>
        <v>#REF!</v>
      </c>
      <c r="BU44" t="e">
        <f>AND(#REF!,"AAAAAH6fukg=")</f>
        <v>#REF!</v>
      </c>
      <c r="BV44" t="e">
        <f>AND(#REF!,"AAAAAH6fukk=")</f>
        <v>#REF!</v>
      </c>
      <c r="BW44" t="e">
        <f>AND(#REF!,"AAAAAH6fuko=")</f>
        <v>#REF!</v>
      </c>
      <c r="BX44" t="e">
        <f>AND(#REF!,"AAAAAH6fuks=")</f>
        <v>#REF!</v>
      </c>
      <c r="BY44" t="e">
        <f>AND(#REF!,"AAAAAH6fukw=")</f>
        <v>#REF!</v>
      </c>
      <c r="BZ44" t="e">
        <f>AND(#REF!,"AAAAAH6fuk0=")</f>
        <v>#REF!</v>
      </c>
      <c r="CA44" t="e">
        <f>AND(#REF!,"AAAAAH6fuk4=")</f>
        <v>#REF!</v>
      </c>
      <c r="CB44" t="e">
        <f>AND(#REF!,"AAAAAH6fuk8=")</f>
        <v>#REF!</v>
      </c>
      <c r="CC44" t="e">
        <f>AND(#REF!,"AAAAAH6fulA=")</f>
        <v>#REF!</v>
      </c>
      <c r="CD44" t="e">
        <f>AND(#REF!,"AAAAAH6fulE=")</f>
        <v>#REF!</v>
      </c>
      <c r="CE44" t="e">
        <f>AND(#REF!,"AAAAAH6fulI=")</f>
        <v>#REF!</v>
      </c>
      <c r="CF44" t="e">
        <f>AND(#REF!,"AAAAAH6fulM=")</f>
        <v>#REF!</v>
      </c>
      <c r="CG44" t="e">
        <f>AND(#REF!,"AAAAAH6fulQ=")</f>
        <v>#REF!</v>
      </c>
      <c r="CH44" t="e">
        <f>AND(#REF!,"AAAAAH6fulU=")</f>
        <v>#REF!</v>
      </c>
      <c r="CI44" t="e">
        <f>AND(#REF!,"AAAAAH6fulY=")</f>
        <v>#REF!</v>
      </c>
      <c r="CJ44" t="e">
        <f>AND(#REF!,"AAAAAH6fulc=")</f>
        <v>#REF!</v>
      </c>
      <c r="CK44" t="e">
        <f>AND(#REF!,"AAAAAH6fulg=")</f>
        <v>#REF!</v>
      </c>
      <c r="CL44" t="e">
        <f>AND(#REF!,"AAAAAH6fulk=")</f>
        <v>#REF!</v>
      </c>
      <c r="CM44" t="e">
        <f>AND(#REF!,"AAAAAH6fulo=")</f>
        <v>#REF!</v>
      </c>
      <c r="CN44" t="e">
        <f>AND(#REF!,"AAAAAH6fuls=")</f>
        <v>#REF!</v>
      </c>
      <c r="CO44" t="e">
        <f>AND(#REF!,"AAAAAH6fulw=")</f>
        <v>#REF!</v>
      </c>
      <c r="CP44" t="e">
        <f>AND(#REF!,"AAAAAH6ful0=")</f>
        <v>#REF!</v>
      </c>
      <c r="CQ44" t="e">
        <f>AND(#REF!,"AAAAAH6ful4=")</f>
        <v>#REF!</v>
      </c>
      <c r="CR44" t="e">
        <f>AND(#REF!,"AAAAAH6ful8=")</f>
        <v>#REF!</v>
      </c>
      <c r="CS44" t="e">
        <f>AND(#REF!,"AAAAAH6fumA=")</f>
        <v>#REF!</v>
      </c>
      <c r="CT44" t="e">
        <f>AND(#REF!,"AAAAAH6fumE=")</f>
        <v>#REF!</v>
      </c>
      <c r="CU44" t="e">
        <f>AND(#REF!,"AAAAAH6fumI=")</f>
        <v>#REF!</v>
      </c>
      <c r="CV44" t="e">
        <f>AND(#REF!,"AAAAAH6fumM=")</f>
        <v>#REF!</v>
      </c>
      <c r="CW44" t="e">
        <f>AND(#REF!,"AAAAAH6fumQ=")</f>
        <v>#REF!</v>
      </c>
      <c r="CX44" t="e">
        <f>AND(#REF!,"AAAAAH6fumU=")</f>
        <v>#REF!</v>
      </c>
      <c r="CY44" t="e">
        <f>AND(#REF!,"AAAAAH6fumY=")</f>
        <v>#REF!</v>
      </c>
      <c r="CZ44" t="e">
        <f>AND(#REF!,"AAAAAH6fumc=")</f>
        <v>#REF!</v>
      </c>
      <c r="DA44" t="e">
        <f>AND(#REF!,"AAAAAH6fumg=")</f>
        <v>#REF!</v>
      </c>
      <c r="DB44" t="e">
        <f>AND(#REF!,"AAAAAH6fumk=")</f>
        <v>#REF!</v>
      </c>
      <c r="DC44" t="e">
        <f>AND(#REF!,"AAAAAH6fumo=")</f>
        <v>#REF!</v>
      </c>
      <c r="DD44" t="e">
        <f>AND(#REF!,"AAAAAH6fums=")</f>
        <v>#REF!</v>
      </c>
      <c r="DE44" t="e">
        <f>AND(#REF!,"AAAAAH6fumw=")</f>
        <v>#REF!</v>
      </c>
      <c r="DF44" t="e">
        <f>AND(#REF!,"AAAAAH6fum0=")</f>
        <v>#REF!</v>
      </c>
      <c r="DG44" t="e">
        <f>AND(#REF!,"AAAAAH6fum4=")</f>
        <v>#REF!</v>
      </c>
      <c r="DH44" t="e">
        <f>AND(#REF!,"AAAAAH6fum8=")</f>
        <v>#REF!</v>
      </c>
      <c r="DI44" t="e">
        <f>AND(#REF!,"AAAAAH6funA=")</f>
        <v>#REF!</v>
      </c>
      <c r="DJ44" t="e">
        <f>AND(#REF!,"AAAAAH6funE=")</f>
        <v>#REF!</v>
      </c>
      <c r="DK44" t="e">
        <f>AND(#REF!,"AAAAAH6funI=")</f>
        <v>#REF!</v>
      </c>
      <c r="DL44" t="e">
        <f>AND(#REF!,"AAAAAH6funM=")</f>
        <v>#REF!</v>
      </c>
      <c r="DM44" t="e">
        <f>AND(#REF!,"AAAAAH6funQ=")</f>
        <v>#REF!</v>
      </c>
      <c r="DN44" t="e">
        <f>AND(#REF!,"AAAAAH6funU=")</f>
        <v>#REF!</v>
      </c>
      <c r="DO44" t="e">
        <f>AND(#REF!,"AAAAAH6funY=")</f>
        <v>#REF!</v>
      </c>
      <c r="DP44" t="e">
        <f>AND(#REF!,"AAAAAH6func=")</f>
        <v>#REF!</v>
      </c>
      <c r="DQ44" t="e">
        <f>AND(#REF!,"AAAAAH6fung=")</f>
        <v>#REF!</v>
      </c>
      <c r="DR44" t="e">
        <f>AND(#REF!,"AAAAAH6funk=")</f>
        <v>#REF!</v>
      </c>
      <c r="DS44" t="e">
        <f>AND(#REF!,"AAAAAH6funo=")</f>
        <v>#REF!</v>
      </c>
      <c r="DT44" t="e">
        <f>AND(#REF!,"AAAAAH6funs=")</f>
        <v>#REF!</v>
      </c>
      <c r="DU44" t="e">
        <f>AND(#REF!,"AAAAAH6funw=")</f>
        <v>#REF!</v>
      </c>
      <c r="DV44" t="e">
        <f>AND(#REF!,"AAAAAH6fun0=")</f>
        <v>#REF!</v>
      </c>
      <c r="DW44" t="e">
        <f>AND(#REF!,"AAAAAH6fun4=")</f>
        <v>#REF!</v>
      </c>
      <c r="DX44" t="e">
        <f>AND(#REF!,"AAAAAH6fun8=")</f>
        <v>#REF!</v>
      </c>
      <c r="DY44" t="e">
        <f>AND(#REF!,"AAAAAH6fuoA=")</f>
        <v>#REF!</v>
      </c>
      <c r="DZ44" t="e">
        <f>AND(#REF!,"AAAAAH6fuoE=")</f>
        <v>#REF!</v>
      </c>
      <c r="EA44" t="e">
        <f>AND(#REF!,"AAAAAH6fuoI=")</f>
        <v>#REF!</v>
      </c>
      <c r="EB44" t="e">
        <f>AND(#REF!,"AAAAAH6fuoM=")</f>
        <v>#REF!</v>
      </c>
      <c r="EC44" t="e">
        <f>AND(#REF!,"AAAAAH6fuoQ=")</f>
        <v>#REF!</v>
      </c>
      <c r="ED44" t="e">
        <f>AND(#REF!,"AAAAAH6fuoU=")</f>
        <v>#REF!</v>
      </c>
      <c r="EE44" t="e">
        <f>AND(#REF!,"AAAAAH6fuoY=")</f>
        <v>#REF!</v>
      </c>
      <c r="EF44" t="e">
        <f>AND(#REF!,"AAAAAH6fuoc=")</f>
        <v>#REF!</v>
      </c>
      <c r="EG44" t="e">
        <f>AND(#REF!,"AAAAAH6fuog=")</f>
        <v>#REF!</v>
      </c>
      <c r="EH44" t="e">
        <f>AND(#REF!,"AAAAAH6fuok=")</f>
        <v>#REF!</v>
      </c>
      <c r="EI44" t="e">
        <f>AND(#REF!,"AAAAAH6fuoo=")</f>
        <v>#REF!</v>
      </c>
      <c r="EJ44" t="e">
        <f>AND(#REF!,"AAAAAH6fuos=")</f>
        <v>#REF!</v>
      </c>
      <c r="EK44" t="e">
        <f>AND(#REF!,"AAAAAH6fuow=")</f>
        <v>#REF!</v>
      </c>
      <c r="EL44" t="e">
        <f>AND(#REF!,"AAAAAH6fuo0=")</f>
        <v>#REF!</v>
      </c>
      <c r="EM44" t="e">
        <f>AND(#REF!,"AAAAAH6fuo4=")</f>
        <v>#REF!</v>
      </c>
      <c r="EN44" t="e">
        <f>AND(#REF!,"AAAAAH6fuo8=")</f>
        <v>#REF!</v>
      </c>
      <c r="EO44" t="e">
        <f>AND(#REF!,"AAAAAH6fupA=")</f>
        <v>#REF!</v>
      </c>
      <c r="EP44" t="e">
        <f>AND(#REF!,"AAAAAH6fupE=")</f>
        <v>#REF!</v>
      </c>
      <c r="EQ44" t="e">
        <f>AND(#REF!,"AAAAAH6fupI=")</f>
        <v>#REF!</v>
      </c>
      <c r="ER44" t="e">
        <f>AND(#REF!,"AAAAAH6fupM=")</f>
        <v>#REF!</v>
      </c>
      <c r="ES44" t="e">
        <f>AND(#REF!,"AAAAAH6fupQ=")</f>
        <v>#REF!</v>
      </c>
      <c r="ET44" t="e">
        <f>AND(#REF!,"AAAAAH6fupU=")</f>
        <v>#REF!</v>
      </c>
      <c r="EU44" t="e">
        <f>AND(#REF!,"AAAAAH6fupY=")</f>
        <v>#REF!</v>
      </c>
      <c r="EV44" t="e">
        <f>AND(#REF!,"AAAAAH6fupc=")</f>
        <v>#REF!</v>
      </c>
      <c r="EW44" t="e">
        <f>AND(#REF!,"AAAAAH6fupg=")</f>
        <v>#REF!</v>
      </c>
      <c r="EX44" t="e">
        <f>AND(#REF!,"AAAAAH6fupk=")</f>
        <v>#REF!</v>
      </c>
      <c r="EY44" t="e">
        <f>AND(#REF!,"AAAAAH6fupo=")</f>
        <v>#REF!</v>
      </c>
      <c r="EZ44" t="e">
        <f>AND(#REF!,"AAAAAH6fups=")</f>
        <v>#REF!</v>
      </c>
      <c r="FA44" t="e">
        <f>AND(#REF!,"AAAAAH6fupw=")</f>
        <v>#REF!</v>
      </c>
      <c r="FB44" t="e">
        <f>AND(#REF!,"AAAAAH6fup0=")</f>
        <v>#REF!</v>
      </c>
      <c r="FC44" t="e">
        <f>AND(#REF!,"AAAAAH6fup4=")</f>
        <v>#REF!</v>
      </c>
      <c r="FD44" t="e">
        <f>AND(#REF!,"AAAAAH6fup8=")</f>
        <v>#REF!</v>
      </c>
      <c r="FE44" t="e">
        <f>AND(#REF!,"AAAAAH6fuqA=")</f>
        <v>#REF!</v>
      </c>
      <c r="FF44" t="e">
        <f>AND(#REF!,"AAAAAH6fuqE=")</f>
        <v>#REF!</v>
      </c>
      <c r="FG44" t="e">
        <f>AND(#REF!,"AAAAAH6fuqI=")</f>
        <v>#REF!</v>
      </c>
      <c r="FH44" t="e">
        <f>AND(#REF!,"AAAAAH6fuqM=")</f>
        <v>#REF!</v>
      </c>
      <c r="FI44" t="e">
        <f>AND(#REF!,"AAAAAH6fuqQ=")</f>
        <v>#REF!</v>
      </c>
      <c r="FJ44" t="e">
        <f>AND(#REF!,"AAAAAH6fuqU=")</f>
        <v>#REF!</v>
      </c>
      <c r="FK44" t="e">
        <f>AND(#REF!,"AAAAAH6fuqY=")</f>
        <v>#REF!</v>
      </c>
      <c r="FL44" t="e">
        <f>AND(#REF!,"AAAAAH6fuqc=")</f>
        <v>#REF!</v>
      </c>
      <c r="FM44" t="e">
        <f>AND(#REF!,"AAAAAH6fuqg=")</f>
        <v>#REF!</v>
      </c>
      <c r="FN44" t="e">
        <f>AND(#REF!,"AAAAAH6fuqk=")</f>
        <v>#REF!</v>
      </c>
      <c r="FO44" t="e">
        <f>AND(#REF!,"AAAAAH6fuqo=")</f>
        <v>#REF!</v>
      </c>
      <c r="FP44" t="e">
        <f>AND(#REF!,"AAAAAH6fuqs=")</f>
        <v>#REF!</v>
      </c>
      <c r="FQ44" t="e">
        <f>AND(#REF!,"AAAAAH6fuqw=")</f>
        <v>#REF!</v>
      </c>
      <c r="FR44" t="e">
        <f>AND(#REF!,"AAAAAH6fuq0=")</f>
        <v>#REF!</v>
      </c>
      <c r="FS44" t="e">
        <f>AND(#REF!,"AAAAAH6fuq4=")</f>
        <v>#REF!</v>
      </c>
      <c r="FT44" t="e">
        <f>AND(#REF!,"AAAAAH6fuq8=")</f>
        <v>#REF!</v>
      </c>
      <c r="FU44" t="e">
        <f>AND(#REF!,"AAAAAH6furA=")</f>
        <v>#REF!</v>
      </c>
      <c r="FV44" t="e">
        <f>AND(#REF!,"AAAAAH6furE=")</f>
        <v>#REF!</v>
      </c>
      <c r="FW44" t="e">
        <f>AND(#REF!,"AAAAAH6furI=")</f>
        <v>#REF!</v>
      </c>
      <c r="FX44" t="e">
        <f>AND(#REF!,"AAAAAH6furM=")</f>
        <v>#REF!</v>
      </c>
      <c r="FY44" t="e">
        <f>AND(#REF!,"AAAAAH6furQ=")</f>
        <v>#REF!</v>
      </c>
      <c r="FZ44" t="e">
        <f>AND(#REF!,"AAAAAH6furU=")</f>
        <v>#REF!</v>
      </c>
      <c r="GA44" t="e">
        <f>AND(#REF!,"AAAAAH6furY=")</f>
        <v>#REF!</v>
      </c>
      <c r="GB44" t="e">
        <f>AND(#REF!,"AAAAAH6furc=")</f>
        <v>#REF!</v>
      </c>
      <c r="GC44" t="e">
        <f>AND(#REF!,"AAAAAH6furg=")</f>
        <v>#REF!</v>
      </c>
      <c r="GD44" t="e">
        <f>AND(#REF!,"AAAAAH6furk=")</f>
        <v>#REF!</v>
      </c>
      <c r="GE44" t="e">
        <f>AND(#REF!,"AAAAAH6furo=")</f>
        <v>#REF!</v>
      </c>
      <c r="GF44" t="e">
        <f>AND(#REF!,"AAAAAH6furs=")</f>
        <v>#REF!</v>
      </c>
      <c r="GG44" t="e">
        <f>AND(#REF!,"AAAAAH6furw=")</f>
        <v>#REF!</v>
      </c>
      <c r="GH44" t="e">
        <f>AND(#REF!,"AAAAAH6fur0=")</f>
        <v>#REF!</v>
      </c>
      <c r="GI44" t="e">
        <f>AND(#REF!,"AAAAAH6fur4=")</f>
        <v>#REF!</v>
      </c>
      <c r="GJ44" t="e">
        <f>AND(#REF!,"AAAAAH6fur8=")</f>
        <v>#REF!</v>
      </c>
      <c r="GK44" t="e">
        <f>AND(#REF!,"AAAAAH6fusA=")</f>
        <v>#REF!</v>
      </c>
      <c r="GL44" t="e">
        <f>AND(#REF!,"AAAAAH6fusE=")</f>
        <v>#REF!</v>
      </c>
      <c r="GM44" t="e">
        <f>AND(#REF!,"AAAAAH6fusI=")</f>
        <v>#REF!</v>
      </c>
      <c r="GN44" t="e">
        <f>AND(#REF!,"AAAAAH6fusM=")</f>
        <v>#REF!</v>
      </c>
      <c r="GO44" t="e">
        <f>AND(#REF!,"AAAAAH6fusQ=")</f>
        <v>#REF!</v>
      </c>
      <c r="GP44" t="e">
        <f>AND(#REF!,"AAAAAH6fusU=")</f>
        <v>#REF!</v>
      </c>
      <c r="GQ44" t="e">
        <f>AND(#REF!,"AAAAAH6fusY=")</f>
        <v>#REF!</v>
      </c>
      <c r="GR44" t="e">
        <f>AND(#REF!,"AAAAAH6fusc=")</f>
        <v>#REF!</v>
      </c>
      <c r="GS44" t="e">
        <f>AND(#REF!,"AAAAAH6fusg=")</f>
        <v>#REF!</v>
      </c>
      <c r="GT44" t="e">
        <f>AND(#REF!,"AAAAAH6fusk=")</f>
        <v>#REF!</v>
      </c>
      <c r="GU44" t="e">
        <f>AND(#REF!,"AAAAAH6fuso=")</f>
        <v>#REF!</v>
      </c>
      <c r="GV44" t="e">
        <f>AND(#REF!,"AAAAAH6fuss=")</f>
        <v>#REF!</v>
      </c>
      <c r="GW44" t="e">
        <f>AND(#REF!,"AAAAAH6fusw=")</f>
        <v>#REF!</v>
      </c>
      <c r="GX44" t="e">
        <f>AND(#REF!,"AAAAAH6fus0=")</f>
        <v>#REF!</v>
      </c>
      <c r="GY44" t="e">
        <f>AND(#REF!,"AAAAAH6fus4=")</f>
        <v>#REF!</v>
      </c>
      <c r="GZ44" t="e">
        <f>AND(#REF!,"AAAAAH6fus8=")</f>
        <v>#REF!</v>
      </c>
      <c r="HA44" t="e">
        <f>AND(#REF!,"AAAAAH6futA=")</f>
        <v>#REF!</v>
      </c>
      <c r="HB44" t="e">
        <f>AND(#REF!,"AAAAAH6futE=")</f>
        <v>#REF!</v>
      </c>
      <c r="HC44" t="e">
        <f>AND(#REF!,"AAAAAH6futI=")</f>
        <v>#REF!</v>
      </c>
      <c r="HD44" t="e">
        <f>AND(#REF!,"AAAAAH6futM=")</f>
        <v>#REF!</v>
      </c>
      <c r="HE44" t="e">
        <f>AND(#REF!,"AAAAAH6futQ=")</f>
        <v>#REF!</v>
      </c>
      <c r="HF44" t="e">
        <f>AND(#REF!,"AAAAAH6futU=")</f>
        <v>#REF!</v>
      </c>
      <c r="HG44" t="e">
        <f>AND(#REF!,"AAAAAH6futY=")</f>
        <v>#REF!</v>
      </c>
      <c r="HH44" t="e">
        <f>AND(#REF!,"AAAAAH6futc=")</f>
        <v>#REF!</v>
      </c>
      <c r="HI44" t="e">
        <f>AND(#REF!,"AAAAAH6futg=")</f>
        <v>#REF!</v>
      </c>
      <c r="HJ44" t="e">
        <f>AND(#REF!,"AAAAAH6futk=")</f>
        <v>#REF!</v>
      </c>
      <c r="HK44" t="e">
        <f>AND(#REF!,"AAAAAH6futo=")</f>
        <v>#REF!</v>
      </c>
      <c r="HL44" t="e">
        <f>AND(#REF!,"AAAAAH6futs=")</f>
        <v>#REF!</v>
      </c>
      <c r="HM44" t="e">
        <f>AND(#REF!,"AAAAAH6futw=")</f>
        <v>#REF!</v>
      </c>
      <c r="HN44" t="e">
        <f>AND(#REF!,"AAAAAH6fut0=")</f>
        <v>#REF!</v>
      </c>
      <c r="HO44" t="e">
        <f>AND(#REF!,"AAAAAH6fut4=")</f>
        <v>#REF!</v>
      </c>
      <c r="HP44" t="e">
        <f>AND(#REF!,"AAAAAH6fut8=")</f>
        <v>#REF!</v>
      </c>
      <c r="HQ44" t="e">
        <f>AND(#REF!,"AAAAAH6fuuA=")</f>
        <v>#REF!</v>
      </c>
      <c r="HR44" t="e">
        <f>AND(#REF!,"AAAAAH6fuuE=")</f>
        <v>#REF!</v>
      </c>
      <c r="HS44" t="e">
        <f>AND(#REF!,"AAAAAH6fuuI=")</f>
        <v>#REF!</v>
      </c>
      <c r="HT44" t="e">
        <f>AND(#REF!,"AAAAAH6fuuM=")</f>
        <v>#REF!</v>
      </c>
      <c r="HU44" t="e">
        <f>AND(#REF!,"AAAAAH6fuuQ=")</f>
        <v>#REF!</v>
      </c>
      <c r="HV44" t="e">
        <f>AND(#REF!,"AAAAAH6fuuU=")</f>
        <v>#REF!</v>
      </c>
      <c r="HW44" t="e">
        <f>AND(#REF!,"AAAAAH6fuuY=")</f>
        <v>#REF!</v>
      </c>
      <c r="HX44" t="e">
        <f>AND(#REF!,"AAAAAH6fuuc=")</f>
        <v>#REF!</v>
      </c>
      <c r="HY44" t="e">
        <f>AND(#REF!,"AAAAAH6fuug=")</f>
        <v>#REF!</v>
      </c>
      <c r="HZ44" t="e">
        <f>AND(#REF!,"AAAAAH6fuuk=")</f>
        <v>#REF!</v>
      </c>
      <c r="IA44" t="e">
        <f>AND(#REF!,"AAAAAH6fuuo=")</f>
        <v>#REF!</v>
      </c>
      <c r="IB44" t="e">
        <f>AND(#REF!,"AAAAAH6fuus=")</f>
        <v>#REF!</v>
      </c>
      <c r="IC44" t="e">
        <f>AND(#REF!,"AAAAAH6fuuw=")</f>
        <v>#REF!</v>
      </c>
      <c r="ID44" t="e">
        <f>AND(#REF!,"AAAAAH6fuu0=")</f>
        <v>#REF!</v>
      </c>
      <c r="IE44" t="e">
        <f>AND(#REF!,"AAAAAH6fuu4=")</f>
        <v>#REF!</v>
      </c>
      <c r="IF44" t="e">
        <f>AND(#REF!,"AAAAAH6fuu8=")</f>
        <v>#REF!</v>
      </c>
      <c r="IG44" t="e">
        <f>AND(#REF!,"AAAAAH6fuvA=")</f>
        <v>#REF!</v>
      </c>
      <c r="IH44" t="e">
        <f>AND(#REF!,"AAAAAH6fuvE=")</f>
        <v>#REF!</v>
      </c>
      <c r="II44" t="e">
        <f>AND(#REF!,"AAAAAH6fuvI=")</f>
        <v>#REF!</v>
      </c>
      <c r="IJ44" t="e">
        <f>AND(#REF!,"AAAAAH6fuvM=")</f>
        <v>#REF!</v>
      </c>
      <c r="IK44" t="e">
        <f>AND(#REF!,"AAAAAH6fuvQ=")</f>
        <v>#REF!</v>
      </c>
      <c r="IL44" t="e">
        <f>AND(#REF!,"AAAAAH6fuvU=")</f>
        <v>#REF!</v>
      </c>
      <c r="IM44" t="e">
        <f>AND(#REF!,"AAAAAH6fuvY=")</f>
        <v>#REF!</v>
      </c>
      <c r="IN44" t="e">
        <f>AND(#REF!,"AAAAAH6fuvc=")</f>
        <v>#REF!</v>
      </c>
      <c r="IO44" t="e">
        <f>AND(#REF!,"AAAAAH6fuvg=")</f>
        <v>#REF!</v>
      </c>
      <c r="IP44" t="e">
        <f>AND(#REF!,"AAAAAH6fuvk=")</f>
        <v>#REF!</v>
      </c>
      <c r="IQ44" t="e">
        <f>AND(#REF!,"AAAAAH6fuvo=")</f>
        <v>#REF!</v>
      </c>
      <c r="IR44" t="e">
        <f>AND(#REF!,"AAAAAH6fuvs=")</f>
        <v>#REF!</v>
      </c>
      <c r="IS44" t="e">
        <f>AND(#REF!,"AAAAAH6fuvw=")</f>
        <v>#REF!</v>
      </c>
      <c r="IT44" t="e">
        <f>AND(#REF!,"AAAAAH6fuv0=")</f>
        <v>#REF!</v>
      </c>
      <c r="IU44" t="e">
        <f>AND(#REF!,"AAAAAH6fuv4=")</f>
        <v>#REF!</v>
      </c>
      <c r="IV44" t="e">
        <f>AND(#REF!,"AAAAAH6fuv8=")</f>
        <v>#REF!</v>
      </c>
    </row>
    <row r="45" spans="1:256">
      <c r="A45" t="e">
        <f>AND(#REF!,"AAAAAH5//wA=")</f>
        <v>#REF!</v>
      </c>
      <c r="B45" t="e">
        <f>AND(#REF!,"AAAAAH5//wE=")</f>
        <v>#REF!</v>
      </c>
      <c r="C45" t="e">
        <f>AND(#REF!,"AAAAAH5//wI=")</f>
        <v>#REF!</v>
      </c>
      <c r="D45" t="e">
        <f>AND(#REF!,"AAAAAH5//wM=")</f>
        <v>#REF!</v>
      </c>
      <c r="E45" t="e">
        <f>AND(#REF!,"AAAAAH5//wQ=")</f>
        <v>#REF!</v>
      </c>
      <c r="F45" t="e">
        <f>AND(#REF!,"AAAAAH5//wU=")</f>
        <v>#REF!</v>
      </c>
      <c r="G45" t="e">
        <f>AND(#REF!,"AAAAAH5//wY=")</f>
        <v>#REF!</v>
      </c>
      <c r="H45" t="e">
        <f>AND(#REF!,"AAAAAH5//wc=")</f>
        <v>#REF!</v>
      </c>
      <c r="I45" t="e">
        <f>AND(#REF!,"AAAAAH5//wg=")</f>
        <v>#REF!</v>
      </c>
      <c r="J45" t="e">
        <f>AND(#REF!,"AAAAAH5//wk=")</f>
        <v>#REF!</v>
      </c>
      <c r="K45" t="e">
        <f>AND(#REF!,"AAAAAH5//wo=")</f>
        <v>#REF!</v>
      </c>
      <c r="L45" t="e">
        <f>AND(#REF!,"AAAAAH5//ws=")</f>
        <v>#REF!</v>
      </c>
      <c r="M45" t="e">
        <f>AND(#REF!,"AAAAAH5//ww=")</f>
        <v>#REF!</v>
      </c>
      <c r="N45" t="e">
        <f>AND(#REF!,"AAAAAH5//w0=")</f>
        <v>#REF!</v>
      </c>
      <c r="O45" t="e">
        <f>AND(#REF!,"AAAAAH5//w4=")</f>
        <v>#REF!</v>
      </c>
      <c r="P45" t="e">
        <f>AND(#REF!,"AAAAAH5//w8=")</f>
        <v>#REF!</v>
      </c>
      <c r="Q45" t="e">
        <f>AND(#REF!,"AAAAAH5//xA=")</f>
        <v>#REF!</v>
      </c>
      <c r="R45" t="e">
        <f>AND(#REF!,"AAAAAH5//xE=")</f>
        <v>#REF!</v>
      </c>
      <c r="S45" t="e">
        <f>AND(#REF!,"AAAAAH5//xI=")</f>
        <v>#REF!</v>
      </c>
      <c r="T45" t="e">
        <f>AND(#REF!,"AAAAAH5//xM=")</f>
        <v>#REF!</v>
      </c>
      <c r="U45" t="e">
        <f>AND(#REF!,"AAAAAH5//xQ=")</f>
        <v>#REF!</v>
      </c>
      <c r="V45" t="e">
        <f>AND(#REF!,"AAAAAH5//xU=")</f>
        <v>#REF!</v>
      </c>
      <c r="W45" t="e">
        <f>AND(#REF!,"AAAAAH5//xY=")</f>
        <v>#REF!</v>
      </c>
      <c r="X45" t="e">
        <f>AND(#REF!,"AAAAAH5//xc=")</f>
        <v>#REF!</v>
      </c>
      <c r="Y45" t="e">
        <f>AND(#REF!,"AAAAAH5//xg=")</f>
        <v>#REF!</v>
      </c>
      <c r="Z45" t="e">
        <f>AND(#REF!,"AAAAAH5//xk=")</f>
        <v>#REF!</v>
      </c>
      <c r="AA45" t="e">
        <f>AND(#REF!,"AAAAAH5//xo=")</f>
        <v>#REF!</v>
      </c>
      <c r="AB45" t="e">
        <f>AND(#REF!,"AAAAAH5//xs=")</f>
        <v>#REF!</v>
      </c>
      <c r="AC45" t="e">
        <f>AND(#REF!,"AAAAAH5//xw=")</f>
        <v>#REF!</v>
      </c>
      <c r="AD45" t="e">
        <f>AND(#REF!,"AAAAAH5//x0=")</f>
        <v>#REF!</v>
      </c>
      <c r="AE45" t="e">
        <f>AND(#REF!,"AAAAAH5//x4=")</f>
        <v>#REF!</v>
      </c>
      <c r="AF45" t="e">
        <f>AND(#REF!,"AAAAAH5//x8=")</f>
        <v>#REF!</v>
      </c>
      <c r="AG45" t="e">
        <f>AND(#REF!,"AAAAAH5//yA=")</f>
        <v>#REF!</v>
      </c>
      <c r="AH45" t="e">
        <f>AND(#REF!,"AAAAAH5//yE=")</f>
        <v>#REF!</v>
      </c>
      <c r="AI45" t="e">
        <f>AND(#REF!,"AAAAAH5//yI=")</f>
        <v>#REF!</v>
      </c>
      <c r="AJ45" t="e">
        <f>AND(#REF!,"AAAAAH5//yM=")</f>
        <v>#REF!</v>
      </c>
      <c r="AK45" t="e">
        <f>AND(#REF!,"AAAAAH5//yQ=")</f>
        <v>#REF!</v>
      </c>
      <c r="AL45" t="e">
        <f>AND(#REF!,"AAAAAH5//yU=")</f>
        <v>#REF!</v>
      </c>
      <c r="AM45" t="e">
        <f>AND(#REF!,"AAAAAH5//yY=")</f>
        <v>#REF!</v>
      </c>
      <c r="AN45" t="e">
        <f>AND(#REF!,"AAAAAH5//yc=")</f>
        <v>#REF!</v>
      </c>
      <c r="AO45" t="e">
        <f>AND(#REF!,"AAAAAH5//yg=")</f>
        <v>#REF!</v>
      </c>
      <c r="AP45" t="e">
        <f>AND(#REF!,"AAAAAH5//yk=")</f>
        <v>#REF!</v>
      </c>
      <c r="AQ45" t="e">
        <f>AND(#REF!,"AAAAAH5//yo=")</f>
        <v>#REF!</v>
      </c>
      <c r="AR45" t="e">
        <f>AND(#REF!,"AAAAAH5//ys=")</f>
        <v>#REF!</v>
      </c>
      <c r="AS45" t="e">
        <f>AND(#REF!,"AAAAAH5//yw=")</f>
        <v>#REF!</v>
      </c>
      <c r="AT45" t="e">
        <f>AND(#REF!,"AAAAAH5//y0=")</f>
        <v>#REF!</v>
      </c>
      <c r="AU45" t="e">
        <f>AND(#REF!,"AAAAAH5//y4=")</f>
        <v>#REF!</v>
      </c>
      <c r="AV45" t="e">
        <f>AND(#REF!,"AAAAAH5//y8=")</f>
        <v>#REF!</v>
      </c>
      <c r="AW45" t="e">
        <f>AND(#REF!,"AAAAAH5//zA=")</f>
        <v>#REF!</v>
      </c>
      <c r="AX45" t="e">
        <f>AND(#REF!,"AAAAAH5//zE=")</f>
        <v>#REF!</v>
      </c>
      <c r="AY45" t="e">
        <f>AND(#REF!,"AAAAAH5//zI=")</f>
        <v>#REF!</v>
      </c>
      <c r="AZ45" t="e">
        <f>AND(#REF!,"AAAAAH5//zM=")</f>
        <v>#REF!</v>
      </c>
      <c r="BA45" t="e">
        <f>AND(#REF!,"AAAAAH5//zQ=")</f>
        <v>#REF!</v>
      </c>
      <c r="BB45" t="e">
        <f>AND(#REF!,"AAAAAH5//zU=")</f>
        <v>#REF!</v>
      </c>
      <c r="BC45" t="e">
        <f>AND(#REF!,"AAAAAH5//zY=")</f>
        <v>#REF!</v>
      </c>
      <c r="BD45" t="e">
        <f>AND(#REF!,"AAAAAH5//zc=")</f>
        <v>#REF!</v>
      </c>
      <c r="BE45" t="e">
        <f>AND(#REF!,"AAAAAH5//zg=")</f>
        <v>#REF!</v>
      </c>
      <c r="BF45" t="e">
        <f>AND(#REF!,"AAAAAH5//zk=")</f>
        <v>#REF!</v>
      </c>
      <c r="BG45" t="e">
        <f>AND(#REF!,"AAAAAH5//zo=")</f>
        <v>#REF!</v>
      </c>
      <c r="BH45" t="e">
        <f>AND(#REF!,"AAAAAH5//zs=")</f>
        <v>#REF!</v>
      </c>
      <c r="BI45" t="e">
        <f>AND(#REF!,"AAAAAH5//zw=")</f>
        <v>#REF!</v>
      </c>
      <c r="BJ45" t="e">
        <f>AND(#REF!,"AAAAAH5//z0=")</f>
        <v>#REF!</v>
      </c>
      <c r="BK45" t="e">
        <f>AND(#REF!,"AAAAAH5//z4=")</f>
        <v>#REF!</v>
      </c>
      <c r="BL45" t="e">
        <f>AND(#REF!,"AAAAAH5//z8=")</f>
        <v>#REF!</v>
      </c>
      <c r="BM45" t="e">
        <f>AND(#REF!,"AAAAAH5//0A=")</f>
        <v>#REF!</v>
      </c>
      <c r="BN45" t="e">
        <f>AND(#REF!,"AAAAAH5//0E=")</f>
        <v>#REF!</v>
      </c>
      <c r="BO45" t="e">
        <f>AND(#REF!,"AAAAAH5//0I=")</f>
        <v>#REF!</v>
      </c>
      <c r="BP45" t="e">
        <f>AND(#REF!,"AAAAAH5//0M=")</f>
        <v>#REF!</v>
      </c>
      <c r="BQ45" t="e">
        <f>AND(#REF!,"AAAAAH5//0Q=")</f>
        <v>#REF!</v>
      </c>
      <c r="BR45" t="e">
        <f>AND(#REF!,"AAAAAH5//0U=")</f>
        <v>#REF!</v>
      </c>
      <c r="BS45" t="e">
        <f>AND(#REF!,"AAAAAH5//0Y=")</f>
        <v>#REF!</v>
      </c>
      <c r="BT45" t="e">
        <f>AND(#REF!,"AAAAAH5//0c=")</f>
        <v>#REF!</v>
      </c>
      <c r="BU45" t="e">
        <f>AND(#REF!,"AAAAAH5//0g=")</f>
        <v>#REF!</v>
      </c>
      <c r="BV45" t="e">
        <f>AND(#REF!,"AAAAAH5//0k=")</f>
        <v>#REF!</v>
      </c>
      <c r="BW45" t="e">
        <f>AND(#REF!,"AAAAAH5//0o=")</f>
        <v>#REF!</v>
      </c>
      <c r="BX45" t="e">
        <f>AND(#REF!,"AAAAAH5//0s=")</f>
        <v>#REF!</v>
      </c>
      <c r="BY45" t="e">
        <f>AND(#REF!,"AAAAAH5//0w=")</f>
        <v>#REF!</v>
      </c>
      <c r="BZ45" t="e">
        <f>AND(#REF!,"AAAAAH5//00=")</f>
        <v>#REF!</v>
      </c>
      <c r="CA45" t="e">
        <f>AND(#REF!,"AAAAAH5//04=")</f>
        <v>#REF!</v>
      </c>
      <c r="CB45" t="e">
        <f>AND(#REF!,"AAAAAH5//08=")</f>
        <v>#REF!</v>
      </c>
      <c r="CC45" t="e">
        <f>AND(#REF!,"AAAAAH5//1A=")</f>
        <v>#REF!</v>
      </c>
      <c r="CD45" t="e">
        <f>AND(#REF!,"AAAAAH5//1E=")</f>
        <v>#REF!</v>
      </c>
      <c r="CE45" t="e">
        <f>AND(#REF!,"AAAAAH5//1I=")</f>
        <v>#REF!</v>
      </c>
      <c r="CF45" t="e">
        <f>AND(#REF!,"AAAAAH5//1M=")</f>
        <v>#REF!</v>
      </c>
      <c r="CG45" t="e">
        <f>AND(#REF!,"AAAAAH5//1Q=")</f>
        <v>#REF!</v>
      </c>
      <c r="CH45" t="e">
        <f>AND(#REF!,"AAAAAH5//1U=")</f>
        <v>#REF!</v>
      </c>
      <c r="CI45" t="e">
        <f>AND(#REF!,"AAAAAH5//1Y=")</f>
        <v>#REF!</v>
      </c>
      <c r="CJ45" t="e">
        <f>AND(#REF!,"AAAAAH5//1c=")</f>
        <v>#REF!</v>
      </c>
      <c r="CK45" t="e">
        <f>AND(#REF!,"AAAAAH5//1g=")</f>
        <v>#REF!</v>
      </c>
      <c r="CL45" t="e">
        <f>AND(#REF!,"AAAAAH5//1k=")</f>
        <v>#REF!</v>
      </c>
      <c r="CM45" t="e">
        <f>AND(#REF!,"AAAAAH5//1o=")</f>
        <v>#REF!</v>
      </c>
      <c r="CN45" t="e">
        <f>AND(#REF!,"AAAAAH5//1s=")</f>
        <v>#REF!</v>
      </c>
      <c r="CO45" t="e">
        <f>AND(#REF!,"AAAAAH5//1w=")</f>
        <v>#REF!</v>
      </c>
      <c r="CP45" t="e">
        <f>AND(#REF!,"AAAAAH5//10=")</f>
        <v>#REF!</v>
      </c>
      <c r="CQ45" t="e">
        <f>AND(#REF!,"AAAAAH5//14=")</f>
        <v>#REF!</v>
      </c>
      <c r="CR45" t="e">
        <f>AND(#REF!,"AAAAAH5//18=")</f>
        <v>#REF!</v>
      </c>
      <c r="CS45" t="e">
        <f>AND(#REF!,"AAAAAH5//2A=")</f>
        <v>#REF!</v>
      </c>
      <c r="CT45" t="e">
        <f>AND(#REF!,"AAAAAH5//2E=")</f>
        <v>#REF!</v>
      </c>
      <c r="CU45" t="e">
        <f>AND(#REF!,"AAAAAH5//2I=")</f>
        <v>#REF!</v>
      </c>
      <c r="CV45" t="e">
        <f>AND(#REF!,"AAAAAH5//2M=")</f>
        <v>#REF!</v>
      </c>
      <c r="CW45" t="e">
        <f>AND(#REF!,"AAAAAH5//2Q=")</f>
        <v>#REF!</v>
      </c>
      <c r="CX45" t="e">
        <f>AND(#REF!,"AAAAAH5//2U=")</f>
        <v>#REF!</v>
      </c>
      <c r="CY45" t="e">
        <f>AND(#REF!,"AAAAAH5//2Y=")</f>
        <v>#REF!</v>
      </c>
      <c r="CZ45" t="e">
        <f>AND(#REF!,"AAAAAH5//2c=")</f>
        <v>#REF!</v>
      </c>
      <c r="DA45" t="e">
        <f>AND(#REF!,"AAAAAH5//2g=")</f>
        <v>#REF!</v>
      </c>
      <c r="DB45" t="e">
        <f>AND(#REF!,"AAAAAH5//2k=")</f>
        <v>#REF!</v>
      </c>
      <c r="DC45" t="e">
        <f>AND(#REF!,"AAAAAH5//2o=")</f>
        <v>#REF!</v>
      </c>
      <c r="DD45" t="e">
        <f>AND(#REF!,"AAAAAH5//2s=")</f>
        <v>#REF!</v>
      </c>
      <c r="DE45" t="e">
        <f>AND(#REF!,"AAAAAH5//2w=")</f>
        <v>#REF!</v>
      </c>
      <c r="DF45" t="e">
        <f>AND(#REF!,"AAAAAH5//20=")</f>
        <v>#REF!</v>
      </c>
      <c r="DG45" t="e">
        <f>AND(#REF!,"AAAAAH5//24=")</f>
        <v>#REF!</v>
      </c>
      <c r="DH45" t="e">
        <f>AND(#REF!,"AAAAAH5//28=")</f>
        <v>#REF!</v>
      </c>
      <c r="DI45" t="e">
        <f>AND(#REF!,"AAAAAH5//3A=")</f>
        <v>#REF!</v>
      </c>
      <c r="DJ45" t="e">
        <f>AND(#REF!,"AAAAAH5//3E=")</f>
        <v>#REF!</v>
      </c>
      <c r="DK45" t="e">
        <f>AND(#REF!,"AAAAAH5//3I=")</f>
        <v>#REF!</v>
      </c>
      <c r="DL45" t="e">
        <f>AND(#REF!,"AAAAAH5//3M=")</f>
        <v>#REF!</v>
      </c>
      <c r="DM45" t="e">
        <f>AND(#REF!,"AAAAAH5//3Q=")</f>
        <v>#REF!</v>
      </c>
      <c r="DN45" t="e">
        <f>AND(#REF!,"AAAAAH5//3U=")</f>
        <v>#REF!</v>
      </c>
      <c r="DO45" t="e">
        <f>AND(#REF!,"AAAAAH5//3Y=")</f>
        <v>#REF!</v>
      </c>
      <c r="DP45" t="e">
        <f>AND(#REF!,"AAAAAH5//3c=")</f>
        <v>#REF!</v>
      </c>
      <c r="DQ45" t="e">
        <f>AND(#REF!,"AAAAAH5//3g=")</f>
        <v>#REF!</v>
      </c>
      <c r="DR45" t="e">
        <f>AND(#REF!,"AAAAAH5//3k=")</f>
        <v>#REF!</v>
      </c>
      <c r="DS45" t="e">
        <f>AND(#REF!,"AAAAAH5//3o=")</f>
        <v>#REF!</v>
      </c>
      <c r="DT45" t="e">
        <f>AND(#REF!,"AAAAAH5//3s=")</f>
        <v>#REF!</v>
      </c>
      <c r="DU45" t="e">
        <f>AND(#REF!,"AAAAAH5//3w=")</f>
        <v>#REF!</v>
      </c>
      <c r="DV45" t="e">
        <f>AND(#REF!,"AAAAAH5//30=")</f>
        <v>#REF!</v>
      </c>
      <c r="DW45" t="e">
        <f>AND(#REF!,"AAAAAH5//34=")</f>
        <v>#REF!</v>
      </c>
      <c r="DX45" t="e">
        <f>AND(#REF!,"AAAAAH5//38=")</f>
        <v>#REF!</v>
      </c>
      <c r="DY45" t="e">
        <f>AND(#REF!,"AAAAAH5//4A=")</f>
        <v>#REF!</v>
      </c>
      <c r="DZ45" t="e">
        <f>AND(#REF!,"AAAAAH5//4E=")</f>
        <v>#REF!</v>
      </c>
      <c r="EA45" t="e">
        <f>AND(#REF!,"AAAAAH5//4I=")</f>
        <v>#REF!</v>
      </c>
      <c r="EB45" t="e">
        <f>AND(#REF!,"AAAAAH5//4M=")</f>
        <v>#REF!</v>
      </c>
      <c r="EC45" t="e">
        <f>AND(#REF!,"AAAAAH5//4Q=")</f>
        <v>#REF!</v>
      </c>
      <c r="ED45" t="e">
        <f>AND(#REF!,"AAAAAH5//4U=")</f>
        <v>#REF!</v>
      </c>
      <c r="EE45" t="e">
        <f>AND(#REF!,"AAAAAH5//4Y=")</f>
        <v>#REF!</v>
      </c>
      <c r="EF45" t="e">
        <f>AND(#REF!,"AAAAAH5//4c=")</f>
        <v>#REF!</v>
      </c>
      <c r="EG45" t="e">
        <f>AND(#REF!,"AAAAAH5//4g=")</f>
        <v>#REF!</v>
      </c>
      <c r="EH45" t="e">
        <f>AND(#REF!,"AAAAAH5//4k=")</f>
        <v>#REF!</v>
      </c>
      <c r="EI45" t="e">
        <f>AND(#REF!,"AAAAAH5//4o=")</f>
        <v>#REF!</v>
      </c>
      <c r="EJ45" t="e">
        <f>AND(#REF!,"AAAAAH5//4s=")</f>
        <v>#REF!</v>
      </c>
      <c r="EK45" t="e">
        <f>AND(#REF!,"AAAAAH5//4w=")</f>
        <v>#REF!</v>
      </c>
      <c r="EL45" t="e">
        <f>AND(#REF!,"AAAAAH5//40=")</f>
        <v>#REF!</v>
      </c>
      <c r="EM45" t="e">
        <f>AND(#REF!,"AAAAAH5//44=")</f>
        <v>#REF!</v>
      </c>
      <c r="EN45" t="e">
        <f>AND(#REF!,"AAAAAH5//48=")</f>
        <v>#REF!</v>
      </c>
      <c r="EO45" t="e">
        <f>AND(#REF!,"AAAAAH5//5A=")</f>
        <v>#REF!</v>
      </c>
      <c r="EP45" t="e">
        <f>AND(#REF!,"AAAAAH5//5E=")</f>
        <v>#REF!</v>
      </c>
      <c r="EQ45" t="e">
        <f>AND(#REF!,"AAAAAH5//5I=")</f>
        <v>#REF!</v>
      </c>
      <c r="ER45" t="e">
        <f>AND(#REF!,"AAAAAH5//5M=")</f>
        <v>#REF!</v>
      </c>
      <c r="ES45" t="e">
        <f>AND(#REF!,"AAAAAH5//5Q=")</f>
        <v>#REF!</v>
      </c>
      <c r="ET45" t="e">
        <f>AND(#REF!,"AAAAAH5//5U=")</f>
        <v>#REF!</v>
      </c>
      <c r="EU45" t="e">
        <f>AND(#REF!,"AAAAAH5//5Y=")</f>
        <v>#REF!</v>
      </c>
      <c r="EV45" t="e">
        <f>AND(#REF!,"AAAAAH5//5c=")</f>
        <v>#REF!</v>
      </c>
      <c r="EW45" t="e">
        <f>AND(#REF!,"AAAAAH5//5g=")</f>
        <v>#REF!</v>
      </c>
      <c r="EX45" t="e">
        <f>AND(#REF!,"AAAAAH5//5k=")</f>
        <v>#REF!</v>
      </c>
      <c r="EY45" t="e">
        <f>AND(#REF!,"AAAAAH5//5o=")</f>
        <v>#REF!</v>
      </c>
      <c r="EZ45" t="e">
        <f>AND(#REF!,"AAAAAH5//5s=")</f>
        <v>#REF!</v>
      </c>
      <c r="FA45" t="e">
        <f>AND(#REF!,"AAAAAH5//5w=")</f>
        <v>#REF!</v>
      </c>
      <c r="FB45" t="e">
        <f>AND(#REF!,"AAAAAH5//50=")</f>
        <v>#REF!</v>
      </c>
      <c r="FC45" t="e">
        <f>AND(#REF!,"AAAAAH5//54=")</f>
        <v>#REF!</v>
      </c>
      <c r="FD45" t="e">
        <f>AND(#REF!,"AAAAAH5//58=")</f>
        <v>#REF!</v>
      </c>
      <c r="FE45" t="e">
        <f>AND(#REF!,"AAAAAH5//6A=")</f>
        <v>#REF!</v>
      </c>
      <c r="FF45" t="e">
        <f>AND(#REF!,"AAAAAH5//6E=")</f>
        <v>#REF!</v>
      </c>
      <c r="FG45" t="e">
        <f>AND(#REF!,"AAAAAH5//6I=")</f>
        <v>#REF!</v>
      </c>
      <c r="FH45" t="e">
        <f>AND(#REF!,"AAAAAH5//6M=")</f>
        <v>#REF!</v>
      </c>
      <c r="FI45" t="e">
        <f>AND(#REF!,"AAAAAH5//6Q=")</f>
        <v>#REF!</v>
      </c>
      <c r="FJ45" t="e">
        <f>AND(#REF!,"AAAAAH5//6U=")</f>
        <v>#REF!</v>
      </c>
      <c r="FK45" t="e">
        <f>AND(#REF!,"AAAAAH5//6Y=")</f>
        <v>#REF!</v>
      </c>
      <c r="FL45" t="e">
        <f>AND(#REF!,"AAAAAH5//6c=")</f>
        <v>#REF!</v>
      </c>
      <c r="FM45" t="e">
        <f>AND(#REF!,"AAAAAH5//6g=")</f>
        <v>#REF!</v>
      </c>
      <c r="FN45" t="e">
        <f>AND(#REF!,"AAAAAH5//6k=")</f>
        <v>#REF!</v>
      </c>
      <c r="FO45" t="e">
        <f>AND(#REF!,"AAAAAH5//6o=")</f>
        <v>#REF!</v>
      </c>
      <c r="FP45" t="e">
        <f>AND(#REF!,"AAAAAH5//6s=")</f>
        <v>#REF!</v>
      </c>
      <c r="FQ45" t="e">
        <f>AND(#REF!,"AAAAAH5//6w=")</f>
        <v>#REF!</v>
      </c>
      <c r="FR45" t="e">
        <f>AND(#REF!,"AAAAAH5//60=")</f>
        <v>#REF!</v>
      </c>
      <c r="FS45" t="e">
        <f>AND(#REF!,"AAAAAH5//64=")</f>
        <v>#REF!</v>
      </c>
      <c r="FT45" t="e">
        <f>AND(#REF!,"AAAAAH5//68=")</f>
        <v>#REF!</v>
      </c>
      <c r="FU45" t="e">
        <f>AND(#REF!,"AAAAAH5//7A=")</f>
        <v>#REF!</v>
      </c>
      <c r="FV45" t="e">
        <f>AND(#REF!,"AAAAAH5//7E=")</f>
        <v>#REF!</v>
      </c>
      <c r="FW45" t="e">
        <f>AND(#REF!,"AAAAAH5//7I=")</f>
        <v>#REF!</v>
      </c>
      <c r="FX45" t="e">
        <f>AND(#REF!,"AAAAAH5//7M=")</f>
        <v>#REF!</v>
      </c>
      <c r="FY45" t="e">
        <f>AND(#REF!,"AAAAAH5//7Q=")</f>
        <v>#REF!</v>
      </c>
      <c r="FZ45" t="e">
        <f>AND(#REF!,"AAAAAH5//7U=")</f>
        <v>#REF!</v>
      </c>
      <c r="GA45" t="e">
        <f>AND(#REF!,"AAAAAH5//7Y=")</f>
        <v>#REF!</v>
      </c>
      <c r="GB45" t="e">
        <f>AND(#REF!,"AAAAAH5//7c=")</f>
        <v>#REF!</v>
      </c>
      <c r="GC45" t="e">
        <f>AND(#REF!,"AAAAAH5//7g=")</f>
        <v>#REF!</v>
      </c>
      <c r="GD45" t="e">
        <f>AND(#REF!,"AAAAAH5//7k=")</f>
        <v>#REF!</v>
      </c>
      <c r="GE45" t="e">
        <f>AND(#REF!,"AAAAAH5//7o=")</f>
        <v>#REF!</v>
      </c>
      <c r="GF45" t="e">
        <f>AND(#REF!,"AAAAAH5//7s=")</f>
        <v>#REF!</v>
      </c>
      <c r="GG45" t="e">
        <f>AND(#REF!,"AAAAAH5//7w=")</f>
        <v>#REF!</v>
      </c>
      <c r="GH45" t="e">
        <f>AND(#REF!,"AAAAAH5//70=")</f>
        <v>#REF!</v>
      </c>
      <c r="GI45" t="e">
        <f>AND(#REF!,"AAAAAH5//74=")</f>
        <v>#REF!</v>
      </c>
      <c r="GJ45" t="e">
        <f>AND(#REF!,"AAAAAH5//78=")</f>
        <v>#REF!</v>
      </c>
      <c r="GK45" t="e">
        <f>AND(#REF!,"AAAAAH5//8A=")</f>
        <v>#REF!</v>
      </c>
      <c r="GL45" t="e">
        <f>AND(#REF!,"AAAAAH5//8E=")</f>
        <v>#REF!</v>
      </c>
      <c r="GM45" t="e">
        <f>AND(#REF!,"AAAAAH5//8I=")</f>
        <v>#REF!</v>
      </c>
      <c r="GN45" t="e">
        <f>AND(#REF!,"AAAAAH5//8M=")</f>
        <v>#REF!</v>
      </c>
      <c r="GO45" t="e">
        <f>AND(#REF!,"AAAAAH5//8Q=")</f>
        <v>#REF!</v>
      </c>
      <c r="GP45" t="e">
        <f>AND(#REF!,"AAAAAH5//8U=")</f>
        <v>#REF!</v>
      </c>
      <c r="GQ45" t="e">
        <f>AND(#REF!,"AAAAAH5//8Y=")</f>
        <v>#REF!</v>
      </c>
      <c r="GR45" t="e">
        <f>AND(#REF!,"AAAAAH5//8c=")</f>
        <v>#REF!</v>
      </c>
      <c r="GS45" t="e">
        <f>AND(#REF!,"AAAAAH5//8g=")</f>
        <v>#REF!</v>
      </c>
      <c r="GT45" t="e">
        <f>AND(#REF!,"AAAAAH5//8k=")</f>
        <v>#REF!</v>
      </c>
      <c r="GU45" t="e">
        <f>AND(#REF!,"AAAAAH5//8o=")</f>
        <v>#REF!</v>
      </c>
      <c r="GV45" t="e">
        <f>AND(#REF!,"AAAAAH5//8s=")</f>
        <v>#REF!</v>
      </c>
      <c r="GW45" t="e">
        <f>AND(#REF!,"AAAAAH5//8w=")</f>
        <v>#REF!</v>
      </c>
      <c r="GX45" t="e">
        <f>AND(#REF!,"AAAAAH5//80=")</f>
        <v>#REF!</v>
      </c>
      <c r="GY45" t="e">
        <f>AND(#REF!,"AAAAAH5//84=")</f>
        <v>#REF!</v>
      </c>
      <c r="GZ45" t="e">
        <f>AND(#REF!,"AAAAAH5//88=")</f>
        <v>#REF!</v>
      </c>
      <c r="HA45" t="e">
        <f>AND(#REF!,"AAAAAH5//9A=")</f>
        <v>#REF!</v>
      </c>
      <c r="HB45" t="e">
        <f>AND(#REF!,"AAAAAH5//9E=")</f>
        <v>#REF!</v>
      </c>
      <c r="HC45" t="e">
        <f>AND(#REF!,"AAAAAH5//9I=")</f>
        <v>#REF!</v>
      </c>
      <c r="HD45" t="e">
        <f>AND(#REF!,"AAAAAH5//9M=")</f>
        <v>#REF!</v>
      </c>
      <c r="HE45" t="e">
        <f>AND(#REF!,"AAAAAH5//9Q=")</f>
        <v>#REF!</v>
      </c>
      <c r="HF45" t="e">
        <f>AND(#REF!,"AAAAAH5//9U=")</f>
        <v>#REF!</v>
      </c>
      <c r="HG45" t="e">
        <f>AND(#REF!,"AAAAAH5//9Y=")</f>
        <v>#REF!</v>
      </c>
      <c r="HH45" t="e">
        <f>AND(#REF!,"AAAAAH5//9c=")</f>
        <v>#REF!</v>
      </c>
      <c r="HI45" t="e">
        <f>AND(#REF!,"AAAAAH5//9g=")</f>
        <v>#REF!</v>
      </c>
      <c r="HJ45" t="e">
        <f>AND(#REF!,"AAAAAH5//9k=")</f>
        <v>#REF!</v>
      </c>
      <c r="HK45" t="e">
        <f>AND(#REF!,"AAAAAH5//9o=")</f>
        <v>#REF!</v>
      </c>
      <c r="HL45" t="e">
        <f>AND(#REF!,"AAAAAH5//9s=")</f>
        <v>#REF!</v>
      </c>
      <c r="HM45" t="e">
        <f>AND(#REF!,"AAAAAH5//9w=")</f>
        <v>#REF!</v>
      </c>
      <c r="HN45" t="e">
        <f>AND(#REF!,"AAAAAH5//90=")</f>
        <v>#REF!</v>
      </c>
      <c r="HO45" t="e">
        <f>AND(#REF!,"AAAAAH5//94=")</f>
        <v>#REF!</v>
      </c>
      <c r="HP45" t="e">
        <f>AND(#REF!,"AAAAAH5//98=")</f>
        <v>#REF!</v>
      </c>
      <c r="HQ45" t="e">
        <f>AND(#REF!,"AAAAAH5//+A=")</f>
        <v>#REF!</v>
      </c>
      <c r="HR45" t="e">
        <f>AND(#REF!,"AAAAAH5//+E=")</f>
        <v>#REF!</v>
      </c>
      <c r="HS45" t="e">
        <f>AND(#REF!,"AAAAAH5//+I=")</f>
        <v>#REF!</v>
      </c>
      <c r="HT45" t="e">
        <f>AND(#REF!,"AAAAAH5//+M=")</f>
        <v>#REF!</v>
      </c>
      <c r="HU45" t="e">
        <f>AND(#REF!,"AAAAAH5//+Q=")</f>
        <v>#REF!</v>
      </c>
      <c r="HV45" t="e">
        <f>AND(#REF!,"AAAAAH5//+U=")</f>
        <v>#REF!</v>
      </c>
      <c r="HW45" t="e">
        <f>AND(#REF!,"AAAAAH5//+Y=")</f>
        <v>#REF!</v>
      </c>
      <c r="HX45" t="e">
        <f>AND(#REF!,"AAAAAH5//+c=")</f>
        <v>#REF!</v>
      </c>
      <c r="HY45" t="e">
        <f>AND(#REF!,"AAAAAH5//+g=")</f>
        <v>#REF!</v>
      </c>
      <c r="HZ45" t="e">
        <f>AND(#REF!,"AAAAAH5//+k=")</f>
        <v>#REF!</v>
      </c>
      <c r="IA45" t="e">
        <f>AND(#REF!,"AAAAAH5//+o=")</f>
        <v>#REF!</v>
      </c>
      <c r="IB45" t="e">
        <f>AND(#REF!,"AAAAAH5//+s=")</f>
        <v>#REF!</v>
      </c>
      <c r="IC45" t="e">
        <f>AND(#REF!,"AAAAAH5//+w=")</f>
        <v>#REF!</v>
      </c>
      <c r="ID45" t="e">
        <f>AND(#REF!,"AAAAAH5//+0=")</f>
        <v>#REF!</v>
      </c>
      <c r="IE45" t="e">
        <f>AND(#REF!,"AAAAAH5//+4=")</f>
        <v>#REF!</v>
      </c>
      <c r="IF45" t="e">
        <f>AND(#REF!,"AAAAAH5//+8=")</f>
        <v>#REF!</v>
      </c>
      <c r="IG45" t="e">
        <f>AND(#REF!,"AAAAAH5///A=")</f>
        <v>#REF!</v>
      </c>
      <c r="IH45" t="e">
        <f>AND(#REF!,"AAAAAH5///E=")</f>
        <v>#REF!</v>
      </c>
      <c r="II45" t="e">
        <f>AND(#REF!,"AAAAAH5///I=")</f>
        <v>#REF!</v>
      </c>
      <c r="IJ45" t="e">
        <f>AND(#REF!,"AAAAAH5///M=")</f>
        <v>#REF!</v>
      </c>
      <c r="IK45" t="e">
        <f>AND(#REF!,"AAAAAH5///Q=")</f>
        <v>#REF!</v>
      </c>
      <c r="IL45" t="e">
        <f>AND(#REF!,"AAAAAH5///U=")</f>
        <v>#REF!</v>
      </c>
      <c r="IM45" t="e">
        <f>AND(#REF!,"AAAAAH5///Y=")</f>
        <v>#REF!</v>
      </c>
      <c r="IN45" t="e">
        <f>AND(#REF!,"AAAAAH5///c=")</f>
        <v>#REF!</v>
      </c>
      <c r="IO45" t="e">
        <f>AND(#REF!,"AAAAAH5///g=")</f>
        <v>#REF!</v>
      </c>
      <c r="IP45" t="e">
        <f>AND(#REF!,"AAAAAH5///k=")</f>
        <v>#REF!</v>
      </c>
      <c r="IQ45" t="e">
        <f>AND(#REF!,"AAAAAH5///o=")</f>
        <v>#REF!</v>
      </c>
      <c r="IR45" t="e">
        <f>AND(#REF!,"AAAAAH5///s=")</f>
        <v>#REF!</v>
      </c>
      <c r="IS45" t="e">
        <f>AND(#REF!,"AAAAAH5///w=")</f>
        <v>#REF!</v>
      </c>
      <c r="IT45" t="e">
        <f>AND(#REF!,"AAAAAH5///0=")</f>
        <v>#REF!</v>
      </c>
      <c r="IU45" t="e">
        <f>AND(#REF!,"AAAAAH5///4=")</f>
        <v>#REF!</v>
      </c>
      <c r="IV45" t="e">
        <f>AND(#REF!,"AAAAAH5///8=")</f>
        <v>#REF!</v>
      </c>
    </row>
    <row r="46" spans="1:256">
      <c r="A46" t="e">
        <f>AND(#REF!,"AAAAAH/K+AA=")</f>
        <v>#REF!</v>
      </c>
      <c r="B46" t="e">
        <f>AND(#REF!,"AAAAAH/K+AE=")</f>
        <v>#REF!</v>
      </c>
      <c r="C46" t="e">
        <f>AND(#REF!,"AAAAAH/K+AI=")</f>
        <v>#REF!</v>
      </c>
      <c r="D46" t="e">
        <f>AND(#REF!,"AAAAAH/K+AM=")</f>
        <v>#REF!</v>
      </c>
      <c r="E46" t="e">
        <f>AND(#REF!,"AAAAAH/K+AQ=")</f>
        <v>#REF!</v>
      </c>
      <c r="F46" t="e">
        <f>AND(#REF!,"AAAAAH/K+AU=")</f>
        <v>#REF!</v>
      </c>
      <c r="G46" t="e">
        <f>AND(#REF!,"AAAAAH/K+AY=")</f>
        <v>#REF!</v>
      </c>
      <c r="H46" t="e">
        <f>AND(#REF!,"AAAAAH/K+Ac=")</f>
        <v>#REF!</v>
      </c>
      <c r="I46" t="e">
        <f>AND(#REF!,"AAAAAH/K+Ag=")</f>
        <v>#REF!</v>
      </c>
      <c r="J46" t="e">
        <f>AND(#REF!,"AAAAAH/K+Ak=")</f>
        <v>#REF!</v>
      </c>
      <c r="K46" t="e">
        <f>AND(#REF!,"AAAAAH/K+Ao=")</f>
        <v>#REF!</v>
      </c>
      <c r="L46" t="e">
        <f>AND(#REF!,"AAAAAH/K+As=")</f>
        <v>#REF!</v>
      </c>
      <c r="M46" t="e">
        <f>AND(#REF!,"AAAAAH/K+Aw=")</f>
        <v>#REF!</v>
      </c>
      <c r="N46" t="e">
        <f>AND(#REF!,"AAAAAH/K+A0=")</f>
        <v>#REF!</v>
      </c>
      <c r="O46" t="e">
        <f>AND(#REF!,"AAAAAH/K+A4=")</f>
        <v>#REF!</v>
      </c>
      <c r="P46" t="e">
        <f>AND(#REF!,"AAAAAH/K+A8=")</f>
        <v>#REF!</v>
      </c>
      <c r="Q46" t="e">
        <f>AND(#REF!,"AAAAAH/K+BA=")</f>
        <v>#REF!</v>
      </c>
      <c r="R46" t="e">
        <f>AND(#REF!,"AAAAAH/K+BE=")</f>
        <v>#REF!</v>
      </c>
      <c r="S46" t="e">
        <f>AND(#REF!,"AAAAAH/K+BI=")</f>
        <v>#REF!</v>
      </c>
      <c r="T46" t="e">
        <f>AND(#REF!,"AAAAAH/K+BM=")</f>
        <v>#REF!</v>
      </c>
      <c r="U46" t="e">
        <f>AND(#REF!,"AAAAAH/K+BQ=")</f>
        <v>#REF!</v>
      </c>
      <c r="V46" t="e">
        <f>AND(#REF!,"AAAAAH/K+BU=")</f>
        <v>#REF!</v>
      </c>
      <c r="W46" t="e">
        <f>AND(#REF!,"AAAAAH/K+BY=")</f>
        <v>#REF!</v>
      </c>
      <c r="X46" t="e">
        <f>AND(#REF!,"AAAAAH/K+Bc=")</f>
        <v>#REF!</v>
      </c>
      <c r="Y46" t="e">
        <f>AND(#REF!,"AAAAAH/K+Bg=")</f>
        <v>#REF!</v>
      </c>
      <c r="Z46" t="e">
        <f>AND(#REF!,"AAAAAH/K+Bk=")</f>
        <v>#REF!</v>
      </c>
      <c r="AA46" t="e">
        <f>AND(#REF!,"AAAAAH/K+Bo=")</f>
        <v>#REF!</v>
      </c>
      <c r="AB46" t="e">
        <f>AND(#REF!,"AAAAAH/K+Bs=")</f>
        <v>#REF!</v>
      </c>
      <c r="AC46" t="e">
        <f>AND(#REF!,"AAAAAH/K+Bw=")</f>
        <v>#REF!</v>
      </c>
      <c r="AD46" t="e">
        <f>AND(#REF!,"AAAAAH/K+B0=")</f>
        <v>#REF!</v>
      </c>
      <c r="AE46" t="e">
        <f>AND(#REF!,"AAAAAH/K+B4=")</f>
        <v>#REF!</v>
      </c>
      <c r="AF46" t="e">
        <f>AND(#REF!,"AAAAAH/K+B8=")</f>
        <v>#REF!</v>
      </c>
      <c r="AG46" t="e">
        <f>AND(#REF!,"AAAAAH/K+CA=")</f>
        <v>#REF!</v>
      </c>
      <c r="AH46" t="e">
        <f>AND(#REF!,"AAAAAH/K+CE=")</f>
        <v>#REF!</v>
      </c>
      <c r="AI46" t="e">
        <f>AND(#REF!,"AAAAAH/K+CI=")</f>
        <v>#REF!</v>
      </c>
      <c r="AJ46" t="e">
        <f>AND(#REF!,"AAAAAH/K+CM=")</f>
        <v>#REF!</v>
      </c>
      <c r="AK46" t="e">
        <f>AND(#REF!,"AAAAAH/K+CQ=")</f>
        <v>#REF!</v>
      </c>
      <c r="AL46" t="e">
        <f>AND(#REF!,"AAAAAH/K+CU=")</f>
        <v>#REF!</v>
      </c>
      <c r="AM46" t="e">
        <f>AND(#REF!,"AAAAAH/K+CY=")</f>
        <v>#REF!</v>
      </c>
      <c r="AN46" t="e">
        <f>AND(#REF!,"AAAAAH/K+Cc=")</f>
        <v>#REF!</v>
      </c>
      <c r="AO46" t="e">
        <f>AND(#REF!,"AAAAAH/K+Cg=")</f>
        <v>#REF!</v>
      </c>
      <c r="AP46" t="e">
        <f>AND(#REF!,"AAAAAH/K+Ck=")</f>
        <v>#REF!</v>
      </c>
      <c r="AQ46" t="e">
        <f>AND(#REF!,"AAAAAH/K+Co=")</f>
        <v>#REF!</v>
      </c>
      <c r="AR46" t="e">
        <f>AND(#REF!,"AAAAAH/K+Cs=")</f>
        <v>#REF!</v>
      </c>
      <c r="AS46" t="e">
        <f>AND(#REF!,"AAAAAH/K+Cw=")</f>
        <v>#REF!</v>
      </c>
      <c r="AT46" t="e">
        <f>AND(#REF!,"AAAAAH/K+C0=")</f>
        <v>#REF!</v>
      </c>
      <c r="AU46" t="e">
        <f>AND(#REF!,"AAAAAH/K+C4=")</f>
        <v>#REF!</v>
      </c>
      <c r="AV46" t="e">
        <f>AND(#REF!,"AAAAAH/K+C8=")</f>
        <v>#REF!</v>
      </c>
      <c r="AW46" t="e">
        <f>AND(#REF!,"AAAAAH/K+DA=")</f>
        <v>#REF!</v>
      </c>
      <c r="AX46" t="e">
        <f>AND(#REF!,"AAAAAH/K+DE=")</f>
        <v>#REF!</v>
      </c>
      <c r="AY46" t="e">
        <f>AND(#REF!,"AAAAAH/K+DI=")</f>
        <v>#REF!</v>
      </c>
      <c r="AZ46" t="e">
        <f>AND(#REF!,"AAAAAH/K+DM=")</f>
        <v>#REF!</v>
      </c>
      <c r="BA46" t="e">
        <f>AND(#REF!,"AAAAAH/K+DQ=")</f>
        <v>#REF!</v>
      </c>
      <c r="BB46" t="e">
        <f>AND(#REF!,"AAAAAH/K+DU=")</f>
        <v>#REF!</v>
      </c>
      <c r="BC46" t="e">
        <f>AND(#REF!,"AAAAAH/K+DY=")</f>
        <v>#REF!</v>
      </c>
      <c r="BD46" t="e">
        <f>AND(#REF!,"AAAAAH/K+Dc=")</f>
        <v>#REF!</v>
      </c>
      <c r="BE46" t="e">
        <f>AND(#REF!,"AAAAAH/K+Dg=")</f>
        <v>#REF!</v>
      </c>
      <c r="BF46" t="e">
        <f>AND(#REF!,"AAAAAH/K+Dk=")</f>
        <v>#REF!</v>
      </c>
      <c r="BG46" t="e">
        <f>AND(#REF!,"AAAAAH/K+Do=")</f>
        <v>#REF!</v>
      </c>
      <c r="BH46" t="e">
        <f>AND(#REF!,"AAAAAH/K+Ds=")</f>
        <v>#REF!</v>
      </c>
      <c r="BI46" t="e">
        <f>AND(#REF!,"AAAAAH/K+Dw=")</f>
        <v>#REF!</v>
      </c>
      <c r="BJ46" t="e">
        <f>AND(#REF!,"AAAAAH/K+D0=")</f>
        <v>#REF!</v>
      </c>
      <c r="BK46" t="e">
        <f>AND(#REF!,"AAAAAH/K+D4=")</f>
        <v>#REF!</v>
      </c>
      <c r="BL46" t="e">
        <f>AND(#REF!,"AAAAAH/K+D8=")</f>
        <v>#REF!</v>
      </c>
      <c r="BM46" t="e">
        <f>AND(#REF!,"AAAAAH/K+EA=")</f>
        <v>#REF!</v>
      </c>
      <c r="BN46" t="e">
        <f>AND(#REF!,"AAAAAH/K+EE=")</f>
        <v>#REF!</v>
      </c>
      <c r="BO46" t="e">
        <f>AND(#REF!,"AAAAAH/K+EI=")</f>
        <v>#REF!</v>
      </c>
      <c r="BP46" t="e">
        <f>AND(#REF!,"AAAAAH/K+EM=")</f>
        <v>#REF!</v>
      </c>
      <c r="BQ46" t="e">
        <f>AND(#REF!,"AAAAAH/K+EQ=")</f>
        <v>#REF!</v>
      </c>
      <c r="BR46" t="e">
        <f>AND(#REF!,"AAAAAH/K+EU=")</f>
        <v>#REF!</v>
      </c>
      <c r="BS46" t="e">
        <f>AND(#REF!,"AAAAAH/K+EY=")</f>
        <v>#REF!</v>
      </c>
      <c r="BT46" t="e">
        <f>AND(#REF!,"AAAAAH/K+Ec=")</f>
        <v>#REF!</v>
      </c>
      <c r="BU46" t="e">
        <f>AND(#REF!,"AAAAAH/K+Eg=")</f>
        <v>#REF!</v>
      </c>
      <c r="BV46" t="e">
        <f>AND(#REF!,"AAAAAH/K+Ek=")</f>
        <v>#REF!</v>
      </c>
      <c r="BW46" t="e">
        <f>AND(#REF!,"AAAAAH/K+Eo=")</f>
        <v>#REF!</v>
      </c>
      <c r="BX46" t="e">
        <f>AND(#REF!,"AAAAAH/K+Es=")</f>
        <v>#REF!</v>
      </c>
      <c r="BY46" t="e">
        <f>AND(#REF!,"AAAAAH/K+Ew=")</f>
        <v>#REF!</v>
      </c>
      <c r="BZ46" t="e">
        <f>AND(#REF!,"AAAAAH/K+E0=")</f>
        <v>#REF!</v>
      </c>
      <c r="CA46" t="e">
        <f>AND(#REF!,"AAAAAH/K+E4=")</f>
        <v>#REF!</v>
      </c>
      <c r="CB46" t="e">
        <f>AND(#REF!,"AAAAAH/K+E8=")</f>
        <v>#REF!</v>
      </c>
      <c r="CC46" t="e">
        <f>AND(#REF!,"AAAAAH/K+FA=")</f>
        <v>#REF!</v>
      </c>
      <c r="CD46" t="e">
        <f>AND(#REF!,"AAAAAH/K+FE=")</f>
        <v>#REF!</v>
      </c>
      <c r="CE46" t="e">
        <f>AND(#REF!,"AAAAAH/K+FI=")</f>
        <v>#REF!</v>
      </c>
      <c r="CF46" t="e">
        <f>AND(#REF!,"AAAAAH/K+FM=")</f>
        <v>#REF!</v>
      </c>
      <c r="CG46" t="e">
        <f>AND(#REF!,"AAAAAH/K+FQ=")</f>
        <v>#REF!</v>
      </c>
      <c r="CH46" t="e">
        <f>AND(#REF!,"AAAAAH/K+FU=")</f>
        <v>#REF!</v>
      </c>
      <c r="CI46" t="e">
        <f>AND(#REF!,"AAAAAH/K+FY=")</f>
        <v>#REF!</v>
      </c>
      <c r="CJ46" t="e">
        <f>AND(#REF!,"AAAAAH/K+Fc=")</f>
        <v>#REF!</v>
      </c>
      <c r="CK46" t="e">
        <f>AND(#REF!,"AAAAAH/K+Fg=")</f>
        <v>#REF!</v>
      </c>
      <c r="CL46" t="e">
        <f>AND(#REF!,"AAAAAH/K+Fk=")</f>
        <v>#REF!</v>
      </c>
      <c r="CM46" t="e">
        <f>AND(#REF!,"AAAAAH/K+Fo=")</f>
        <v>#REF!</v>
      </c>
      <c r="CN46" t="e">
        <f>AND(#REF!,"AAAAAH/K+Fs=")</f>
        <v>#REF!</v>
      </c>
      <c r="CO46" t="e">
        <f>AND(#REF!,"AAAAAH/K+Fw=")</f>
        <v>#REF!</v>
      </c>
      <c r="CP46" t="e">
        <f>AND(#REF!,"AAAAAH/K+F0=")</f>
        <v>#REF!</v>
      </c>
      <c r="CQ46" t="e">
        <f>AND(#REF!,"AAAAAH/K+F4=")</f>
        <v>#REF!</v>
      </c>
      <c r="CR46" t="e">
        <f>AND(#REF!,"AAAAAH/K+F8=")</f>
        <v>#REF!</v>
      </c>
      <c r="CS46" t="e">
        <f>AND(#REF!,"AAAAAH/K+GA=")</f>
        <v>#REF!</v>
      </c>
      <c r="CT46" t="e">
        <f>AND(#REF!,"AAAAAH/K+GE=")</f>
        <v>#REF!</v>
      </c>
      <c r="CU46" t="e">
        <f>AND(#REF!,"AAAAAH/K+GI=")</f>
        <v>#REF!</v>
      </c>
      <c r="CV46" t="e">
        <f>AND(#REF!,"AAAAAH/K+GM=")</f>
        <v>#REF!</v>
      </c>
      <c r="CW46" t="e">
        <f>AND(#REF!,"AAAAAH/K+GQ=")</f>
        <v>#REF!</v>
      </c>
      <c r="CX46" t="e">
        <f>AND(#REF!,"AAAAAH/K+GU=")</f>
        <v>#REF!</v>
      </c>
      <c r="CY46" t="e">
        <f>AND(#REF!,"AAAAAH/K+GY=")</f>
        <v>#REF!</v>
      </c>
      <c r="CZ46" t="e">
        <f>AND(#REF!,"AAAAAH/K+Gc=")</f>
        <v>#REF!</v>
      </c>
      <c r="DA46" t="e">
        <f>AND(#REF!,"AAAAAH/K+Gg=")</f>
        <v>#REF!</v>
      </c>
      <c r="DB46" t="e">
        <f>AND(#REF!,"AAAAAH/K+Gk=")</f>
        <v>#REF!</v>
      </c>
      <c r="DC46" t="e">
        <f>AND(#REF!,"AAAAAH/K+Go=")</f>
        <v>#REF!</v>
      </c>
      <c r="DD46" t="e">
        <f>AND(#REF!,"AAAAAH/K+Gs=")</f>
        <v>#REF!</v>
      </c>
      <c r="DE46" t="e">
        <f>AND(#REF!,"AAAAAH/K+Gw=")</f>
        <v>#REF!</v>
      </c>
      <c r="DF46" t="e">
        <f>AND(#REF!,"AAAAAH/K+G0=")</f>
        <v>#REF!</v>
      </c>
      <c r="DG46" t="e">
        <f>AND(#REF!,"AAAAAH/K+G4=")</f>
        <v>#REF!</v>
      </c>
      <c r="DH46" t="e">
        <f>AND(#REF!,"AAAAAH/K+G8=")</f>
        <v>#REF!</v>
      </c>
      <c r="DI46" t="e">
        <f>AND(#REF!,"AAAAAH/K+HA=")</f>
        <v>#REF!</v>
      </c>
      <c r="DJ46" t="e">
        <f>AND(#REF!,"AAAAAH/K+HE=")</f>
        <v>#REF!</v>
      </c>
      <c r="DK46" t="e">
        <f>AND(#REF!,"AAAAAH/K+HI=")</f>
        <v>#REF!</v>
      </c>
      <c r="DL46" t="e">
        <f>AND(#REF!,"AAAAAH/K+HM=")</f>
        <v>#REF!</v>
      </c>
      <c r="DM46" t="e">
        <f>AND(#REF!,"AAAAAH/K+HQ=")</f>
        <v>#REF!</v>
      </c>
      <c r="DN46" t="e">
        <f>AND(#REF!,"AAAAAH/K+HU=")</f>
        <v>#REF!</v>
      </c>
      <c r="DO46" t="e">
        <f>AND(#REF!,"AAAAAH/K+HY=")</f>
        <v>#REF!</v>
      </c>
      <c r="DP46" t="e">
        <f>AND(#REF!,"AAAAAH/K+Hc=")</f>
        <v>#REF!</v>
      </c>
      <c r="DQ46" t="e">
        <f>AND(#REF!,"AAAAAH/K+Hg=")</f>
        <v>#REF!</v>
      </c>
      <c r="DR46" t="e">
        <f>AND(#REF!,"AAAAAH/K+Hk=")</f>
        <v>#REF!</v>
      </c>
      <c r="DS46" t="e">
        <f>AND(#REF!,"AAAAAH/K+Ho=")</f>
        <v>#REF!</v>
      </c>
      <c r="DT46" t="e">
        <f>AND(#REF!,"AAAAAH/K+Hs=")</f>
        <v>#REF!</v>
      </c>
      <c r="DU46" t="e">
        <f>AND(#REF!,"AAAAAH/K+Hw=")</f>
        <v>#REF!</v>
      </c>
      <c r="DV46" t="e">
        <f>AND(#REF!,"AAAAAH/K+H0=")</f>
        <v>#REF!</v>
      </c>
      <c r="DW46" t="e">
        <f>AND(#REF!,"AAAAAH/K+H4=")</f>
        <v>#REF!</v>
      </c>
      <c r="DX46" t="e">
        <f>AND(#REF!,"AAAAAH/K+H8=")</f>
        <v>#REF!</v>
      </c>
      <c r="DY46" t="e">
        <f>AND(#REF!,"AAAAAH/K+IA=")</f>
        <v>#REF!</v>
      </c>
      <c r="DZ46" t="e">
        <f>AND(#REF!,"AAAAAH/K+IE=")</f>
        <v>#REF!</v>
      </c>
      <c r="EA46" t="e">
        <f>AND(#REF!,"AAAAAH/K+II=")</f>
        <v>#REF!</v>
      </c>
      <c r="EB46" t="e">
        <f>AND(#REF!,"AAAAAH/K+IM=")</f>
        <v>#REF!</v>
      </c>
      <c r="EC46" t="e">
        <f>AND(#REF!,"AAAAAH/K+IQ=")</f>
        <v>#REF!</v>
      </c>
      <c r="ED46" t="e">
        <f>AND(#REF!,"AAAAAH/K+IU=")</f>
        <v>#REF!</v>
      </c>
      <c r="EE46" t="e">
        <f>AND(#REF!,"AAAAAH/K+IY=")</f>
        <v>#REF!</v>
      </c>
      <c r="EF46" t="e">
        <f>AND(#REF!,"AAAAAH/K+Ic=")</f>
        <v>#REF!</v>
      </c>
      <c r="EG46" t="e">
        <f>AND(#REF!,"AAAAAH/K+Ig=")</f>
        <v>#REF!</v>
      </c>
      <c r="EH46" t="e">
        <f>AND(#REF!,"AAAAAH/K+Ik=")</f>
        <v>#REF!</v>
      </c>
      <c r="EI46" t="e">
        <f>AND(#REF!,"AAAAAH/K+Io=")</f>
        <v>#REF!</v>
      </c>
      <c r="EJ46" t="e">
        <f>AND(#REF!,"AAAAAH/K+Is=")</f>
        <v>#REF!</v>
      </c>
      <c r="EK46" t="e">
        <f>AND(#REF!,"AAAAAH/K+Iw=")</f>
        <v>#REF!</v>
      </c>
      <c r="EL46" t="e">
        <f>AND(#REF!,"AAAAAH/K+I0=")</f>
        <v>#REF!</v>
      </c>
      <c r="EM46" t="e">
        <f>AND(#REF!,"AAAAAH/K+I4=")</f>
        <v>#REF!</v>
      </c>
      <c r="EN46" t="e">
        <f>AND(#REF!,"AAAAAH/K+I8=")</f>
        <v>#REF!</v>
      </c>
      <c r="EO46" t="e">
        <f>AND(#REF!,"AAAAAH/K+JA=")</f>
        <v>#REF!</v>
      </c>
      <c r="EP46" t="e">
        <f>AND(#REF!,"AAAAAH/K+JE=")</f>
        <v>#REF!</v>
      </c>
      <c r="EQ46" t="e">
        <f>AND(#REF!,"AAAAAH/K+JI=")</f>
        <v>#REF!</v>
      </c>
      <c r="ER46" t="e">
        <f>AND(#REF!,"AAAAAH/K+JM=")</f>
        <v>#REF!</v>
      </c>
      <c r="ES46" t="e">
        <f>AND(#REF!,"AAAAAH/K+JQ=")</f>
        <v>#REF!</v>
      </c>
      <c r="ET46" t="e">
        <f>AND(#REF!,"AAAAAH/K+JU=")</f>
        <v>#REF!</v>
      </c>
      <c r="EU46" t="e">
        <f>AND(#REF!,"AAAAAH/K+JY=")</f>
        <v>#REF!</v>
      </c>
      <c r="EV46" t="e">
        <f>AND(#REF!,"AAAAAH/K+Jc=")</f>
        <v>#REF!</v>
      </c>
      <c r="EW46" t="e">
        <f>AND(#REF!,"AAAAAH/K+Jg=")</f>
        <v>#REF!</v>
      </c>
      <c r="EX46" t="e">
        <f>AND(#REF!,"AAAAAH/K+Jk=")</f>
        <v>#REF!</v>
      </c>
      <c r="EY46" t="e">
        <f>AND(#REF!,"AAAAAH/K+Jo=")</f>
        <v>#REF!</v>
      </c>
      <c r="EZ46" t="e">
        <f>AND(#REF!,"AAAAAH/K+Js=")</f>
        <v>#REF!</v>
      </c>
      <c r="FA46" t="e">
        <f>AND(#REF!,"AAAAAH/K+Jw=")</f>
        <v>#REF!</v>
      </c>
      <c r="FB46" t="e">
        <f>AND(#REF!,"AAAAAH/K+J0=")</f>
        <v>#REF!</v>
      </c>
      <c r="FC46" t="e">
        <f>AND(#REF!,"AAAAAH/K+J4=")</f>
        <v>#REF!</v>
      </c>
      <c r="FD46" t="e">
        <f>AND(#REF!,"AAAAAH/K+J8=")</f>
        <v>#REF!</v>
      </c>
      <c r="FE46" t="e">
        <f>AND(#REF!,"AAAAAH/K+KA=")</f>
        <v>#REF!</v>
      </c>
      <c r="FF46" t="e">
        <f>AND(#REF!,"AAAAAH/K+KE=")</f>
        <v>#REF!</v>
      </c>
      <c r="FG46" t="e">
        <f>AND(#REF!,"AAAAAH/K+KI=")</f>
        <v>#REF!</v>
      </c>
      <c r="FH46" t="e">
        <f>AND(#REF!,"AAAAAH/K+KM=")</f>
        <v>#REF!</v>
      </c>
      <c r="FI46" t="e">
        <f>AND(#REF!,"AAAAAH/K+KQ=")</f>
        <v>#REF!</v>
      </c>
      <c r="FJ46" t="e">
        <f>AND(#REF!,"AAAAAH/K+KU=")</f>
        <v>#REF!</v>
      </c>
      <c r="FK46" t="e">
        <f>AND(#REF!,"AAAAAH/K+KY=")</f>
        <v>#REF!</v>
      </c>
      <c r="FL46" t="e">
        <f>AND(#REF!,"AAAAAH/K+Kc=")</f>
        <v>#REF!</v>
      </c>
      <c r="FM46" t="e">
        <f>AND(#REF!,"AAAAAH/K+Kg=")</f>
        <v>#REF!</v>
      </c>
      <c r="FN46" t="e">
        <f>AND(#REF!,"AAAAAH/K+Kk=")</f>
        <v>#REF!</v>
      </c>
      <c r="FO46" t="e">
        <f>AND(#REF!,"AAAAAH/K+Ko=")</f>
        <v>#REF!</v>
      </c>
      <c r="FP46" t="e">
        <f>AND(#REF!,"AAAAAH/K+Ks=")</f>
        <v>#REF!</v>
      </c>
      <c r="FQ46" t="e">
        <f>AND(#REF!,"AAAAAH/K+Kw=")</f>
        <v>#REF!</v>
      </c>
      <c r="FR46" t="e">
        <f>AND(#REF!,"AAAAAH/K+K0=")</f>
        <v>#REF!</v>
      </c>
      <c r="FS46" t="e">
        <f>AND(#REF!,"AAAAAH/K+K4=")</f>
        <v>#REF!</v>
      </c>
      <c r="FT46" t="e">
        <f>AND(#REF!,"AAAAAH/K+K8=")</f>
        <v>#REF!</v>
      </c>
      <c r="FU46" t="e">
        <f>AND(#REF!,"AAAAAH/K+LA=")</f>
        <v>#REF!</v>
      </c>
      <c r="FV46" t="e">
        <f>AND(#REF!,"AAAAAH/K+LE=")</f>
        <v>#REF!</v>
      </c>
      <c r="FW46" t="e">
        <f>AND(#REF!,"AAAAAH/K+LI=")</f>
        <v>#REF!</v>
      </c>
      <c r="FX46" t="e">
        <f>AND(#REF!,"AAAAAH/K+LM=")</f>
        <v>#REF!</v>
      </c>
      <c r="FY46" t="e">
        <f>AND(#REF!,"AAAAAH/K+LQ=")</f>
        <v>#REF!</v>
      </c>
      <c r="FZ46" t="e">
        <f>AND(#REF!,"AAAAAH/K+LU=")</f>
        <v>#REF!</v>
      </c>
      <c r="GA46" t="e">
        <f>AND(#REF!,"AAAAAH/K+LY=")</f>
        <v>#REF!</v>
      </c>
      <c r="GB46" t="e">
        <f>AND(#REF!,"AAAAAH/K+Lc=")</f>
        <v>#REF!</v>
      </c>
      <c r="GC46" t="e">
        <f>AND(#REF!,"AAAAAH/K+Lg=")</f>
        <v>#REF!</v>
      </c>
      <c r="GD46" t="e">
        <f>AND(#REF!,"AAAAAH/K+Lk=")</f>
        <v>#REF!</v>
      </c>
      <c r="GE46" t="e">
        <f>AND(#REF!,"AAAAAH/K+Lo=")</f>
        <v>#REF!</v>
      </c>
      <c r="GF46" t="e">
        <f>AND(#REF!,"AAAAAH/K+Ls=")</f>
        <v>#REF!</v>
      </c>
      <c r="GG46" t="e">
        <f>AND(#REF!,"AAAAAH/K+Lw=")</f>
        <v>#REF!</v>
      </c>
      <c r="GH46" t="e">
        <f>AND(#REF!,"AAAAAH/K+L0=")</f>
        <v>#REF!</v>
      </c>
      <c r="GI46" t="e">
        <f>AND(#REF!,"AAAAAH/K+L4=")</f>
        <v>#REF!</v>
      </c>
      <c r="GJ46" t="e">
        <f>AND(#REF!,"AAAAAH/K+L8=")</f>
        <v>#REF!</v>
      </c>
      <c r="GK46" t="e">
        <f>AND(#REF!,"AAAAAH/K+MA=")</f>
        <v>#REF!</v>
      </c>
      <c r="GL46" t="e">
        <f>AND(#REF!,"AAAAAH/K+ME=")</f>
        <v>#REF!</v>
      </c>
      <c r="GM46" t="e">
        <f>AND(#REF!,"AAAAAH/K+MI=")</f>
        <v>#REF!</v>
      </c>
      <c r="GN46" t="e">
        <f>AND(#REF!,"AAAAAH/K+MM=")</f>
        <v>#REF!</v>
      </c>
      <c r="GO46" t="e">
        <f>AND(#REF!,"AAAAAH/K+MQ=")</f>
        <v>#REF!</v>
      </c>
      <c r="GP46" t="e">
        <f>AND(#REF!,"AAAAAH/K+MU=")</f>
        <v>#REF!</v>
      </c>
      <c r="GQ46" t="e">
        <f>AND(#REF!,"AAAAAH/K+MY=")</f>
        <v>#REF!</v>
      </c>
      <c r="GR46" t="e">
        <f>AND(#REF!,"AAAAAH/K+Mc=")</f>
        <v>#REF!</v>
      </c>
      <c r="GS46" t="e">
        <f>AND(#REF!,"AAAAAH/K+Mg=")</f>
        <v>#REF!</v>
      </c>
      <c r="GT46" t="e">
        <f>AND(#REF!,"AAAAAH/K+Mk=")</f>
        <v>#REF!</v>
      </c>
      <c r="GU46" t="e">
        <f>AND(#REF!,"AAAAAH/K+Mo=")</f>
        <v>#REF!</v>
      </c>
      <c r="GV46" t="e">
        <f>AND(#REF!,"AAAAAH/K+Ms=")</f>
        <v>#REF!</v>
      </c>
      <c r="GW46" t="e">
        <f>AND(#REF!,"AAAAAH/K+Mw=")</f>
        <v>#REF!</v>
      </c>
      <c r="GX46" t="e">
        <f>AND(#REF!,"AAAAAH/K+M0=")</f>
        <v>#REF!</v>
      </c>
      <c r="GY46" t="e">
        <f>AND(#REF!,"AAAAAH/K+M4=")</f>
        <v>#REF!</v>
      </c>
      <c r="GZ46" t="e">
        <f>AND(#REF!,"AAAAAH/K+M8=")</f>
        <v>#REF!</v>
      </c>
      <c r="HA46" t="e">
        <f>AND(#REF!,"AAAAAH/K+NA=")</f>
        <v>#REF!</v>
      </c>
      <c r="HB46" t="e">
        <f>AND(#REF!,"AAAAAH/K+NE=")</f>
        <v>#REF!</v>
      </c>
      <c r="HC46" t="e">
        <f>AND(#REF!,"AAAAAH/K+NI=")</f>
        <v>#REF!</v>
      </c>
      <c r="HD46" t="e">
        <f>AND(#REF!,"AAAAAH/K+NM=")</f>
        <v>#REF!</v>
      </c>
      <c r="HE46" t="e">
        <f>AND(#REF!,"AAAAAH/K+NQ=")</f>
        <v>#REF!</v>
      </c>
      <c r="HF46" t="e">
        <f>AND(#REF!,"AAAAAH/K+NU=")</f>
        <v>#REF!</v>
      </c>
      <c r="HG46" t="e">
        <f>AND(#REF!,"AAAAAH/K+NY=")</f>
        <v>#REF!</v>
      </c>
      <c r="HH46" t="e">
        <f>AND(#REF!,"AAAAAH/K+Nc=")</f>
        <v>#REF!</v>
      </c>
      <c r="HI46" t="e">
        <f>AND(#REF!,"AAAAAH/K+Ng=")</f>
        <v>#REF!</v>
      </c>
      <c r="HJ46" t="e">
        <f>AND(#REF!,"AAAAAH/K+Nk=")</f>
        <v>#REF!</v>
      </c>
      <c r="HK46" t="e">
        <f>AND(#REF!,"AAAAAH/K+No=")</f>
        <v>#REF!</v>
      </c>
      <c r="HL46" t="e">
        <f>AND(#REF!,"AAAAAH/K+Ns=")</f>
        <v>#REF!</v>
      </c>
      <c r="HM46" t="e">
        <f>AND(#REF!,"AAAAAH/K+Nw=")</f>
        <v>#REF!</v>
      </c>
      <c r="HN46" t="e">
        <f>AND(#REF!,"AAAAAH/K+N0=")</f>
        <v>#REF!</v>
      </c>
      <c r="HO46" t="e">
        <f>AND(#REF!,"AAAAAH/K+N4=")</f>
        <v>#REF!</v>
      </c>
      <c r="HP46" t="e">
        <f>AND(#REF!,"AAAAAH/K+N8=")</f>
        <v>#REF!</v>
      </c>
      <c r="HQ46" t="e">
        <f>AND(#REF!,"AAAAAH/K+OA=")</f>
        <v>#REF!</v>
      </c>
      <c r="HR46" t="e">
        <f>AND(#REF!,"AAAAAH/K+OE=")</f>
        <v>#REF!</v>
      </c>
      <c r="HS46" t="e">
        <f>AND(#REF!,"AAAAAH/K+OI=")</f>
        <v>#REF!</v>
      </c>
      <c r="HT46" t="e">
        <f>AND(#REF!,"AAAAAH/K+OM=")</f>
        <v>#REF!</v>
      </c>
      <c r="HU46" t="e">
        <f>AND(#REF!,"AAAAAH/K+OQ=")</f>
        <v>#REF!</v>
      </c>
      <c r="HV46" t="e">
        <f>AND(#REF!,"AAAAAH/K+OU=")</f>
        <v>#REF!</v>
      </c>
      <c r="HW46" t="e">
        <f>AND(#REF!,"AAAAAH/K+OY=")</f>
        <v>#REF!</v>
      </c>
      <c r="HX46" t="e">
        <f>AND(#REF!,"AAAAAH/K+Oc=")</f>
        <v>#REF!</v>
      </c>
      <c r="HY46" t="e">
        <f>AND(#REF!,"AAAAAH/K+Og=")</f>
        <v>#REF!</v>
      </c>
      <c r="HZ46" t="e">
        <f>AND(#REF!,"AAAAAH/K+Ok=")</f>
        <v>#REF!</v>
      </c>
      <c r="IA46" t="e">
        <f>AND(#REF!,"AAAAAH/K+Oo=")</f>
        <v>#REF!</v>
      </c>
      <c r="IB46" t="e">
        <f>AND(#REF!,"AAAAAH/K+Os=")</f>
        <v>#REF!</v>
      </c>
      <c r="IC46" t="e">
        <f>AND(#REF!,"AAAAAH/K+Ow=")</f>
        <v>#REF!</v>
      </c>
      <c r="ID46" t="e">
        <f>AND(#REF!,"AAAAAH/K+O0=")</f>
        <v>#REF!</v>
      </c>
      <c r="IE46" t="e">
        <f>AND(#REF!,"AAAAAH/K+O4=")</f>
        <v>#REF!</v>
      </c>
      <c r="IF46" t="e">
        <f>AND(#REF!,"AAAAAH/K+O8=")</f>
        <v>#REF!</v>
      </c>
      <c r="IG46" t="e">
        <f>AND(#REF!,"AAAAAH/K+PA=")</f>
        <v>#REF!</v>
      </c>
      <c r="IH46" t="e">
        <f>AND(#REF!,"AAAAAH/K+PE=")</f>
        <v>#REF!</v>
      </c>
      <c r="II46" t="e">
        <f>AND(#REF!,"AAAAAH/K+PI=")</f>
        <v>#REF!</v>
      </c>
      <c r="IJ46" t="e">
        <f>AND(#REF!,"AAAAAH/K+PM=")</f>
        <v>#REF!</v>
      </c>
      <c r="IK46" t="e">
        <f>AND(#REF!,"AAAAAH/K+PQ=")</f>
        <v>#REF!</v>
      </c>
      <c r="IL46" t="e">
        <f>AND(#REF!,"AAAAAH/K+PU=")</f>
        <v>#REF!</v>
      </c>
      <c r="IM46" t="e">
        <f>AND(#REF!,"AAAAAH/K+PY=")</f>
        <v>#REF!</v>
      </c>
      <c r="IN46" t="e">
        <f>AND(#REF!,"AAAAAH/K+Pc=")</f>
        <v>#REF!</v>
      </c>
      <c r="IO46" t="e">
        <f>AND(#REF!,"AAAAAH/K+Pg=")</f>
        <v>#REF!</v>
      </c>
      <c r="IP46" t="e">
        <f>AND(#REF!,"AAAAAH/K+Pk=")</f>
        <v>#REF!</v>
      </c>
      <c r="IQ46" t="e">
        <f>AND(#REF!,"AAAAAH/K+Po=")</f>
        <v>#REF!</v>
      </c>
      <c r="IR46" t="e">
        <f>AND(#REF!,"AAAAAH/K+Ps=")</f>
        <v>#REF!</v>
      </c>
      <c r="IS46" t="e">
        <f>AND(#REF!,"AAAAAH/K+Pw=")</f>
        <v>#REF!</v>
      </c>
      <c r="IT46" t="e">
        <f>AND(#REF!,"AAAAAH/K+P0=")</f>
        <v>#REF!</v>
      </c>
      <c r="IU46" t="e">
        <f>AND(#REF!,"AAAAAH/K+P4=")</f>
        <v>#REF!</v>
      </c>
      <c r="IV46" t="e">
        <f>AND(#REF!,"AAAAAH/K+P8=")</f>
        <v>#REF!</v>
      </c>
    </row>
    <row r="47" spans="1:256">
      <c r="A47" t="e">
        <f>AND(#REF!,"AAAAAHq/rwA=")</f>
        <v>#REF!</v>
      </c>
      <c r="B47" t="e">
        <f>AND(#REF!,"AAAAAHq/rwE=")</f>
        <v>#REF!</v>
      </c>
      <c r="C47" t="e">
        <f>AND(#REF!,"AAAAAHq/rwI=")</f>
        <v>#REF!</v>
      </c>
      <c r="D47" t="e">
        <f>AND(#REF!,"AAAAAHq/rwM=")</f>
        <v>#REF!</v>
      </c>
      <c r="E47" t="e">
        <f>AND(#REF!,"AAAAAHq/rwQ=")</f>
        <v>#REF!</v>
      </c>
      <c r="F47" t="e">
        <f>AND(#REF!,"AAAAAHq/rwU=")</f>
        <v>#REF!</v>
      </c>
      <c r="G47" t="e">
        <f>AND(#REF!,"AAAAAHq/rwY=")</f>
        <v>#REF!</v>
      </c>
      <c r="H47" t="e">
        <f>AND(#REF!,"AAAAAHq/rwc=")</f>
        <v>#REF!</v>
      </c>
      <c r="I47" t="e">
        <f>AND(#REF!,"AAAAAHq/rwg=")</f>
        <v>#REF!</v>
      </c>
      <c r="J47" t="e">
        <f>AND(#REF!,"AAAAAHq/rwk=")</f>
        <v>#REF!</v>
      </c>
      <c r="K47" t="e">
        <f>AND(#REF!,"AAAAAHq/rwo=")</f>
        <v>#REF!</v>
      </c>
      <c r="L47" t="e">
        <f>AND(#REF!,"AAAAAHq/rws=")</f>
        <v>#REF!</v>
      </c>
      <c r="M47" t="e">
        <f>AND(#REF!,"AAAAAHq/rww=")</f>
        <v>#REF!</v>
      </c>
      <c r="N47" t="e">
        <f>AND(#REF!,"AAAAAHq/rw0=")</f>
        <v>#REF!</v>
      </c>
      <c r="O47" t="e">
        <f>AND(#REF!,"AAAAAHq/rw4=")</f>
        <v>#REF!</v>
      </c>
      <c r="P47" t="e">
        <f>AND(#REF!,"AAAAAHq/rw8=")</f>
        <v>#REF!</v>
      </c>
      <c r="Q47" t="e">
        <f>AND(#REF!,"AAAAAHq/rxA=")</f>
        <v>#REF!</v>
      </c>
      <c r="R47" t="e">
        <f>AND(#REF!,"AAAAAHq/rxE=")</f>
        <v>#REF!</v>
      </c>
      <c r="S47" t="e">
        <f>AND(#REF!,"AAAAAHq/rxI=")</f>
        <v>#REF!</v>
      </c>
      <c r="T47" t="e">
        <f>AND(#REF!,"AAAAAHq/rxM=")</f>
        <v>#REF!</v>
      </c>
      <c r="U47" t="e">
        <f>AND(#REF!,"AAAAAHq/rxQ=")</f>
        <v>#REF!</v>
      </c>
      <c r="V47" t="e">
        <f>AND(#REF!,"AAAAAHq/rxU=")</f>
        <v>#REF!</v>
      </c>
      <c r="W47" t="e">
        <f>AND(#REF!,"AAAAAHq/rxY=")</f>
        <v>#REF!</v>
      </c>
      <c r="X47" t="e">
        <f>AND(#REF!,"AAAAAHq/rxc=")</f>
        <v>#REF!</v>
      </c>
      <c r="Y47" t="e">
        <f>AND(#REF!,"AAAAAHq/rxg=")</f>
        <v>#REF!</v>
      </c>
      <c r="Z47" t="e">
        <f>AND(#REF!,"AAAAAHq/rxk=")</f>
        <v>#REF!</v>
      </c>
      <c r="AA47" t="e">
        <f>AND(#REF!,"AAAAAHq/rxo=")</f>
        <v>#REF!</v>
      </c>
      <c r="AB47" t="e">
        <f>AND(#REF!,"AAAAAHq/rxs=")</f>
        <v>#REF!</v>
      </c>
      <c r="AC47" t="e">
        <f>AND(#REF!,"AAAAAHq/rxw=")</f>
        <v>#REF!</v>
      </c>
      <c r="AD47" t="e">
        <f>AND(#REF!,"AAAAAHq/rx0=")</f>
        <v>#REF!</v>
      </c>
      <c r="AE47" t="e">
        <f>AND(#REF!,"AAAAAHq/rx4=")</f>
        <v>#REF!</v>
      </c>
      <c r="AF47" t="e">
        <f>AND(#REF!,"AAAAAHq/rx8=")</f>
        <v>#REF!</v>
      </c>
      <c r="AG47" t="e">
        <f>AND(#REF!,"AAAAAHq/ryA=")</f>
        <v>#REF!</v>
      </c>
      <c r="AH47" t="e">
        <f>AND(#REF!,"AAAAAHq/ryE=")</f>
        <v>#REF!</v>
      </c>
      <c r="AI47" t="e">
        <f>AND(#REF!,"AAAAAHq/ryI=")</f>
        <v>#REF!</v>
      </c>
      <c r="AJ47" t="e">
        <f>AND(#REF!,"AAAAAHq/ryM=")</f>
        <v>#REF!</v>
      </c>
      <c r="AK47" t="e">
        <f>AND(#REF!,"AAAAAHq/ryQ=")</f>
        <v>#REF!</v>
      </c>
      <c r="AL47" t="e">
        <f>AND(#REF!,"AAAAAHq/ryU=")</f>
        <v>#REF!</v>
      </c>
      <c r="AM47" t="e">
        <f>AND(#REF!,"AAAAAHq/ryY=")</f>
        <v>#REF!</v>
      </c>
      <c r="AN47" t="e">
        <f>AND(#REF!,"AAAAAHq/ryc=")</f>
        <v>#REF!</v>
      </c>
      <c r="AO47" t="e">
        <f>AND(#REF!,"AAAAAHq/ryg=")</f>
        <v>#REF!</v>
      </c>
      <c r="AP47" t="e">
        <f>AND(#REF!,"AAAAAHq/ryk=")</f>
        <v>#REF!</v>
      </c>
      <c r="AQ47" t="e">
        <f>AND(#REF!,"AAAAAHq/ryo=")</f>
        <v>#REF!</v>
      </c>
      <c r="AR47" t="e">
        <f>AND(#REF!,"AAAAAHq/rys=")</f>
        <v>#REF!</v>
      </c>
      <c r="AS47" t="e">
        <f>AND(#REF!,"AAAAAHq/ryw=")</f>
        <v>#REF!</v>
      </c>
      <c r="AT47" t="e">
        <f>AND(#REF!,"AAAAAHq/ry0=")</f>
        <v>#REF!</v>
      </c>
      <c r="AU47" t="e">
        <f>AND(#REF!,"AAAAAHq/ry4=")</f>
        <v>#REF!</v>
      </c>
      <c r="AV47" t="e">
        <f>AND(#REF!,"AAAAAHq/ry8=")</f>
        <v>#REF!</v>
      </c>
      <c r="AW47" t="e">
        <f>AND(#REF!,"AAAAAHq/rzA=")</f>
        <v>#REF!</v>
      </c>
      <c r="AX47" t="e">
        <f>AND(#REF!,"AAAAAHq/rzE=")</f>
        <v>#REF!</v>
      </c>
      <c r="AY47" t="e">
        <f>AND(#REF!,"AAAAAHq/rzI=")</f>
        <v>#REF!</v>
      </c>
      <c r="AZ47" t="e">
        <f>AND(#REF!,"AAAAAHq/rzM=")</f>
        <v>#REF!</v>
      </c>
      <c r="BA47" t="e">
        <f>AND(#REF!,"AAAAAHq/rzQ=")</f>
        <v>#REF!</v>
      </c>
      <c r="BB47" t="e">
        <f>AND(#REF!,"AAAAAHq/rzU=")</f>
        <v>#REF!</v>
      </c>
      <c r="BC47" t="e">
        <f>AND(#REF!,"AAAAAHq/rzY=")</f>
        <v>#REF!</v>
      </c>
      <c r="BD47" t="e">
        <f>AND(#REF!,"AAAAAHq/rzc=")</f>
        <v>#REF!</v>
      </c>
      <c r="BE47" t="e">
        <f>AND(#REF!,"AAAAAHq/rzg=")</f>
        <v>#REF!</v>
      </c>
      <c r="BF47" t="e">
        <f>AND(#REF!,"AAAAAHq/rzk=")</f>
        <v>#REF!</v>
      </c>
      <c r="BG47" t="e">
        <f>AND(#REF!,"AAAAAHq/rzo=")</f>
        <v>#REF!</v>
      </c>
      <c r="BH47" t="e">
        <f>AND(#REF!,"AAAAAHq/rzs=")</f>
        <v>#REF!</v>
      </c>
      <c r="BI47" t="e">
        <f>AND(#REF!,"AAAAAHq/rzw=")</f>
        <v>#REF!</v>
      </c>
      <c r="BJ47" t="e">
        <f>AND(#REF!,"AAAAAHq/rz0=")</f>
        <v>#REF!</v>
      </c>
      <c r="BK47" t="e">
        <f>AND(#REF!,"AAAAAHq/rz4=")</f>
        <v>#REF!</v>
      </c>
      <c r="BL47" t="e">
        <f>AND(#REF!,"AAAAAHq/rz8=")</f>
        <v>#REF!</v>
      </c>
      <c r="BM47" t="e">
        <f>AND(#REF!,"AAAAAHq/r0A=")</f>
        <v>#REF!</v>
      </c>
      <c r="BN47" t="e">
        <f>AND(#REF!,"AAAAAHq/r0E=")</f>
        <v>#REF!</v>
      </c>
      <c r="BO47" t="e">
        <f>AND(#REF!,"AAAAAHq/r0I=")</f>
        <v>#REF!</v>
      </c>
      <c r="BP47" t="e">
        <f>AND(#REF!,"AAAAAHq/r0M=")</f>
        <v>#REF!</v>
      </c>
      <c r="BQ47" t="e">
        <f>AND(#REF!,"AAAAAHq/r0Q=")</f>
        <v>#REF!</v>
      </c>
      <c r="BR47" t="e">
        <f>AND(#REF!,"AAAAAHq/r0U=")</f>
        <v>#REF!</v>
      </c>
      <c r="BS47" t="e">
        <f>AND(#REF!,"AAAAAHq/r0Y=")</f>
        <v>#REF!</v>
      </c>
      <c r="BT47" t="e">
        <f>AND(#REF!,"AAAAAHq/r0c=")</f>
        <v>#REF!</v>
      </c>
      <c r="BU47" t="e">
        <f>AND(#REF!,"AAAAAHq/r0g=")</f>
        <v>#REF!</v>
      </c>
      <c r="BV47" t="e">
        <f>AND(#REF!,"AAAAAHq/r0k=")</f>
        <v>#REF!</v>
      </c>
      <c r="BW47" t="e">
        <f>AND(#REF!,"AAAAAHq/r0o=")</f>
        <v>#REF!</v>
      </c>
      <c r="BX47" t="e">
        <f>AND(#REF!,"AAAAAHq/r0s=")</f>
        <v>#REF!</v>
      </c>
      <c r="BY47" t="e">
        <f>AND(#REF!,"AAAAAHq/r0w=")</f>
        <v>#REF!</v>
      </c>
      <c r="BZ47" t="e">
        <f>AND(#REF!,"AAAAAHq/r00=")</f>
        <v>#REF!</v>
      </c>
      <c r="CA47" t="e">
        <f>AND(#REF!,"AAAAAHq/r04=")</f>
        <v>#REF!</v>
      </c>
      <c r="CB47" t="e">
        <f>AND(#REF!,"AAAAAHq/r08=")</f>
        <v>#REF!</v>
      </c>
      <c r="CC47" t="e">
        <f>AND(#REF!,"AAAAAHq/r1A=")</f>
        <v>#REF!</v>
      </c>
      <c r="CD47" t="e">
        <f>AND(#REF!,"AAAAAHq/r1E=")</f>
        <v>#REF!</v>
      </c>
      <c r="CE47" t="e">
        <f>AND(#REF!,"AAAAAHq/r1I=")</f>
        <v>#REF!</v>
      </c>
      <c r="CF47" t="e">
        <f>AND(#REF!,"AAAAAHq/r1M=")</f>
        <v>#REF!</v>
      </c>
      <c r="CG47" t="e">
        <f>AND(#REF!,"AAAAAHq/r1Q=")</f>
        <v>#REF!</v>
      </c>
      <c r="CH47" t="e">
        <f>AND(#REF!,"AAAAAHq/r1U=")</f>
        <v>#REF!</v>
      </c>
      <c r="CI47" t="e">
        <f>AND(#REF!,"AAAAAHq/r1Y=")</f>
        <v>#REF!</v>
      </c>
      <c r="CJ47" t="e">
        <f>AND(#REF!,"AAAAAHq/r1c=")</f>
        <v>#REF!</v>
      </c>
      <c r="CK47" t="e">
        <f>AND(#REF!,"AAAAAHq/r1g=")</f>
        <v>#REF!</v>
      </c>
      <c r="CL47" t="e">
        <f>AND(#REF!,"AAAAAHq/r1k=")</f>
        <v>#REF!</v>
      </c>
      <c r="CM47" t="e">
        <f>AND(#REF!,"AAAAAHq/r1o=")</f>
        <v>#REF!</v>
      </c>
      <c r="CN47" t="e">
        <f>AND(#REF!,"AAAAAHq/r1s=")</f>
        <v>#REF!</v>
      </c>
      <c r="CO47" t="e">
        <f>AND(#REF!,"AAAAAHq/r1w=")</f>
        <v>#REF!</v>
      </c>
      <c r="CP47" t="e">
        <f>AND(#REF!,"AAAAAHq/r10=")</f>
        <v>#REF!</v>
      </c>
      <c r="CQ47" t="e">
        <f>AND(#REF!,"AAAAAHq/r14=")</f>
        <v>#REF!</v>
      </c>
      <c r="CR47" t="e">
        <f>AND(#REF!,"AAAAAHq/r18=")</f>
        <v>#REF!</v>
      </c>
      <c r="CS47" t="e">
        <f>AND(#REF!,"AAAAAHq/r2A=")</f>
        <v>#REF!</v>
      </c>
      <c r="CT47" t="e">
        <f>AND(#REF!,"AAAAAHq/r2E=")</f>
        <v>#REF!</v>
      </c>
      <c r="CU47" t="e">
        <f>AND(#REF!,"AAAAAHq/r2I=")</f>
        <v>#REF!</v>
      </c>
      <c r="CV47" t="e">
        <f>AND(#REF!,"AAAAAHq/r2M=")</f>
        <v>#REF!</v>
      </c>
      <c r="CW47" t="e">
        <f>AND(#REF!,"AAAAAHq/r2Q=")</f>
        <v>#REF!</v>
      </c>
      <c r="CX47" t="e">
        <f>AND(#REF!,"AAAAAHq/r2U=")</f>
        <v>#REF!</v>
      </c>
      <c r="CY47" t="e">
        <f>AND(#REF!,"AAAAAHq/r2Y=")</f>
        <v>#REF!</v>
      </c>
      <c r="CZ47" t="e">
        <f>AND(#REF!,"AAAAAHq/r2c=")</f>
        <v>#REF!</v>
      </c>
      <c r="DA47" t="e">
        <f>AND(#REF!,"AAAAAHq/r2g=")</f>
        <v>#REF!</v>
      </c>
      <c r="DB47" t="e">
        <f>AND(#REF!,"AAAAAHq/r2k=")</f>
        <v>#REF!</v>
      </c>
      <c r="DC47" t="e">
        <f>AND(#REF!,"AAAAAHq/r2o=")</f>
        <v>#REF!</v>
      </c>
      <c r="DD47" t="e">
        <f>AND(#REF!,"AAAAAHq/r2s=")</f>
        <v>#REF!</v>
      </c>
      <c r="DE47" t="e">
        <f>AND(#REF!,"AAAAAHq/r2w=")</f>
        <v>#REF!</v>
      </c>
      <c r="DF47" t="e">
        <f>AND(#REF!,"AAAAAHq/r20=")</f>
        <v>#REF!</v>
      </c>
      <c r="DG47" t="e">
        <f>AND(#REF!,"AAAAAHq/r24=")</f>
        <v>#REF!</v>
      </c>
      <c r="DH47" t="e">
        <f>AND(#REF!,"AAAAAHq/r28=")</f>
        <v>#REF!</v>
      </c>
      <c r="DI47" t="e">
        <f>AND(#REF!,"AAAAAHq/r3A=")</f>
        <v>#REF!</v>
      </c>
      <c r="DJ47" t="e">
        <f>AND(#REF!,"AAAAAHq/r3E=")</f>
        <v>#REF!</v>
      </c>
      <c r="DK47" t="e">
        <f>AND(#REF!,"AAAAAHq/r3I=")</f>
        <v>#REF!</v>
      </c>
      <c r="DL47" t="e">
        <f>AND(#REF!,"AAAAAHq/r3M=")</f>
        <v>#REF!</v>
      </c>
      <c r="DM47" t="e">
        <f>AND(#REF!,"AAAAAHq/r3Q=")</f>
        <v>#REF!</v>
      </c>
      <c r="DN47" t="e">
        <f>AND(#REF!,"AAAAAHq/r3U=")</f>
        <v>#REF!</v>
      </c>
      <c r="DO47" t="e">
        <f>AND(#REF!,"AAAAAHq/r3Y=")</f>
        <v>#REF!</v>
      </c>
      <c r="DP47" t="e">
        <f>AND(#REF!,"AAAAAHq/r3c=")</f>
        <v>#REF!</v>
      </c>
      <c r="DQ47" t="e">
        <f>AND(#REF!,"AAAAAHq/r3g=")</f>
        <v>#REF!</v>
      </c>
      <c r="DR47" t="e">
        <f>AND(#REF!,"AAAAAHq/r3k=")</f>
        <v>#REF!</v>
      </c>
      <c r="DS47" t="e">
        <f>AND(#REF!,"AAAAAHq/r3o=")</f>
        <v>#REF!</v>
      </c>
      <c r="DT47" t="e">
        <f>AND(#REF!,"AAAAAHq/r3s=")</f>
        <v>#REF!</v>
      </c>
      <c r="DU47" t="e">
        <f>AND(#REF!,"AAAAAHq/r3w=")</f>
        <v>#REF!</v>
      </c>
      <c r="DV47" t="e">
        <f>AND(#REF!,"AAAAAHq/r30=")</f>
        <v>#REF!</v>
      </c>
      <c r="DW47" t="e">
        <f>AND(#REF!,"AAAAAHq/r34=")</f>
        <v>#REF!</v>
      </c>
      <c r="DX47" t="e">
        <f>AND(#REF!,"AAAAAHq/r38=")</f>
        <v>#REF!</v>
      </c>
      <c r="DY47" t="e">
        <f>AND(#REF!,"AAAAAHq/r4A=")</f>
        <v>#REF!</v>
      </c>
      <c r="DZ47" t="e">
        <f>AND(#REF!,"AAAAAHq/r4E=")</f>
        <v>#REF!</v>
      </c>
      <c r="EA47" t="e">
        <f>AND(#REF!,"AAAAAHq/r4I=")</f>
        <v>#REF!</v>
      </c>
      <c r="EB47" t="e">
        <f>AND(#REF!,"AAAAAHq/r4M=")</f>
        <v>#REF!</v>
      </c>
      <c r="EC47" t="e">
        <f>AND(#REF!,"AAAAAHq/r4Q=")</f>
        <v>#REF!</v>
      </c>
      <c r="ED47" t="e">
        <f>AND(#REF!,"AAAAAHq/r4U=")</f>
        <v>#REF!</v>
      </c>
      <c r="EE47" t="e">
        <f>AND(#REF!,"AAAAAHq/r4Y=")</f>
        <v>#REF!</v>
      </c>
      <c r="EF47" t="e">
        <f>AND(#REF!,"AAAAAHq/r4c=")</f>
        <v>#REF!</v>
      </c>
      <c r="EG47" t="e">
        <f>AND(#REF!,"AAAAAHq/r4g=")</f>
        <v>#REF!</v>
      </c>
      <c r="EH47" t="e">
        <f>AND(#REF!,"AAAAAHq/r4k=")</f>
        <v>#REF!</v>
      </c>
      <c r="EI47" t="e">
        <f>AND(#REF!,"AAAAAHq/r4o=")</f>
        <v>#REF!</v>
      </c>
      <c r="EJ47" t="e">
        <f>AND(#REF!,"AAAAAHq/r4s=")</f>
        <v>#REF!</v>
      </c>
      <c r="EK47" t="e">
        <f>AND(#REF!,"AAAAAHq/r4w=")</f>
        <v>#REF!</v>
      </c>
      <c r="EL47" t="e">
        <f>AND(#REF!,"AAAAAHq/r40=")</f>
        <v>#REF!</v>
      </c>
      <c r="EM47" t="e">
        <f>AND(#REF!,"AAAAAHq/r44=")</f>
        <v>#REF!</v>
      </c>
      <c r="EN47" t="e">
        <f>AND(#REF!,"AAAAAHq/r48=")</f>
        <v>#REF!</v>
      </c>
      <c r="EO47" t="e">
        <f>AND(#REF!,"AAAAAHq/r5A=")</f>
        <v>#REF!</v>
      </c>
      <c r="EP47" t="e">
        <f>AND(#REF!,"AAAAAHq/r5E=")</f>
        <v>#REF!</v>
      </c>
      <c r="EQ47" t="e">
        <f>AND(#REF!,"AAAAAHq/r5I=")</f>
        <v>#REF!</v>
      </c>
      <c r="ER47" t="e">
        <f>AND(#REF!,"AAAAAHq/r5M=")</f>
        <v>#REF!</v>
      </c>
      <c r="ES47" t="e">
        <f>AND(#REF!,"AAAAAHq/r5Q=")</f>
        <v>#REF!</v>
      </c>
      <c r="ET47" t="e">
        <f>AND(#REF!,"AAAAAHq/r5U=")</f>
        <v>#REF!</v>
      </c>
      <c r="EU47" t="e">
        <f>AND(#REF!,"AAAAAHq/r5Y=")</f>
        <v>#REF!</v>
      </c>
      <c r="EV47" t="e">
        <f>AND(#REF!,"AAAAAHq/r5c=")</f>
        <v>#REF!</v>
      </c>
      <c r="EW47" t="e">
        <f>AND(#REF!,"AAAAAHq/r5g=")</f>
        <v>#REF!</v>
      </c>
      <c r="EX47" t="e">
        <f>AND(#REF!,"AAAAAHq/r5k=")</f>
        <v>#REF!</v>
      </c>
      <c r="EY47" t="e">
        <f>AND(#REF!,"AAAAAHq/r5o=")</f>
        <v>#REF!</v>
      </c>
      <c r="EZ47" t="e">
        <f>AND(#REF!,"AAAAAHq/r5s=")</f>
        <v>#REF!</v>
      </c>
      <c r="FA47" t="e">
        <f>AND(#REF!,"AAAAAHq/r5w=")</f>
        <v>#REF!</v>
      </c>
      <c r="FB47" t="e">
        <f>AND(#REF!,"AAAAAHq/r50=")</f>
        <v>#REF!</v>
      </c>
      <c r="FC47" t="e">
        <f>AND(#REF!,"AAAAAHq/r54=")</f>
        <v>#REF!</v>
      </c>
      <c r="FD47" t="e">
        <f>AND(#REF!,"AAAAAHq/r58=")</f>
        <v>#REF!</v>
      </c>
      <c r="FE47" t="e">
        <f>AND(#REF!,"AAAAAHq/r6A=")</f>
        <v>#REF!</v>
      </c>
      <c r="FF47" t="e">
        <f>AND(#REF!,"AAAAAHq/r6E=")</f>
        <v>#REF!</v>
      </c>
      <c r="FG47" t="e">
        <f>AND(#REF!,"AAAAAHq/r6I=")</f>
        <v>#REF!</v>
      </c>
      <c r="FH47" t="e">
        <f>AND(#REF!,"AAAAAHq/r6M=")</f>
        <v>#REF!</v>
      </c>
      <c r="FI47" t="e">
        <f>AND(#REF!,"AAAAAHq/r6Q=")</f>
        <v>#REF!</v>
      </c>
      <c r="FJ47" t="e">
        <f>AND(#REF!,"AAAAAHq/r6U=")</f>
        <v>#REF!</v>
      </c>
      <c r="FK47" t="e">
        <f>AND(#REF!,"AAAAAHq/r6Y=")</f>
        <v>#REF!</v>
      </c>
      <c r="FL47" t="e">
        <f>AND(#REF!,"AAAAAHq/r6c=")</f>
        <v>#REF!</v>
      </c>
      <c r="FM47" t="e">
        <f>AND(#REF!,"AAAAAHq/r6g=")</f>
        <v>#REF!</v>
      </c>
      <c r="FN47" t="e">
        <f>AND(#REF!,"AAAAAHq/r6k=")</f>
        <v>#REF!</v>
      </c>
      <c r="FO47" t="e">
        <f>AND(#REF!,"AAAAAHq/r6o=")</f>
        <v>#REF!</v>
      </c>
      <c r="FP47" t="e">
        <f>AND(#REF!,"AAAAAHq/r6s=")</f>
        <v>#REF!</v>
      </c>
      <c r="FQ47" t="e">
        <f>AND(#REF!,"AAAAAHq/r6w=")</f>
        <v>#REF!</v>
      </c>
      <c r="FR47" t="e">
        <f>AND(#REF!,"AAAAAHq/r60=")</f>
        <v>#REF!</v>
      </c>
      <c r="FS47" t="e">
        <f>AND(#REF!,"AAAAAHq/r64=")</f>
        <v>#REF!</v>
      </c>
      <c r="FT47" t="e">
        <f>AND(#REF!,"AAAAAHq/r68=")</f>
        <v>#REF!</v>
      </c>
      <c r="FU47" t="e">
        <f>AND(#REF!,"AAAAAHq/r7A=")</f>
        <v>#REF!</v>
      </c>
      <c r="FV47" t="e">
        <f>AND(#REF!,"AAAAAHq/r7E=")</f>
        <v>#REF!</v>
      </c>
      <c r="FW47" t="e">
        <f>AND(#REF!,"AAAAAHq/r7I=")</f>
        <v>#REF!</v>
      </c>
      <c r="FX47" t="e">
        <f>AND(#REF!,"AAAAAHq/r7M=")</f>
        <v>#REF!</v>
      </c>
      <c r="FY47" t="e">
        <f>AND(#REF!,"AAAAAHq/r7Q=")</f>
        <v>#REF!</v>
      </c>
      <c r="FZ47" t="e">
        <f>AND(#REF!,"AAAAAHq/r7U=")</f>
        <v>#REF!</v>
      </c>
      <c r="GA47" t="e">
        <f>AND(#REF!,"AAAAAHq/r7Y=")</f>
        <v>#REF!</v>
      </c>
      <c r="GB47" t="e">
        <f>AND(#REF!,"AAAAAHq/r7c=")</f>
        <v>#REF!</v>
      </c>
      <c r="GC47" t="e">
        <f>AND(#REF!,"AAAAAHq/r7g=")</f>
        <v>#REF!</v>
      </c>
      <c r="GD47" t="e">
        <f>AND(#REF!,"AAAAAHq/r7k=")</f>
        <v>#REF!</v>
      </c>
      <c r="GE47" t="e">
        <f>AND(#REF!,"AAAAAHq/r7o=")</f>
        <v>#REF!</v>
      </c>
      <c r="GF47" t="e">
        <f>AND(#REF!,"AAAAAHq/r7s=")</f>
        <v>#REF!</v>
      </c>
      <c r="GG47" t="e">
        <f>AND(#REF!,"AAAAAHq/r7w=")</f>
        <v>#REF!</v>
      </c>
      <c r="GH47" t="e">
        <f>AND(#REF!,"AAAAAHq/r70=")</f>
        <v>#REF!</v>
      </c>
      <c r="GI47" t="e">
        <f>AND(#REF!,"AAAAAHq/r74=")</f>
        <v>#REF!</v>
      </c>
      <c r="GJ47" t="e">
        <f>AND(#REF!,"AAAAAHq/r78=")</f>
        <v>#REF!</v>
      </c>
      <c r="GK47" t="e">
        <f>AND(#REF!,"AAAAAHq/r8A=")</f>
        <v>#REF!</v>
      </c>
      <c r="GL47" t="e">
        <f>AND(#REF!,"AAAAAHq/r8E=")</f>
        <v>#REF!</v>
      </c>
      <c r="GM47" t="e">
        <f>AND(#REF!,"AAAAAHq/r8I=")</f>
        <v>#REF!</v>
      </c>
      <c r="GN47" t="e">
        <f>AND(#REF!,"AAAAAHq/r8M=")</f>
        <v>#REF!</v>
      </c>
      <c r="GO47" t="e">
        <f>AND(#REF!,"AAAAAHq/r8Q=")</f>
        <v>#REF!</v>
      </c>
      <c r="GP47" t="e">
        <f>AND(#REF!,"AAAAAHq/r8U=")</f>
        <v>#REF!</v>
      </c>
      <c r="GQ47" t="e">
        <f>AND(#REF!,"AAAAAHq/r8Y=")</f>
        <v>#REF!</v>
      </c>
      <c r="GR47" t="e">
        <f>AND(#REF!,"AAAAAHq/r8c=")</f>
        <v>#REF!</v>
      </c>
      <c r="GS47" t="e">
        <f>AND(#REF!,"AAAAAHq/r8g=")</f>
        <v>#REF!</v>
      </c>
      <c r="GT47" t="e">
        <f>AND(#REF!,"AAAAAHq/r8k=")</f>
        <v>#REF!</v>
      </c>
      <c r="GU47" t="e">
        <f>AND(#REF!,"AAAAAHq/r8o=")</f>
        <v>#REF!</v>
      </c>
      <c r="GV47" t="e">
        <f>AND(#REF!,"AAAAAHq/r8s=")</f>
        <v>#REF!</v>
      </c>
      <c r="GW47" t="e">
        <f>AND(#REF!,"AAAAAHq/r8w=")</f>
        <v>#REF!</v>
      </c>
      <c r="GX47" t="e">
        <f>AND(#REF!,"AAAAAHq/r80=")</f>
        <v>#REF!</v>
      </c>
      <c r="GY47" t="e">
        <f>AND(#REF!,"AAAAAHq/r84=")</f>
        <v>#REF!</v>
      </c>
      <c r="GZ47" t="e">
        <f>AND(#REF!,"AAAAAHq/r88=")</f>
        <v>#REF!</v>
      </c>
      <c r="HA47" t="e">
        <f>AND(#REF!,"AAAAAHq/r9A=")</f>
        <v>#REF!</v>
      </c>
      <c r="HB47" t="e">
        <f>AND(#REF!,"AAAAAHq/r9E=")</f>
        <v>#REF!</v>
      </c>
      <c r="HC47" t="e">
        <f>AND(#REF!,"AAAAAHq/r9I=")</f>
        <v>#REF!</v>
      </c>
      <c r="HD47" t="e">
        <f>AND(#REF!,"AAAAAHq/r9M=")</f>
        <v>#REF!</v>
      </c>
      <c r="HE47" t="e">
        <f>AND(#REF!,"AAAAAHq/r9Q=")</f>
        <v>#REF!</v>
      </c>
      <c r="HF47" t="e">
        <f>AND(#REF!,"AAAAAHq/r9U=")</f>
        <v>#REF!</v>
      </c>
      <c r="HG47" t="e">
        <f>AND(#REF!,"AAAAAHq/r9Y=")</f>
        <v>#REF!</v>
      </c>
      <c r="HH47" t="e">
        <f>AND(#REF!,"AAAAAHq/r9c=")</f>
        <v>#REF!</v>
      </c>
      <c r="HI47" t="e">
        <f>AND(#REF!,"AAAAAHq/r9g=")</f>
        <v>#REF!</v>
      </c>
      <c r="HJ47" t="e">
        <f>AND(#REF!,"AAAAAHq/r9k=")</f>
        <v>#REF!</v>
      </c>
      <c r="HK47" t="e">
        <f>AND(#REF!,"AAAAAHq/r9o=")</f>
        <v>#REF!</v>
      </c>
      <c r="HL47" t="e">
        <f>AND(#REF!,"AAAAAHq/r9s=")</f>
        <v>#REF!</v>
      </c>
      <c r="HM47" t="e">
        <f>AND(#REF!,"AAAAAHq/r9w=")</f>
        <v>#REF!</v>
      </c>
      <c r="HN47" t="e">
        <f>AND(#REF!,"AAAAAHq/r90=")</f>
        <v>#REF!</v>
      </c>
      <c r="HO47" t="e">
        <f>AND(#REF!,"AAAAAHq/r94=")</f>
        <v>#REF!</v>
      </c>
      <c r="HP47" t="e">
        <f>AND(#REF!,"AAAAAHq/r98=")</f>
        <v>#REF!</v>
      </c>
      <c r="HQ47" t="e">
        <f>AND(#REF!,"AAAAAHq/r+A=")</f>
        <v>#REF!</v>
      </c>
      <c r="HR47" t="e">
        <f>AND(#REF!,"AAAAAHq/r+E=")</f>
        <v>#REF!</v>
      </c>
      <c r="HS47" t="e">
        <f>AND(#REF!,"AAAAAHq/r+I=")</f>
        <v>#REF!</v>
      </c>
      <c r="HT47" t="e">
        <f>AND(#REF!,"AAAAAHq/r+M=")</f>
        <v>#REF!</v>
      </c>
      <c r="HU47" t="e">
        <f>AND(#REF!,"AAAAAHq/r+Q=")</f>
        <v>#REF!</v>
      </c>
      <c r="HV47" t="e">
        <f>AND(#REF!,"AAAAAHq/r+U=")</f>
        <v>#REF!</v>
      </c>
      <c r="HW47" t="e">
        <f>AND(#REF!,"AAAAAHq/r+Y=")</f>
        <v>#REF!</v>
      </c>
      <c r="HX47" t="e">
        <f>AND(#REF!,"AAAAAHq/r+c=")</f>
        <v>#REF!</v>
      </c>
      <c r="HY47" t="e">
        <f>AND(#REF!,"AAAAAHq/r+g=")</f>
        <v>#REF!</v>
      </c>
      <c r="HZ47" t="e">
        <f>AND(#REF!,"AAAAAHq/r+k=")</f>
        <v>#REF!</v>
      </c>
      <c r="IA47" t="e">
        <f>AND(#REF!,"AAAAAHq/r+o=")</f>
        <v>#REF!</v>
      </c>
      <c r="IB47" t="e">
        <f>AND(#REF!,"AAAAAHq/r+s=")</f>
        <v>#REF!</v>
      </c>
      <c r="IC47" t="e">
        <f>AND(#REF!,"AAAAAHq/r+w=")</f>
        <v>#REF!</v>
      </c>
      <c r="ID47" t="e">
        <f>AND(#REF!,"AAAAAHq/r+0=")</f>
        <v>#REF!</v>
      </c>
      <c r="IE47" t="e">
        <f>AND(#REF!,"AAAAAHq/r+4=")</f>
        <v>#REF!</v>
      </c>
      <c r="IF47" t="e">
        <f>AND(#REF!,"AAAAAHq/r+8=")</f>
        <v>#REF!</v>
      </c>
      <c r="IG47" t="e">
        <f>AND(#REF!,"AAAAAHq/r/A=")</f>
        <v>#REF!</v>
      </c>
      <c r="IH47" t="e">
        <f>AND(#REF!,"AAAAAHq/r/E=")</f>
        <v>#REF!</v>
      </c>
      <c r="II47" t="e">
        <f>AND(#REF!,"AAAAAHq/r/I=")</f>
        <v>#REF!</v>
      </c>
      <c r="IJ47" t="e">
        <f>AND(#REF!,"AAAAAHq/r/M=")</f>
        <v>#REF!</v>
      </c>
      <c r="IK47" t="e">
        <f>AND(#REF!,"AAAAAHq/r/Q=")</f>
        <v>#REF!</v>
      </c>
      <c r="IL47" t="e">
        <f>AND(#REF!,"AAAAAHq/r/U=")</f>
        <v>#REF!</v>
      </c>
      <c r="IM47" t="e">
        <f>AND(#REF!,"AAAAAHq/r/Y=")</f>
        <v>#REF!</v>
      </c>
      <c r="IN47" t="e">
        <f>AND(#REF!,"AAAAAHq/r/c=")</f>
        <v>#REF!</v>
      </c>
      <c r="IO47" t="e">
        <f>AND(#REF!,"AAAAAHq/r/g=")</f>
        <v>#REF!</v>
      </c>
      <c r="IP47" t="e">
        <f>AND(#REF!,"AAAAAHq/r/k=")</f>
        <v>#REF!</v>
      </c>
      <c r="IQ47" t="e">
        <f>AND(#REF!,"AAAAAHq/r/o=")</f>
        <v>#REF!</v>
      </c>
      <c r="IR47" t="e">
        <f>AND(#REF!,"AAAAAHq/r/s=")</f>
        <v>#REF!</v>
      </c>
      <c r="IS47" t="e">
        <f>AND(#REF!,"AAAAAHq/r/w=")</f>
        <v>#REF!</v>
      </c>
      <c r="IT47" t="e">
        <f>AND(#REF!,"AAAAAHq/r/0=")</f>
        <v>#REF!</v>
      </c>
      <c r="IU47" t="e">
        <f>AND(#REF!,"AAAAAHq/r/4=")</f>
        <v>#REF!</v>
      </c>
      <c r="IV47" t="e">
        <f>AND(#REF!,"AAAAAHq/r/8=")</f>
        <v>#REF!</v>
      </c>
    </row>
    <row r="48" spans="1:256">
      <c r="A48" t="e">
        <f>AND(#REF!,"AAAAAHPn6wA=")</f>
        <v>#REF!</v>
      </c>
      <c r="B48" t="e">
        <f>AND(#REF!,"AAAAAHPn6wE=")</f>
        <v>#REF!</v>
      </c>
      <c r="C48" t="e">
        <f>AND(#REF!,"AAAAAHPn6wI=")</f>
        <v>#REF!</v>
      </c>
      <c r="D48" t="e">
        <f>AND(#REF!,"AAAAAHPn6wM=")</f>
        <v>#REF!</v>
      </c>
      <c r="E48" t="e">
        <f>AND(#REF!,"AAAAAHPn6wQ=")</f>
        <v>#REF!</v>
      </c>
      <c r="F48" t="e">
        <f>AND(#REF!,"AAAAAHPn6wU=")</f>
        <v>#REF!</v>
      </c>
      <c r="G48" t="e">
        <f>AND(#REF!,"AAAAAHPn6wY=")</f>
        <v>#REF!</v>
      </c>
      <c r="H48" t="e">
        <f>AND(#REF!,"AAAAAHPn6wc=")</f>
        <v>#REF!</v>
      </c>
      <c r="I48" t="e">
        <f>AND(#REF!,"AAAAAHPn6wg=")</f>
        <v>#REF!</v>
      </c>
      <c r="J48" t="e">
        <f>AND(#REF!,"AAAAAHPn6wk=")</f>
        <v>#REF!</v>
      </c>
      <c r="K48" t="e">
        <f>AND(#REF!,"AAAAAHPn6wo=")</f>
        <v>#REF!</v>
      </c>
      <c r="L48" t="e">
        <f>AND(#REF!,"AAAAAHPn6ws=")</f>
        <v>#REF!</v>
      </c>
      <c r="M48" t="e">
        <f>AND(#REF!,"AAAAAHPn6ww=")</f>
        <v>#REF!</v>
      </c>
      <c r="N48" t="e">
        <f>AND(#REF!,"AAAAAHPn6w0=")</f>
        <v>#REF!</v>
      </c>
      <c r="O48" t="e">
        <f>AND(#REF!,"AAAAAHPn6w4=")</f>
        <v>#REF!</v>
      </c>
      <c r="P48" t="e">
        <f>AND(#REF!,"AAAAAHPn6w8=")</f>
        <v>#REF!</v>
      </c>
      <c r="Q48" t="e">
        <f>AND(#REF!,"AAAAAHPn6xA=")</f>
        <v>#REF!</v>
      </c>
      <c r="R48" t="e">
        <f>AND(#REF!,"AAAAAHPn6xE=")</f>
        <v>#REF!</v>
      </c>
      <c r="S48" t="e">
        <f>AND(#REF!,"AAAAAHPn6xI=")</f>
        <v>#REF!</v>
      </c>
      <c r="T48" t="e">
        <f>AND(#REF!,"AAAAAHPn6xM=")</f>
        <v>#REF!</v>
      </c>
      <c r="U48" t="e">
        <f>AND(#REF!,"AAAAAHPn6xQ=")</f>
        <v>#REF!</v>
      </c>
      <c r="V48" t="e">
        <f>AND(#REF!,"AAAAAHPn6xU=")</f>
        <v>#REF!</v>
      </c>
      <c r="W48" t="e">
        <f>AND(#REF!,"AAAAAHPn6xY=")</f>
        <v>#REF!</v>
      </c>
      <c r="X48" t="e">
        <f>AND(#REF!,"AAAAAHPn6xc=")</f>
        <v>#REF!</v>
      </c>
      <c r="Y48" t="e">
        <f>AND(#REF!,"AAAAAHPn6xg=")</f>
        <v>#REF!</v>
      </c>
      <c r="Z48" t="e">
        <f>AND(#REF!,"AAAAAHPn6xk=")</f>
        <v>#REF!</v>
      </c>
      <c r="AA48" t="e">
        <f>AND(#REF!,"AAAAAHPn6xo=")</f>
        <v>#REF!</v>
      </c>
      <c r="AB48" t="e">
        <f>AND(#REF!,"AAAAAHPn6xs=")</f>
        <v>#REF!</v>
      </c>
      <c r="AC48" t="e">
        <f>AND(#REF!,"AAAAAHPn6xw=")</f>
        <v>#REF!</v>
      </c>
      <c r="AD48" t="e">
        <f>AND(#REF!,"AAAAAHPn6x0=")</f>
        <v>#REF!</v>
      </c>
      <c r="AE48" t="e">
        <f>AND(#REF!,"AAAAAHPn6x4=")</f>
        <v>#REF!</v>
      </c>
      <c r="AF48" t="e">
        <f>AND(#REF!,"AAAAAHPn6x8=")</f>
        <v>#REF!</v>
      </c>
      <c r="AG48" t="e">
        <f>AND(#REF!,"AAAAAHPn6yA=")</f>
        <v>#REF!</v>
      </c>
      <c r="AH48" t="e">
        <f>AND(#REF!,"AAAAAHPn6yE=")</f>
        <v>#REF!</v>
      </c>
      <c r="AI48" t="e">
        <f>AND(#REF!,"AAAAAHPn6yI=")</f>
        <v>#REF!</v>
      </c>
      <c r="AJ48" t="e">
        <f>AND(#REF!,"AAAAAHPn6yM=")</f>
        <v>#REF!</v>
      </c>
      <c r="AK48" t="e">
        <f>AND(#REF!,"AAAAAHPn6yQ=")</f>
        <v>#REF!</v>
      </c>
      <c r="AL48" t="e">
        <f>AND(#REF!,"AAAAAHPn6yU=")</f>
        <v>#REF!</v>
      </c>
      <c r="AM48" t="e">
        <f>AND(#REF!,"AAAAAHPn6yY=")</f>
        <v>#REF!</v>
      </c>
      <c r="AN48" t="e">
        <f>AND(#REF!,"AAAAAHPn6yc=")</f>
        <v>#REF!</v>
      </c>
      <c r="AO48" t="e">
        <f>AND(#REF!,"AAAAAHPn6yg=")</f>
        <v>#REF!</v>
      </c>
      <c r="AP48" t="e">
        <f>AND(#REF!,"AAAAAHPn6yk=")</f>
        <v>#REF!</v>
      </c>
      <c r="AQ48" t="e">
        <f>AND(#REF!,"AAAAAHPn6yo=")</f>
        <v>#REF!</v>
      </c>
      <c r="AR48" t="e">
        <f>AND(#REF!,"AAAAAHPn6ys=")</f>
        <v>#REF!</v>
      </c>
      <c r="AS48" t="e">
        <f>AND(#REF!,"AAAAAHPn6yw=")</f>
        <v>#REF!</v>
      </c>
      <c r="AT48" t="e">
        <f>AND(#REF!,"AAAAAHPn6y0=")</f>
        <v>#REF!</v>
      </c>
      <c r="AU48" t="e">
        <f>AND(#REF!,"AAAAAHPn6y4=")</f>
        <v>#REF!</v>
      </c>
      <c r="AV48" t="e">
        <f>AND(#REF!,"AAAAAHPn6y8=")</f>
        <v>#REF!</v>
      </c>
      <c r="AW48" t="e">
        <f>AND(#REF!,"AAAAAHPn6zA=")</f>
        <v>#REF!</v>
      </c>
      <c r="AX48" t="e">
        <f>AND(#REF!,"AAAAAHPn6zE=")</f>
        <v>#REF!</v>
      </c>
      <c r="AY48" t="e">
        <f>AND(#REF!,"AAAAAHPn6zI=")</f>
        <v>#REF!</v>
      </c>
      <c r="AZ48" t="e">
        <f>AND(#REF!,"AAAAAHPn6zM=")</f>
        <v>#REF!</v>
      </c>
      <c r="BA48" t="e">
        <f>AND(#REF!,"AAAAAHPn6zQ=")</f>
        <v>#REF!</v>
      </c>
      <c r="BB48" t="e">
        <f>AND(#REF!,"AAAAAHPn6zU=")</f>
        <v>#REF!</v>
      </c>
      <c r="BC48" t="e">
        <f>AND(#REF!,"AAAAAHPn6zY=")</f>
        <v>#REF!</v>
      </c>
      <c r="BD48" t="e">
        <f>AND(#REF!,"AAAAAHPn6zc=")</f>
        <v>#REF!</v>
      </c>
      <c r="BE48" t="e">
        <f>AND(#REF!,"AAAAAHPn6zg=")</f>
        <v>#REF!</v>
      </c>
      <c r="BF48" t="e">
        <f>AND(#REF!,"AAAAAHPn6zk=")</f>
        <v>#REF!</v>
      </c>
      <c r="BG48" t="e">
        <f>AND(#REF!,"AAAAAHPn6zo=")</f>
        <v>#REF!</v>
      </c>
      <c r="BH48" t="e">
        <f>AND(#REF!,"AAAAAHPn6zs=")</f>
        <v>#REF!</v>
      </c>
      <c r="BI48" t="e">
        <f>AND(#REF!,"AAAAAHPn6zw=")</f>
        <v>#REF!</v>
      </c>
      <c r="BJ48" t="e">
        <f>AND(#REF!,"AAAAAHPn6z0=")</f>
        <v>#REF!</v>
      </c>
      <c r="BK48" t="e">
        <f>AND(#REF!,"AAAAAHPn6z4=")</f>
        <v>#REF!</v>
      </c>
      <c r="BL48" t="e">
        <f>AND(#REF!,"AAAAAHPn6z8=")</f>
        <v>#REF!</v>
      </c>
      <c r="BM48" t="e">
        <f>AND(#REF!,"AAAAAHPn60A=")</f>
        <v>#REF!</v>
      </c>
      <c r="BN48" t="e">
        <f>AND(#REF!,"AAAAAHPn60E=")</f>
        <v>#REF!</v>
      </c>
      <c r="BO48" t="e">
        <f>AND(#REF!,"AAAAAHPn60I=")</f>
        <v>#REF!</v>
      </c>
      <c r="BP48" t="e">
        <f>AND(#REF!,"AAAAAHPn60M=")</f>
        <v>#REF!</v>
      </c>
      <c r="BQ48" t="e">
        <f>AND(#REF!,"AAAAAHPn60Q=")</f>
        <v>#REF!</v>
      </c>
      <c r="BR48" t="e">
        <f>AND(#REF!,"AAAAAHPn60U=")</f>
        <v>#REF!</v>
      </c>
      <c r="BS48" t="e">
        <f>AND(#REF!,"AAAAAHPn60Y=")</f>
        <v>#REF!</v>
      </c>
      <c r="BT48" t="e">
        <f>AND(#REF!,"AAAAAHPn60c=")</f>
        <v>#REF!</v>
      </c>
      <c r="BU48" t="e">
        <f>AND(#REF!,"AAAAAHPn60g=")</f>
        <v>#REF!</v>
      </c>
      <c r="BV48" t="e">
        <f>AND(#REF!,"AAAAAHPn60k=")</f>
        <v>#REF!</v>
      </c>
      <c r="BW48" t="e">
        <f>AND(#REF!,"AAAAAHPn60o=")</f>
        <v>#REF!</v>
      </c>
      <c r="BX48" t="e">
        <f>AND(#REF!,"AAAAAHPn60s=")</f>
        <v>#REF!</v>
      </c>
      <c r="BY48" t="e">
        <f>AND(#REF!,"AAAAAHPn60w=")</f>
        <v>#REF!</v>
      </c>
      <c r="BZ48" t="e">
        <f>AND(#REF!,"AAAAAHPn600=")</f>
        <v>#REF!</v>
      </c>
      <c r="CA48" t="e">
        <f>AND(#REF!,"AAAAAHPn604=")</f>
        <v>#REF!</v>
      </c>
      <c r="CB48" t="e">
        <f>AND(#REF!,"AAAAAHPn608=")</f>
        <v>#REF!</v>
      </c>
      <c r="CC48" t="e">
        <f>AND(#REF!,"AAAAAHPn61A=")</f>
        <v>#REF!</v>
      </c>
      <c r="CD48" t="e">
        <f>AND(#REF!,"AAAAAHPn61E=")</f>
        <v>#REF!</v>
      </c>
      <c r="CE48" t="e">
        <f>AND(#REF!,"AAAAAHPn61I=")</f>
        <v>#REF!</v>
      </c>
      <c r="CF48" t="e">
        <f>AND(#REF!,"AAAAAHPn61M=")</f>
        <v>#REF!</v>
      </c>
      <c r="CG48" t="e">
        <f>AND(#REF!,"AAAAAHPn61Q=")</f>
        <v>#REF!</v>
      </c>
      <c r="CH48" t="e">
        <f>AND(#REF!,"AAAAAHPn61U=")</f>
        <v>#REF!</v>
      </c>
      <c r="CI48" t="e">
        <f>AND(#REF!,"AAAAAHPn61Y=")</f>
        <v>#REF!</v>
      </c>
      <c r="CJ48" t="e">
        <f>AND(#REF!,"AAAAAHPn61c=")</f>
        <v>#REF!</v>
      </c>
      <c r="CK48" t="e">
        <f>AND(#REF!,"AAAAAHPn61g=")</f>
        <v>#REF!</v>
      </c>
      <c r="CL48" t="e">
        <f>AND(#REF!,"AAAAAHPn61k=")</f>
        <v>#REF!</v>
      </c>
      <c r="CM48" t="e">
        <f>AND(#REF!,"AAAAAHPn61o=")</f>
        <v>#REF!</v>
      </c>
      <c r="CN48" t="e">
        <f>AND(#REF!,"AAAAAHPn61s=")</f>
        <v>#REF!</v>
      </c>
      <c r="CO48" t="e">
        <f>AND(#REF!,"AAAAAHPn61w=")</f>
        <v>#REF!</v>
      </c>
      <c r="CP48" t="e">
        <f>AND(#REF!,"AAAAAHPn610=")</f>
        <v>#REF!</v>
      </c>
      <c r="CQ48" t="e">
        <f>AND(#REF!,"AAAAAHPn614=")</f>
        <v>#REF!</v>
      </c>
      <c r="CR48" t="e">
        <f>AND(#REF!,"AAAAAHPn618=")</f>
        <v>#REF!</v>
      </c>
      <c r="CS48" t="e">
        <f>AND(#REF!,"AAAAAHPn62A=")</f>
        <v>#REF!</v>
      </c>
      <c r="CT48" t="e">
        <f>AND(#REF!,"AAAAAHPn62E=")</f>
        <v>#REF!</v>
      </c>
      <c r="CU48" t="e">
        <f>AND(#REF!,"AAAAAHPn62I=")</f>
        <v>#REF!</v>
      </c>
      <c r="CV48" t="e">
        <f>AND(#REF!,"AAAAAHPn62M=")</f>
        <v>#REF!</v>
      </c>
      <c r="CW48" t="e">
        <f>AND(#REF!,"AAAAAHPn62Q=")</f>
        <v>#REF!</v>
      </c>
      <c r="CX48" t="e">
        <f>AND(#REF!,"AAAAAHPn62U=")</f>
        <v>#REF!</v>
      </c>
      <c r="CY48" t="e">
        <f>AND(#REF!,"AAAAAHPn62Y=")</f>
        <v>#REF!</v>
      </c>
      <c r="CZ48" t="e">
        <f>AND(#REF!,"AAAAAHPn62c=")</f>
        <v>#REF!</v>
      </c>
      <c r="DA48" t="e">
        <f>AND(#REF!,"AAAAAHPn62g=")</f>
        <v>#REF!</v>
      </c>
      <c r="DB48" t="e">
        <f>AND(#REF!,"AAAAAHPn62k=")</f>
        <v>#REF!</v>
      </c>
      <c r="DC48" t="e">
        <f>AND(#REF!,"AAAAAHPn62o=")</f>
        <v>#REF!</v>
      </c>
      <c r="DD48" t="e">
        <f>AND(#REF!,"AAAAAHPn62s=")</f>
        <v>#REF!</v>
      </c>
      <c r="DE48" t="e">
        <f>AND(#REF!,"AAAAAHPn62w=")</f>
        <v>#REF!</v>
      </c>
      <c r="DF48" t="e">
        <f>AND(#REF!,"AAAAAHPn620=")</f>
        <v>#REF!</v>
      </c>
      <c r="DG48" t="e">
        <f>AND(#REF!,"AAAAAHPn624=")</f>
        <v>#REF!</v>
      </c>
      <c r="DH48" t="e">
        <f>AND(#REF!,"AAAAAHPn628=")</f>
        <v>#REF!</v>
      </c>
      <c r="DI48" t="e">
        <f>AND(#REF!,"AAAAAHPn63A=")</f>
        <v>#REF!</v>
      </c>
      <c r="DJ48" t="e">
        <f>AND(#REF!,"AAAAAHPn63E=")</f>
        <v>#REF!</v>
      </c>
      <c r="DK48" t="e">
        <f>AND(#REF!,"AAAAAHPn63I=")</f>
        <v>#REF!</v>
      </c>
      <c r="DL48" t="e">
        <f>AND(#REF!,"AAAAAHPn63M=")</f>
        <v>#REF!</v>
      </c>
      <c r="DM48" t="e">
        <f>AND(#REF!,"AAAAAHPn63Q=")</f>
        <v>#REF!</v>
      </c>
      <c r="DN48" t="e">
        <f>AND(#REF!,"AAAAAHPn63U=")</f>
        <v>#REF!</v>
      </c>
      <c r="DO48" t="e">
        <f>AND(#REF!,"AAAAAHPn63Y=")</f>
        <v>#REF!</v>
      </c>
      <c r="DP48" t="e">
        <f>AND(#REF!,"AAAAAHPn63c=")</f>
        <v>#REF!</v>
      </c>
      <c r="DQ48" t="e">
        <f>AND(#REF!,"AAAAAHPn63g=")</f>
        <v>#REF!</v>
      </c>
      <c r="DR48" t="e">
        <f>AND(#REF!,"AAAAAHPn63k=")</f>
        <v>#REF!</v>
      </c>
      <c r="DS48" t="e">
        <f>AND(#REF!,"AAAAAHPn63o=")</f>
        <v>#REF!</v>
      </c>
      <c r="DT48" t="e">
        <f>AND(#REF!,"AAAAAHPn63s=")</f>
        <v>#REF!</v>
      </c>
      <c r="DU48" t="e">
        <f>AND(#REF!,"AAAAAHPn63w=")</f>
        <v>#REF!</v>
      </c>
      <c r="DV48" t="e">
        <f>AND(#REF!,"AAAAAHPn630=")</f>
        <v>#REF!</v>
      </c>
      <c r="DW48" t="e">
        <f>AND(#REF!,"AAAAAHPn634=")</f>
        <v>#REF!</v>
      </c>
      <c r="DX48" t="e">
        <f>AND(#REF!,"AAAAAHPn638=")</f>
        <v>#REF!</v>
      </c>
      <c r="DY48" t="e">
        <f>AND(#REF!,"AAAAAHPn64A=")</f>
        <v>#REF!</v>
      </c>
      <c r="DZ48" t="e">
        <f>AND(#REF!,"AAAAAHPn64E=")</f>
        <v>#REF!</v>
      </c>
      <c r="EA48" t="e">
        <f>AND(#REF!,"AAAAAHPn64I=")</f>
        <v>#REF!</v>
      </c>
      <c r="EB48" t="e">
        <f>AND(#REF!,"AAAAAHPn64M=")</f>
        <v>#REF!</v>
      </c>
      <c r="EC48" t="e">
        <f>AND(#REF!,"AAAAAHPn64Q=")</f>
        <v>#REF!</v>
      </c>
      <c r="ED48" t="e">
        <f>AND(#REF!,"AAAAAHPn64U=")</f>
        <v>#REF!</v>
      </c>
      <c r="EE48" t="e">
        <f>AND(#REF!,"AAAAAHPn64Y=")</f>
        <v>#REF!</v>
      </c>
      <c r="EF48" t="e">
        <f>AND(#REF!,"AAAAAHPn64c=")</f>
        <v>#REF!</v>
      </c>
      <c r="EG48" t="e">
        <f>AND(#REF!,"AAAAAHPn64g=")</f>
        <v>#REF!</v>
      </c>
      <c r="EH48" t="e">
        <f>AND(#REF!,"AAAAAHPn64k=")</f>
        <v>#REF!</v>
      </c>
      <c r="EI48" t="e">
        <f>AND(#REF!,"AAAAAHPn64o=")</f>
        <v>#REF!</v>
      </c>
      <c r="EJ48" t="e">
        <f>AND(#REF!,"AAAAAHPn64s=")</f>
        <v>#REF!</v>
      </c>
      <c r="EK48" t="e">
        <f>AND(#REF!,"AAAAAHPn64w=")</f>
        <v>#REF!</v>
      </c>
      <c r="EL48" t="e">
        <f>AND(#REF!,"AAAAAHPn640=")</f>
        <v>#REF!</v>
      </c>
      <c r="EM48" t="e">
        <f>AND(#REF!,"AAAAAHPn644=")</f>
        <v>#REF!</v>
      </c>
      <c r="EN48" t="e">
        <f>AND(#REF!,"AAAAAHPn648=")</f>
        <v>#REF!</v>
      </c>
      <c r="EO48" t="e">
        <f>AND(#REF!,"AAAAAHPn65A=")</f>
        <v>#REF!</v>
      </c>
      <c r="EP48" t="e">
        <f>AND(#REF!,"AAAAAHPn65E=")</f>
        <v>#REF!</v>
      </c>
      <c r="EQ48" t="e">
        <f>AND(#REF!,"AAAAAHPn65I=")</f>
        <v>#REF!</v>
      </c>
      <c r="ER48" t="e">
        <f>AND(#REF!,"AAAAAHPn65M=")</f>
        <v>#REF!</v>
      </c>
      <c r="ES48" t="e">
        <f>AND(#REF!,"AAAAAHPn65Q=")</f>
        <v>#REF!</v>
      </c>
      <c r="ET48" t="e">
        <f>AND(#REF!,"AAAAAHPn65U=")</f>
        <v>#REF!</v>
      </c>
      <c r="EU48" t="e">
        <f>AND(#REF!,"AAAAAHPn65Y=")</f>
        <v>#REF!</v>
      </c>
      <c r="EV48" t="e">
        <f>AND(#REF!,"AAAAAHPn65c=")</f>
        <v>#REF!</v>
      </c>
      <c r="EW48" t="e">
        <f>AND(#REF!,"AAAAAHPn65g=")</f>
        <v>#REF!</v>
      </c>
      <c r="EX48" t="e">
        <f>AND(#REF!,"AAAAAHPn65k=")</f>
        <v>#REF!</v>
      </c>
      <c r="EY48" t="e">
        <f>AND(#REF!,"AAAAAHPn65o=")</f>
        <v>#REF!</v>
      </c>
      <c r="EZ48" t="e">
        <f>AND(#REF!,"AAAAAHPn65s=")</f>
        <v>#REF!</v>
      </c>
      <c r="FA48" t="e">
        <f>AND(#REF!,"AAAAAHPn65w=")</f>
        <v>#REF!</v>
      </c>
      <c r="FB48" t="e">
        <f>AND(#REF!,"AAAAAHPn650=")</f>
        <v>#REF!</v>
      </c>
      <c r="FC48" t="e">
        <f>AND(#REF!,"AAAAAHPn654=")</f>
        <v>#REF!</v>
      </c>
      <c r="FD48" t="e">
        <f>AND(#REF!,"AAAAAHPn658=")</f>
        <v>#REF!</v>
      </c>
      <c r="FE48" t="e">
        <f>AND(#REF!,"AAAAAHPn66A=")</f>
        <v>#REF!</v>
      </c>
      <c r="FF48" t="e">
        <f>AND(#REF!,"AAAAAHPn66E=")</f>
        <v>#REF!</v>
      </c>
      <c r="FG48" t="e">
        <f>AND(#REF!,"AAAAAHPn66I=")</f>
        <v>#REF!</v>
      </c>
      <c r="FH48" t="e">
        <f>AND(#REF!,"AAAAAHPn66M=")</f>
        <v>#REF!</v>
      </c>
      <c r="FI48" t="e">
        <f>AND(#REF!,"AAAAAHPn66Q=")</f>
        <v>#REF!</v>
      </c>
      <c r="FJ48" t="e">
        <f>AND(#REF!,"AAAAAHPn66U=")</f>
        <v>#REF!</v>
      </c>
      <c r="FK48" t="e">
        <f>AND(#REF!,"AAAAAHPn66Y=")</f>
        <v>#REF!</v>
      </c>
      <c r="FL48" t="e">
        <f>AND(#REF!,"AAAAAHPn66c=")</f>
        <v>#REF!</v>
      </c>
      <c r="FM48" t="e">
        <f>AND(#REF!,"AAAAAHPn66g=")</f>
        <v>#REF!</v>
      </c>
      <c r="FN48" t="e">
        <f>AND(#REF!,"AAAAAHPn66k=")</f>
        <v>#REF!</v>
      </c>
      <c r="FO48" t="e">
        <f>AND(#REF!,"AAAAAHPn66o=")</f>
        <v>#REF!</v>
      </c>
      <c r="FP48" t="e">
        <f>AND(#REF!,"AAAAAHPn66s=")</f>
        <v>#REF!</v>
      </c>
      <c r="FQ48" t="e">
        <f>AND(#REF!,"AAAAAHPn66w=")</f>
        <v>#REF!</v>
      </c>
      <c r="FR48" t="e">
        <f>AND(#REF!,"AAAAAHPn660=")</f>
        <v>#REF!</v>
      </c>
      <c r="FS48" t="e">
        <f>AND(#REF!,"AAAAAHPn664=")</f>
        <v>#REF!</v>
      </c>
      <c r="FT48" t="e">
        <f>AND(#REF!,"AAAAAHPn668=")</f>
        <v>#REF!</v>
      </c>
      <c r="FU48" t="e">
        <f>AND(#REF!,"AAAAAHPn67A=")</f>
        <v>#REF!</v>
      </c>
      <c r="FV48" t="e">
        <f>AND(#REF!,"AAAAAHPn67E=")</f>
        <v>#REF!</v>
      </c>
      <c r="FW48" t="e">
        <f>AND(#REF!,"AAAAAHPn67I=")</f>
        <v>#REF!</v>
      </c>
      <c r="FX48" t="e">
        <f>AND(#REF!,"AAAAAHPn67M=")</f>
        <v>#REF!</v>
      </c>
      <c r="FY48" t="e">
        <f>AND(#REF!,"AAAAAHPn67Q=")</f>
        <v>#REF!</v>
      </c>
      <c r="FZ48" t="e">
        <f>AND(#REF!,"AAAAAHPn67U=")</f>
        <v>#REF!</v>
      </c>
      <c r="GA48" t="e">
        <f>AND(#REF!,"AAAAAHPn67Y=")</f>
        <v>#REF!</v>
      </c>
      <c r="GB48" t="e">
        <f>AND(#REF!,"AAAAAHPn67c=")</f>
        <v>#REF!</v>
      </c>
      <c r="GC48" t="e">
        <f>AND(#REF!,"AAAAAHPn67g=")</f>
        <v>#REF!</v>
      </c>
      <c r="GD48" t="e">
        <f>AND(#REF!,"AAAAAHPn67k=")</f>
        <v>#REF!</v>
      </c>
      <c r="GE48" t="e">
        <f>AND(#REF!,"AAAAAHPn67o=")</f>
        <v>#REF!</v>
      </c>
      <c r="GF48" t="e">
        <f>AND(#REF!,"AAAAAHPn67s=")</f>
        <v>#REF!</v>
      </c>
      <c r="GG48" t="e">
        <f>AND(#REF!,"AAAAAHPn67w=")</f>
        <v>#REF!</v>
      </c>
      <c r="GH48" t="e">
        <f>AND(#REF!,"AAAAAHPn670=")</f>
        <v>#REF!</v>
      </c>
      <c r="GI48" t="e">
        <f>AND(#REF!,"AAAAAHPn674=")</f>
        <v>#REF!</v>
      </c>
      <c r="GJ48" t="e">
        <f>AND(#REF!,"AAAAAHPn678=")</f>
        <v>#REF!</v>
      </c>
      <c r="GK48" t="e">
        <f>AND(#REF!,"AAAAAHPn68A=")</f>
        <v>#REF!</v>
      </c>
      <c r="GL48" t="e">
        <f>AND(#REF!,"AAAAAHPn68E=")</f>
        <v>#REF!</v>
      </c>
      <c r="GM48" t="e">
        <f>AND(#REF!,"AAAAAHPn68I=")</f>
        <v>#REF!</v>
      </c>
      <c r="GN48" t="e">
        <f>AND(#REF!,"AAAAAHPn68M=")</f>
        <v>#REF!</v>
      </c>
      <c r="GO48" t="e">
        <f>AND(#REF!,"AAAAAHPn68Q=")</f>
        <v>#REF!</v>
      </c>
      <c r="GP48" t="e">
        <f>AND(#REF!,"AAAAAHPn68U=")</f>
        <v>#REF!</v>
      </c>
      <c r="GQ48" t="e">
        <f>AND(#REF!,"AAAAAHPn68Y=")</f>
        <v>#REF!</v>
      </c>
      <c r="GR48" t="e">
        <f>AND(#REF!,"AAAAAHPn68c=")</f>
        <v>#REF!</v>
      </c>
      <c r="GS48" t="e">
        <f>AND(#REF!,"AAAAAHPn68g=")</f>
        <v>#REF!</v>
      </c>
      <c r="GT48" t="e">
        <f>AND(#REF!,"AAAAAHPn68k=")</f>
        <v>#REF!</v>
      </c>
      <c r="GU48" t="e">
        <f>AND(#REF!,"AAAAAHPn68o=")</f>
        <v>#REF!</v>
      </c>
      <c r="GV48" t="e">
        <f>AND(#REF!,"AAAAAHPn68s=")</f>
        <v>#REF!</v>
      </c>
      <c r="GW48" t="e">
        <f>AND(#REF!,"AAAAAHPn68w=")</f>
        <v>#REF!</v>
      </c>
      <c r="GX48" t="e">
        <f>AND(#REF!,"AAAAAHPn680=")</f>
        <v>#REF!</v>
      </c>
      <c r="GY48" t="e">
        <f>AND(#REF!,"AAAAAHPn684=")</f>
        <v>#REF!</v>
      </c>
      <c r="GZ48" t="e">
        <f>AND(#REF!,"AAAAAHPn688=")</f>
        <v>#REF!</v>
      </c>
      <c r="HA48" t="e">
        <f>AND(#REF!,"AAAAAHPn69A=")</f>
        <v>#REF!</v>
      </c>
      <c r="HB48" t="e">
        <f>AND(#REF!,"AAAAAHPn69E=")</f>
        <v>#REF!</v>
      </c>
      <c r="HC48" t="e">
        <f>AND(#REF!,"AAAAAHPn69I=")</f>
        <v>#REF!</v>
      </c>
      <c r="HD48" t="e">
        <f>AND(#REF!,"AAAAAHPn69M=")</f>
        <v>#REF!</v>
      </c>
      <c r="HE48" t="e">
        <f>AND(#REF!,"AAAAAHPn69Q=")</f>
        <v>#REF!</v>
      </c>
      <c r="HF48" t="e">
        <f>AND(#REF!,"AAAAAHPn69U=")</f>
        <v>#REF!</v>
      </c>
      <c r="HG48" t="e">
        <f>AND(#REF!,"AAAAAHPn69Y=")</f>
        <v>#REF!</v>
      </c>
      <c r="HH48" t="e">
        <f>AND(#REF!,"AAAAAHPn69c=")</f>
        <v>#REF!</v>
      </c>
      <c r="HI48" t="e">
        <f>AND(#REF!,"AAAAAHPn69g=")</f>
        <v>#REF!</v>
      </c>
      <c r="HJ48" t="e">
        <f>AND(#REF!,"AAAAAHPn69k=")</f>
        <v>#REF!</v>
      </c>
      <c r="HK48" t="e">
        <f>AND(#REF!,"AAAAAHPn69o=")</f>
        <v>#REF!</v>
      </c>
      <c r="HL48" t="e">
        <f>AND(#REF!,"AAAAAHPn69s=")</f>
        <v>#REF!</v>
      </c>
      <c r="HM48" t="e">
        <f>AND(#REF!,"AAAAAHPn69w=")</f>
        <v>#REF!</v>
      </c>
      <c r="HN48" t="e">
        <f>AND(#REF!,"AAAAAHPn690=")</f>
        <v>#REF!</v>
      </c>
      <c r="HO48" t="e">
        <f>AND(#REF!,"AAAAAHPn694=")</f>
        <v>#REF!</v>
      </c>
      <c r="HP48" t="e">
        <f>AND(#REF!,"AAAAAHPn698=")</f>
        <v>#REF!</v>
      </c>
      <c r="HQ48" t="e">
        <f>AND(#REF!,"AAAAAHPn6+A=")</f>
        <v>#REF!</v>
      </c>
      <c r="HR48" t="e">
        <f>AND(#REF!,"AAAAAHPn6+E=")</f>
        <v>#REF!</v>
      </c>
      <c r="HS48" t="e">
        <f>AND(#REF!,"AAAAAHPn6+I=")</f>
        <v>#REF!</v>
      </c>
      <c r="HT48" t="e">
        <f>AND(#REF!,"AAAAAHPn6+M=")</f>
        <v>#REF!</v>
      </c>
      <c r="HU48" t="e">
        <f>AND(#REF!,"AAAAAHPn6+Q=")</f>
        <v>#REF!</v>
      </c>
      <c r="HV48" t="e">
        <f>AND(#REF!,"AAAAAHPn6+U=")</f>
        <v>#REF!</v>
      </c>
      <c r="HW48" t="e">
        <f>AND(#REF!,"AAAAAHPn6+Y=")</f>
        <v>#REF!</v>
      </c>
      <c r="HX48" t="e">
        <f>AND(#REF!,"AAAAAHPn6+c=")</f>
        <v>#REF!</v>
      </c>
      <c r="HY48" t="e">
        <f>AND(#REF!,"AAAAAHPn6+g=")</f>
        <v>#REF!</v>
      </c>
      <c r="HZ48" t="e">
        <f>AND(#REF!,"AAAAAHPn6+k=")</f>
        <v>#REF!</v>
      </c>
      <c r="IA48" t="e">
        <f>AND(#REF!,"AAAAAHPn6+o=")</f>
        <v>#REF!</v>
      </c>
      <c r="IB48" t="e">
        <f>AND(#REF!,"AAAAAHPn6+s=")</f>
        <v>#REF!</v>
      </c>
      <c r="IC48" t="e">
        <f>AND(#REF!,"AAAAAHPn6+w=")</f>
        <v>#REF!</v>
      </c>
      <c r="ID48" t="e">
        <f>AND(#REF!,"AAAAAHPn6+0=")</f>
        <v>#REF!</v>
      </c>
      <c r="IE48" t="e">
        <f>AND(#REF!,"AAAAAHPn6+4=")</f>
        <v>#REF!</v>
      </c>
      <c r="IF48" t="e">
        <f>AND(#REF!,"AAAAAHPn6+8=")</f>
        <v>#REF!</v>
      </c>
      <c r="IG48" t="e">
        <f>AND(#REF!,"AAAAAHPn6/A=")</f>
        <v>#REF!</v>
      </c>
      <c r="IH48" t="e">
        <f>AND(#REF!,"AAAAAHPn6/E=")</f>
        <v>#REF!</v>
      </c>
      <c r="II48" t="e">
        <f>AND(#REF!,"AAAAAHPn6/I=")</f>
        <v>#REF!</v>
      </c>
      <c r="IJ48" t="e">
        <f>AND(#REF!,"AAAAAHPn6/M=")</f>
        <v>#REF!</v>
      </c>
      <c r="IK48" t="e">
        <f>AND(#REF!,"AAAAAHPn6/Q=")</f>
        <v>#REF!</v>
      </c>
      <c r="IL48" t="e">
        <f>AND(#REF!,"AAAAAHPn6/U=")</f>
        <v>#REF!</v>
      </c>
      <c r="IM48" t="e">
        <f>AND(#REF!,"AAAAAHPn6/Y=")</f>
        <v>#REF!</v>
      </c>
      <c r="IN48" t="e">
        <f>AND(#REF!,"AAAAAHPn6/c=")</f>
        <v>#REF!</v>
      </c>
      <c r="IO48" t="e">
        <f>AND(#REF!,"AAAAAHPn6/g=")</f>
        <v>#REF!</v>
      </c>
      <c r="IP48" t="e">
        <f>AND(#REF!,"AAAAAHPn6/k=")</f>
        <v>#REF!</v>
      </c>
      <c r="IQ48" t="e">
        <f>AND(#REF!,"AAAAAHPn6/o=")</f>
        <v>#REF!</v>
      </c>
      <c r="IR48" t="e">
        <f>AND(#REF!,"AAAAAHPn6/s=")</f>
        <v>#REF!</v>
      </c>
      <c r="IS48" t="e">
        <f>AND(#REF!,"AAAAAHPn6/w=")</f>
        <v>#REF!</v>
      </c>
      <c r="IT48" t="e">
        <f>AND(#REF!,"AAAAAHPn6/0=")</f>
        <v>#REF!</v>
      </c>
      <c r="IU48" t="e">
        <f>AND(#REF!,"AAAAAHPn6/4=")</f>
        <v>#REF!</v>
      </c>
      <c r="IV48" t="e">
        <f>AND(#REF!,"AAAAAHPn6/8=")</f>
        <v>#REF!</v>
      </c>
    </row>
    <row r="49" spans="1:256">
      <c r="A49" t="e">
        <f>AND(#REF!,"AAAAAFzr9wA=")</f>
        <v>#REF!</v>
      </c>
      <c r="B49" t="e">
        <f>AND(#REF!,"AAAAAFzr9wE=")</f>
        <v>#REF!</v>
      </c>
      <c r="C49" t="e">
        <f>AND(#REF!,"AAAAAFzr9wI=")</f>
        <v>#REF!</v>
      </c>
      <c r="D49" t="e">
        <f>AND(#REF!,"AAAAAFzr9wM=")</f>
        <v>#REF!</v>
      </c>
      <c r="E49" t="e">
        <f>AND(#REF!,"AAAAAFzr9wQ=")</f>
        <v>#REF!</v>
      </c>
      <c r="F49" t="e">
        <f>AND(#REF!,"AAAAAFzr9wU=")</f>
        <v>#REF!</v>
      </c>
      <c r="G49" t="e">
        <f>AND(#REF!,"AAAAAFzr9wY=")</f>
        <v>#REF!</v>
      </c>
      <c r="H49" t="e">
        <f>AND(#REF!,"AAAAAFzr9wc=")</f>
        <v>#REF!</v>
      </c>
      <c r="I49" t="e">
        <f>AND(#REF!,"AAAAAFzr9wg=")</f>
        <v>#REF!</v>
      </c>
      <c r="J49" t="e">
        <f>AND(#REF!,"AAAAAFzr9wk=")</f>
        <v>#REF!</v>
      </c>
      <c r="K49" t="e">
        <f>AND(#REF!,"AAAAAFzr9wo=")</f>
        <v>#REF!</v>
      </c>
      <c r="L49" t="e">
        <f>AND(#REF!,"AAAAAFzr9ws=")</f>
        <v>#REF!</v>
      </c>
      <c r="M49" t="e">
        <f>AND(#REF!,"AAAAAFzr9ww=")</f>
        <v>#REF!</v>
      </c>
      <c r="N49" t="e">
        <f>AND(#REF!,"AAAAAFzr9w0=")</f>
        <v>#REF!</v>
      </c>
      <c r="O49" t="e">
        <f>AND(#REF!,"AAAAAFzr9w4=")</f>
        <v>#REF!</v>
      </c>
      <c r="P49" t="e">
        <f>AND(#REF!,"AAAAAFzr9w8=")</f>
        <v>#REF!</v>
      </c>
      <c r="Q49" t="e">
        <f>AND(#REF!,"AAAAAFzr9xA=")</f>
        <v>#REF!</v>
      </c>
      <c r="R49" t="e">
        <f>AND(#REF!,"AAAAAFzr9xE=")</f>
        <v>#REF!</v>
      </c>
      <c r="S49" t="e">
        <f>AND(#REF!,"AAAAAFzr9xI=")</f>
        <v>#REF!</v>
      </c>
      <c r="T49" t="e">
        <f>AND(#REF!,"AAAAAFzr9xM=")</f>
        <v>#REF!</v>
      </c>
      <c r="U49" t="e">
        <f>AND(#REF!,"AAAAAFzr9xQ=")</f>
        <v>#REF!</v>
      </c>
      <c r="V49" t="e">
        <f>AND(#REF!,"AAAAAFzr9xU=")</f>
        <v>#REF!</v>
      </c>
      <c r="W49" t="e">
        <f>AND(#REF!,"AAAAAFzr9xY=")</f>
        <v>#REF!</v>
      </c>
      <c r="X49" t="e">
        <f>AND(#REF!,"AAAAAFzr9xc=")</f>
        <v>#REF!</v>
      </c>
      <c r="Y49" t="e">
        <f>AND(#REF!,"AAAAAFzr9xg=")</f>
        <v>#REF!</v>
      </c>
      <c r="Z49" t="e">
        <f>AND(#REF!,"AAAAAFzr9xk=")</f>
        <v>#REF!</v>
      </c>
      <c r="AA49" t="e">
        <f>AND(#REF!,"AAAAAFzr9xo=")</f>
        <v>#REF!</v>
      </c>
      <c r="AB49" t="e">
        <f>AND(#REF!,"AAAAAFzr9xs=")</f>
        <v>#REF!</v>
      </c>
      <c r="AC49" t="e">
        <f>AND(#REF!,"AAAAAFzr9xw=")</f>
        <v>#REF!</v>
      </c>
      <c r="AD49" t="e">
        <f>AND(#REF!,"AAAAAFzr9x0=")</f>
        <v>#REF!</v>
      </c>
      <c r="AE49" t="e">
        <f>AND(#REF!,"AAAAAFzr9x4=")</f>
        <v>#REF!</v>
      </c>
      <c r="AF49" t="e">
        <f>AND(#REF!,"AAAAAFzr9x8=")</f>
        <v>#REF!</v>
      </c>
      <c r="AG49" t="e">
        <f>AND(#REF!,"AAAAAFzr9yA=")</f>
        <v>#REF!</v>
      </c>
      <c r="AH49" t="e">
        <f>AND(#REF!,"AAAAAFzr9yE=")</f>
        <v>#REF!</v>
      </c>
      <c r="AI49" t="e">
        <f>AND(#REF!,"AAAAAFzr9yI=")</f>
        <v>#REF!</v>
      </c>
      <c r="AJ49" t="e">
        <f>AND(#REF!,"AAAAAFzr9yM=")</f>
        <v>#REF!</v>
      </c>
      <c r="AK49" t="e">
        <f>AND(#REF!,"AAAAAFzr9yQ=")</f>
        <v>#REF!</v>
      </c>
      <c r="AL49" t="e">
        <f>AND(#REF!,"AAAAAFzr9yU=")</f>
        <v>#REF!</v>
      </c>
      <c r="AM49" t="e">
        <f>AND(#REF!,"AAAAAFzr9yY=")</f>
        <v>#REF!</v>
      </c>
      <c r="AN49" t="e">
        <f>AND(#REF!,"AAAAAFzr9yc=")</f>
        <v>#REF!</v>
      </c>
      <c r="AO49" t="e">
        <f>AND(#REF!,"AAAAAFzr9yg=")</f>
        <v>#REF!</v>
      </c>
      <c r="AP49" t="e">
        <f>AND(#REF!,"AAAAAFzr9yk=")</f>
        <v>#REF!</v>
      </c>
      <c r="AQ49" t="e">
        <f>AND(#REF!,"AAAAAFzr9yo=")</f>
        <v>#REF!</v>
      </c>
      <c r="AR49" t="e">
        <f>AND(#REF!,"AAAAAFzr9ys=")</f>
        <v>#REF!</v>
      </c>
      <c r="AS49" t="e">
        <f>AND(#REF!,"AAAAAFzr9yw=")</f>
        <v>#REF!</v>
      </c>
      <c r="AT49" t="e">
        <f>AND(#REF!,"AAAAAFzr9y0=")</f>
        <v>#REF!</v>
      </c>
      <c r="AU49" t="e">
        <f>AND(#REF!,"AAAAAFzr9y4=")</f>
        <v>#REF!</v>
      </c>
      <c r="AV49" t="e">
        <f>AND(#REF!,"AAAAAFzr9y8=")</f>
        <v>#REF!</v>
      </c>
      <c r="AW49" t="e">
        <f>AND(#REF!,"AAAAAFzr9zA=")</f>
        <v>#REF!</v>
      </c>
      <c r="AX49" t="e">
        <f>AND(#REF!,"AAAAAFzr9zE=")</f>
        <v>#REF!</v>
      </c>
      <c r="AY49" t="e">
        <f>AND(#REF!,"AAAAAFzr9zI=")</f>
        <v>#REF!</v>
      </c>
      <c r="AZ49" t="e">
        <f>AND(#REF!,"AAAAAFzr9zM=")</f>
        <v>#REF!</v>
      </c>
      <c r="BA49" t="e">
        <f>AND(#REF!,"AAAAAFzr9zQ=")</f>
        <v>#REF!</v>
      </c>
      <c r="BB49" t="e">
        <f>AND(#REF!,"AAAAAFzr9zU=")</f>
        <v>#REF!</v>
      </c>
      <c r="BC49" t="e">
        <f>AND(#REF!,"AAAAAFzr9zY=")</f>
        <v>#REF!</v>
      </c>
      <c r="BD49" t="e">
        <f>AND(#REF!,"AAAAAFzr9zc=")</f>
        <v>#REF!</v>
      </c>
      <c r="BE49" t="e">
        <f>AND(#REF!,"AAAAAFzr9zg=")</f>
        <v>#REF!</v>
      </c>
      <c r="BF49" t="e">
        <f>AND(#REF!,"AAAAAFzr9zk=")</f>
        <v>#REF!</v>
      </c>
      <c r="BG49" t="e">
        <f>AND(#REF!,"AAAAAFzr9zo=")</f>
        <v>#REF!</v>
      </c>
      <c r="BH49" t="e">
        <f>AND(#REF!,"AAAAAFzr9zs=")</f>
        <v>#REF!</v>
      </c>
      <c r="BI49" t="e">
        <f>AND(#REF!,"AAAAAFzr9zw=")</f>
        <v>#REF!</v>
      </c>
      <c r="BJ49" t="e">
        <f>AND(#REF!,"AAAAAFzr9z0=")</f>
        <v>#REF!</v>
      </c>
      <c r="BK49" t="e">
        <f>AND(#REF!,"AAAAAFzr9z4=")</f>
        <v>#REF!</v>
      </c>
      <c r="BL49" t="e">
        <f>AND(#REF!,"AAAAAFzr9z8=")</f>
        <v>#REF!</v>
      </c>
      <c r="BM49" t="e">
        <f>AND(#REF!,"AAAAAFzr90A=")</f>
        <v>#REF!</v>
      </c>
      <c r="BN49" t="e">
        <f>AND(#REF!,"AAAAAFzr90E=")</f>
        <v>#REF!</v>
      </c>
      <c r="BO49" t="e">
        <f>AND(#REF!,"AAAAAFzr90I=")</f>
        <v>#REF!</v>
      </c>
      <c r="BP49" t="e">
        <f>AND(#REF!,"AAAAAFzr90M=")</f>
        <v>#REF!</v>
      </c>
      <c r="BQ49" t="e">
        <f>AND(#REF!,"AAAAAFzr90Q=")</f>
        <v>#REF!</v>
      </c>
      <c r="BR49" t="e">
        <f>AND(#REF!,"AAAAAFzr90U=")</f>
        <v>#REF!</v>
      </c>
      <c r="BS49" t="e">
        <f>AND(#REF!,"AAAAAFzr90Y=")</f>
        <v>#REF!</v>
      </c>
      <c r="BT49" t="e">
        <f>AND(#REF!,"AAAAAFzr90c=")</f>
        <v>#REF!</v>
      </c>
      <c r="BU49" t="e">
        <f>AND(#REF!,"AAAAAFzr90g=")</f>
        <v>#REF!</v>
      </c>
      <c r="BV49" t="e">
        <f>AND(#REF!,"AAAAAFzr90k=")</f>
        <v>#REF!</v>
      </c>
      <c r="BW49" t="e">
        <f>AND(#REF!,"AAAAAFzr90o=")</f>
        <v>#REF!</v>
      </c>
      <c r="BX49" t="e">
        <f>AND(#REF!,"AAAAAFzr90s=")</f>
        <v>#REF!</v>
      </c>
      <c r="BY49" t="e">
        <f>AND(#REF!,"AAAAAFzr90w=")</f>
        <v>#REF!</v>
      </c>
      <c r="BZ49" t="e">
        <f>AND(#REF!,"AAAAAFzr900=")</f>
        <v>#REF!</v>
      </c>
      <c r="CA49" t="e">
        <f>AND(#REF!,"AAAAAFzr904=")</f>
        <v>#REF!</v>
      </c>
      <c r="CB49" t="e">
        <f>AND(#REF!,"AAAAAFzr908=")</f>
        <v>#REF!</v>
      </c>
      <c r="CC49" t="e">
        <f>AND(#REF!,"AAAAAFzr91A=")</f>
        <v>#REF!</v>
      </c>
      <c r="CD49" t="e">
        <f>AND(#REF!,"AAAAAFzr91E=")</f>
        <v>#REF!</v>
      </c>
      <c r="CE49" t="e">
        <f>AND(#REF!,"AAAAAFzr91I=")</f>
        <v>#REF!</v>
      </c>
      <c r="CF49" t="e">
        <f>AND(#REF!,"AAAAAFzr91M=")</f>
        <v>#REF!</v>
      </c>
      <c r="CG49" t="e">
        <f>AND(#REF!,"AAAAAFzr91Q=")</f>
        <v>#REF!</v>
      </c>
      <c r="CH49" t="e">
        <f>AND(#REF!,"AAAAAFzr91U=")</f>
        <v>#REF!</v>
      </c>
      <c r="CI49" t="e">
        <f>AND(#REF!,"AAAAAFzr91Y=")</f>
        <v>#REF!</v>
      </c>
      <c r="CJ49" t="e">
        <f>AND(#REF!,"AAAAAFzr91c=")</f>
        <v>#REF!</v>
      </c>
      <c r="CK49" t="e">
        <f>AND(#REF!,"AAAAAFzr91g=")</f>
        <v>#REF!</v>
      </c>
      <c r="CL49" t="e">
        <f>AND(#REF!,"AAAAAFzr91k=")</f>
        <v>#REF!</v>
      </c>
      <c r="CM49" t="e">
        <f>AND(#REF!,"AAAAAFzr91o=")</f>
        <v>#REF!</v>
      </c>
      <c r="CN49" t="e">
        <f>AND(#REF!,"AAAAAFzr91s=")</f>
        <v>#REF!</v>
      </c>
      <c r="CO49" t="e">
        <f>AND(#REF!,"AAAAAFzr91w=")</f>
        <v>#REF!</v>
      </c>
      <c r="CP49" t="e">
        <f>AND(#REF!,"AAAAAFzr910=")</f>
        <v>#REF!</v>
      </c>
      <c r="CQ49" t="e">
        <f>AND(#REF!,"AAAAAFzr914=")</f>
        <v>#REF!</v>
      </c>
      <c r="CR49" t="e">
        <f>AND(#REF!,"AAAAAFzr918=")</f>
        <v>#REF!</v>
      </c>
      <c r="CS49" t="e">
        <f>AND(#REF!,"AAAAAFzr92A=")</f>
        <v>#REF!</v>
      </c>
      <c r="CT49" t="e">
        <f>AND(#REF!,"AAAAAFzr92E=")</f>
        <v>#REF!</v>
      </c>
      <c r="CU49" t="e">
        <f>AND(#REF!,"AAAAAFzr92I=")</f>
        <v>#REF!</v>
      </c>
      <c r="CV49" t="e">
        <f>AND(#REF!,"AAAAAFzr92M=")</f>
        <v>#REF!</v>
      </c>
      <c r="CW49" t="e">
        <f>AND(#REF!,"AAAAAFzr92Q=")</f>
        <v>#REF!</v>
      </c>
      <c r="CX49" t="e">
        <f>AND(#REF!,"AAAAAFzr92U=")</f>
        <v>#REF!</v>
      </c>
      <c r="CY49" t="e">
        <f>AND(#REF!,"AAAAAFzr92Y=")</f>
        <v>#REF!</v>
      </c>
      <c r="CZ49" t="e">
        <f>AND(#REF!,"AAAAAFzr92c=")</f>
        <v>#REF!</v>
      </c>
      <c r="DA49" t="e">
        <f>AND(#REF!,"AAAAAFzr92g=")</f>
        <v>#REF!</v>
      </c>
      <c r="DB49" t="e">
        <f>AND(#REF!,"AAAAAFzr92k=")</f>
        <v>#REF!</v>
      </c>
      <c r="DC49" t="e">
        <f>AND(#REF!,"AAAAAFzr92o=")</f>
        <v>#REF!</v>
      </c>
      <c r="DD49" t="e">
        <f>AND(#REF!,"AAAAAFzr92s=")</f>
        <v>#REF!</v>
      </c>
      <c r="DE49" t="e">
        <f>AND(#REF!,"AAAAAFzr92w=")</f>
        <v>#REF!</v>
      </c>
      <c r="DF49" t="e">
        <f>AND(#REF!,"AAAAAFzr920=")</f>
        <v>#REF!</v>
      </c>
      <c r="DG49" t="e">
        <f>AND(#REF!,"AAAAAFzr924=")</f>
        <v>#REF!</v>
      </c>
      <c r="DH49" t="e">
        <f>AND(#REF!,"AAAAAFzr928=")</f>
        <v>#REF!</v>
      </c>
      <c r="DI49" t="e">
        <f>AND(#REF!,"AAAAAFzr93A=")</f>
        <v>#REF!</v>
      </c>
      <c r="DJ49" t="e">
        <f>AND(#REF!,"AAAAAFzr93E=")</f>
        <v>#REF!</v>
      </c>
      <c r="DK49" t="e">
        <f>AND(#REF!,"AAAAAFzr93I=")</f>
        <v>#REF!</v>
      </c>
      <c r="DL49" t="e">
        <f>AND(#REF!,"AAAAAFzr93M=")</f>
        <v>#REF!</v>
      </c>
      <c r="DM49" t="e">
        <f>AND(#REF!,"AAAAAFzr93Q=")</f>
        <v>#REF!</v>
      </c>
      <c r="DN49" t="e">
        <f>AND(#REF!,"AAAAAFzr93U=")</f>
        <v>#REF!</v>
      </c>
      <c r="DO49" t="e">
        <f>AND(#REF!,"AAAAAFzr93Y=")</f>
        <v>#REF!</v>
      </c>
      <c r="DP49" t="e">
        <f>AND(#REF!,"AAAAAFzr93c=")</f>
        <v>#REF!</v>
      </c>
      <c r="DQ49" t="e">
        <f>AND(#REF!,"AAAAAFzr93g=")</f>
        <v>#REF!</v>
      </c>
      <c r="DR49" t="e">
        <f>AND(#REF!,"AAAAAFzr93k=")</f>
        <v>#REF!</v>
      </c>
      <c r="DS49" t="e">
        <f>AND(#REF!,"AAAAAFzr93o=")</f>
        <v>#REF!</v>
      </c>
      <c r="DT49" t="e">
        <f>AND(#REF!,"AAAAAFzr93s=")</f>
        <v>#REF!</v>
      </c>
      <c r="DU49" t="e">
        <f>AND(#REF!,"AAAAAFzr93w=")</f>
        <v>#REF!</v>
      </c>
      <c r="DV49" t="e">
        <f>AND(#REF!,"AAAAAFzr930=")</f>
        <v>#REF!</v>
      </c>
      <c r="DW49" t="e">
        <f>AND(#REF!,"AAAAAFzr934=")</f>
        <v>#REF!</v>
      </c>
      <c r="DX49" t="e">
        <f>AND(#REF!,"AAAAAFzr938=")</f>
        <v>#REF!</v>
      </c>
      <c r="DY49" t="e">
        <f>AND(#REF!,"AAAAAFzr94A=")</f>
        <v>#REF!</v>
      </c>
      <c r="DZ49" t="e">
        <f>AND(#REF!,"AAAAAFzr94E=")</f>
        <v>#REF!</v>
      </c>
      <c r="EA49" t="e">
        <f>AND(#REF!,"AAAAAFzr94I=")</f>
        <v>#REF!</v>
      </c>
      <c r="EB49" t="e">
        <f>AND(#REF!,"AAAAAFzr94M=")</f>
        <v>#REF!</v>
      </c>
      <c r="EC49" t="e">
        <f>AND(#REF!,"AAAAAFzr94Q=")</f>
        <v>#REF!</v>
      </c>
      <c r="ED49" t="e">
        <f>AND(#REF!,"AAAAAFzr94U=")</f>
        <v>#REF!</v>
      </c>
      <c r="EE49" t="e">
        <f>AND(#REF!,"AAAAAFzr94Y=")</f>
        <v>#REF!</v>
      </c>
      <c r="EF49" t="e">
        <f>AND(#REF!,"AAAAAFzr94c=")</f>
        <v>#REF!</v>
      </c>
      <c r="EG49" t="e">
        <f>AND(#REF!,"AAAAAFzr94g=")</f>
        <v>#REF!</v>
      </c>
      <c r="EH49" t="e">
        <f>AND(#REF!,"AAAAAFzr94k=")</f>
        <v>#REF!</v>
      </c>
      <c r="EI49" t="e">
        <f>AND(#REF!,"AAAAAFzr94o=")</f>
        <v>#REF!</v>
      </c>
      <c r="EJ49" t="e">
        <f>AND(#REF!,"AAAAAFzr94s=")</f>
        <v>#REF!</v>
      </c>
      <c r="EK49" t="e">
        <f>AND(#REF!,"AAAAAFzr94w=")</f>
        <v>#REF!</v>
      </c>
      <c r="EL49" t="e">
        <f>AND(#REF!,"AAAAAFzr940=")</f>
        <v>#REF!</v>
      </c>
      <c r="EM49" t="e">
        <f>AND(#REF!,"AAAAAFzr944=")</f>
        <v>#REF!</v>
      </c>
      <c r="EN49" t="e">
        <f>AND(#REF!,"AAAAAFzr948=")</f>
        <v>#REF!</v>
      </c>
      <c r="EO49" t="e">
        <f>AND(#REF!,"AAAAAFzr95A=")</f>
        <v>#REF!</v>
      </c>
      <c r="EP49" t="e">
        <f>AND(#REF!,"AAAAAFzr95E=")</f>
        <v>#REF!</v>
      </c>
      <c r="EQ49" t="e">
        <f>AND(#REF!,"AAAAAFzr95I=")</f>
        <v>#REF!</v>
      </c>
      <c r="ER49" t="e">
        <f>AND(#REF!,"AAAAAFzr95M=")</f>
        <v>#REF!</v>
      </c>
      <c r="ES49" t="e">
        <f>AND(#REF!,"AAAAAFzr95Q=")</f>
        <v>#REF!</v>
      </c>
      <c r="ET49" t="e">
        <f>AND(#REF!,"AAAAAFzr95U=")</f>
        <v>#REF!</v>
      </c>
      <c r="EU49" t="e">
        <f>AND(#REF!,"AAAAAFzr95Y=")</f>
        <v>#REF!</v>
      </c>
      <c r="EV49" t="e">
        <f>AND(#REF!,"AAAAAFzr95c=")</f>
        <v>#REF!</v>
      </c>
      <c r="EW49" t="e">
        <f>AND(#REF!,"AAAAAFzr95g=")</f>
        <v>#REF!</v>
      </c>
      <c r="EX49" t="e">
        <f>AND(#REF!,"AAAAAFzr95k=")</f>
        <v>#REF!</v>
      </c>
      <c r="EY49" t="e">
        <f>AND(#REF!,"AAAAAFzr95o=")</f>
        <v>#REF!</v>
      </c>
      <c r="EZ49" t="e">
        <f>AND(#REF!,"AAAAAFzr95s=")</f>
        <v>#REF!</v>
      </c>
      <c r="FA49" t="e">
        <f>AND(#REF!,"AAAAAFzr95w=")</f>
        <v>#REF!</v>
      </c>
      <c r="FB49" t="e">
        <f>AND(#REF!,"AAAAAFzr950=")</f>
        <v>#REF!</v>
      </c>
      <c r="FC49" t="e">
        <f>AND(#REF!,"AAAAAFzr954=")</f>
        <v>#REF!</v>
      </c>
      <c r="FD49" t="e">
        <f>AND(#REF!,"AAAAAFzr958=")</f>
        <v>#REF!</v>
      </c>
      <c r="FE49" t="e">
        <f>AND(#REF!,"AAAAAFzr96A=")</f>
        <v>#REF!</v>
      </c>
      <c r="FF49" t="e">
        <f>AND(#REF!,"AAAAAFzr96E=")</f>
        <v>#REF!</v>
      </c>
      <c r="FG49" t="e">
        <f>AND(#REF!,"AAAAAFzr96I=")</f>
        <v>#REF!</v>
      </c>
      <c r="FH49" t="e">
        <f>AND(#REF!,"AAAAAFzr96M=")</f>
        <v>#REF!</v>
      </c>
      <c r="FI49" t="e">
        <f>AND(#REF!,"AAAAAFzr96Q=")</f>
        <v>#REF!</v>
      </c>
      <c r="FJ49" t="e">
        <f>AND(#REF!,"AAAAAFzr96U=")</f>
        <v>#REF!</v>
      </c>
      <c r="FK49" t="e">
        <f>AND(#REF!,"AAAAAFzr96Y=")</f>
        <v>#REF!</v>
      </c>
      <c r="FL49" t="e">
        <f>AND(#REF!,"AAAAAFzr96c=")</f>
        <v>#REF!</v>
      </c>
      <c r="FM49" t="e">
        <f>AND(#REF!,"AAAAAFzr96g=")</f>
        <v>#REF!</v>
      </c>
      <c r="FN49" t="e">
        <f>AND(#REF!,"AAAAAFzr96k=")</f>
        <v>#REF!</v>
      </c>
      <c r="FO49" t="e">
        <f>AND(#REF!,"AAAAAFzr96o=")</f>
        <v>#REF!</v>
      </c>
      <c r="FP49" t="e">
        <f>AND(#REF!,"AAAAAFzr96s=")</f>
        <v>#REF!</v>
      </c>
      <c r="FQ49" t="e">
        <f>AND(#REF!,"AAAAAFzr96w=")</f>
        <v>#REF!</v>
      </c>
      <c r="FR49" t="e">
        <f>AND(#REF!,"AAAAAFzr960=")</f>
        <v>#REF!</v>
      </c>
      <c r="FS49" t="e">
        <f>AND(#REF!,"AAAAAFzr964=")</f>
        <v>#REF!</v>
      </c>
      <c r="FT49" t="e">
        <f>AND(#REF!,"AAAAAFzr968=")</f>
        <v>#REF!</v>
      </c>
      <c r="FU49" t="e">
        <f>AND(#REF!,"AAAAAFzr97A=")</f>
        <v>#REF!</v>
      </c>
      <c r="FV49" t="e">
        <f>AND(#REF!,"AAAAAFzr97E=")</f>
        <v>#REF!</v>
      </c>
      <c r="FW49" t="e">
        <f>AND(#REF!,"AAAAAFzr97I=")</f>
        <v>#REF!</v>
      </c>
      <c r="FX49" t="e">
        <f>AND(#REF!,"AAAAAFzr97M=")</f>
        <v>#REF!</v>
      </c>
      <c r="FY49" t="e">
        <f>AND(#REF!,"AAAAAFzr97Q=")</f>
        <v>#REF!</v>
      </c>
      <c r="FZ49" t="e">
        <f>AND(#REF!,"AAAAAFzr97U=")</f>
        <v>#REF!</v>
      </c>
      <c r="GA49" t="e">
        <f>AND(#REF!,"AAAAAFzr97Y=")</f>
        <v>#REF!</v>
      </c>
      <c r="GB49" t="e">
        <f>AND(#REF!,"AAAAAFzr97c=")</f>
        <v>#REF!</v>
      </c>
      <c r="GC49" t="e">
        <f>AND(#REF!,"AAAAAFzr97g=")</f>
        <v>#REF!</v>
      </c>
      <c r="GD49" t="e">
        <f>AND(#REF!,"AAAAAFzr97k=")</f>
        <v>#REF!</v>
      </c>
      <c r="GE49" t="e">
        <f>AND(#REF!,"AAAAAFzr97o=")</f>
        <v>#REF!</v>
      </c>
      <c r="GF49" t="e">
        <f>AND(#REF!,"AAAAAFzr97s=")</f>
        <v>#REF!</v>
      </c>
      <c r="GG49" t="e">
        <f>AND(#REF!,"AAAAAFzr97w=")</f>
        <v>#REF!</v>
      </c>
      <c r="GH49" t="e">
        <f>AND(#REF!,"AAAAAFzr970=")</f>
        <v>#REF!</v>
      </c>
      <c r="GI49" t="e">
        <f>AND(#REF!,"AAAAAFzr974=")</f>
        <v>#REF!</v>
      </c>
      <c r="GJ49" t="e">
        <f>AND(#REF!,"AAAAAFzr978=")</f>
        <v>#REF!</v>
      </c>
      <c r="GK49" t="e">
        <f>AND(#REF!,"AAAAAFzr98A=")</f>
        <v>#REF!</v>
      </c>
      <c r="GL49" t="e">
        <f>AND(#REF!,"AAAAAFzr98E=")</f>
        <v>#REF!</v>
      </c>
      <c r="GM49" t="e">
        <f>AND(#REF!,"AAAAAFzr98I=")</f>
        <v>#REF!</v>
      </c>
      <c r="GN49" t="e">
        <f>AND(#REF!,"AAAAAFzr98M=")</f>
        <v>#REF!</v>
      </c>
      <c r="GO49" t="e">
        <f>AND(#REF!,"AAAAAFzr98Q=")</f>
        <v>#REF!</v>
      </c>
      <c r="GP49" t="e">
        <f>AND(#REF!,"AAAAAFzr98U=")</f>
        <v>#REF!</v>
      </c>
      <c r="GQ49" t="e">
        <f>AND(#REF!,"AAAAAFzr98Y=")</f>
        <v>#REF!</v>
      </c>
      <c r="GR49" t="e">
        <f>AND(#REF!,"AAAAAFzr98c=")</f>
        <v>#REF!</v>
      </c>
      <c r="GS49" t="e">
        <f>AND(#REF!,"AAAAAFzr98g=")</f>
        <v>#REF!</v>
      </c>
      <c r="GT49" t="e">
        <f>AND(#REF!,"AAAAAFzr98k=")</f>
        <v>#REF!</v>
      </c>
      <c r="GU49" t="e">
        <f>AND(#REF!,"AAAAAFzr98o=")</f>
        <v>#REF!</v>
      </c>
      <c r="GV49" t="e">
        <f>AND(#REF!,"AAAAAFzr98s=")</f>
        <v>#REF!</v>
      </c>
      <c r="GW49" t="e">
        <f>AND(#REF!,"AAAAAFzr98w=")</f>
        <v>#REF!</v>
      </c>
      <c r="GX49" t="e">
        <f>AND(#REF!,"AAAAAFzr980=")</f>
        <v>#REF!</v>
      </c>
      <c r="GY49" t="e">
        <f>AND(#REF!,"AAAAAFzr984=")</f>
        <v>#REF!</v>
      </c>
      <c r="GZ49" t="e">
        <f>AND(#REF!,"AAAAAFzr988=")</f>
        <v>#REF!</v>
      </c>
      <c r="HA49" t="e">
        <f>AND(#REF!,"AAAAAFzr99A=")</f>
        <v>#REF!</v>
      </c>
      <c r="HB49" t="e">
        <f>AND(#REF!,"AAAAAFzr99E=")</f>
        <v>#REF!</v>
      </c>
      <c r="HC49" t="e">
        <f>AND(#REF!,"AAAAAFzr99I=")</f>
        <v>#REF!</v>
      </c>
      <c r="HD49" t="e">
        <f>AND(#REF!,"AAAAAFzr99M=")</f>
        <v>#REF!</v>
      </c>
      <c r="HE49" t="e">
        <f>AND(#REF!,"AAAAAFzr99Q=")</f>
        <v>#REF!</v>
      </c>
      <c r="HF49" t="e">
        <f>AND(#REF!,"AAAAAFzr99U=")</f>
        <v>#REF!</v>
      </c>
      <c r="HG49" t="e">
        <f>AND(#REF!,"AAAAAFzr99Y=")</f>
        <v>#REF!</v>
      </c>
      <c r="HH49" t="e">
        <f>AND(#REF!,"AAAAAFzr99c=")</f>
        <v>#REF!</v>
      </c>
      <c r="HI49" t="e">
        <f>AND(#REF!,"AAAAAFzr99g=")</f>
        <v>#REF!</v>
      </c>
      <c r="HJ49" t="e">
        <f>AND(#REF!,"AAAAAFzr99k=")</f>
        <v>#REF!</v>
      </c>
      <c r="HK49" t="e">
        <f>AND(#REF!,"AAAAAFzr99o=")</f>
        <v>#REF!</v>
      </c>
      <c r="HL49" t="e">
        <f>AND(#REF!,"AAAAAFzr99s=")</f>
        <v>#REF!</v>
      </c>
      <c r="HM49" t="e">
        <f>AND(#REF!,"AAAAAFzr99w=")</f>
        <v>#REF!</v>
      </c>
      <c r="HN49" t="e">
        <f>AND(#REF!,"AAAAAFzr990=")</f>
        <v>#REF!</v>
      </c>
      <c r="HO49" t="e">
        <f>AND(#REF!,"AAAAAFzr994=")</f>
        <v>#REF!</v>
      </c>
      <c r="HP49" t="e">
        <f>AND(#REF!,"AAAAAFzr998=")</f>
        <v>#REF!</v>
      </c>
      <c r="HQ49" t="e">
        <f>AND(#REF!,"AAAAAFzr9+A=")</f>
        <v>#REF!</v>
      </c>
      <c r="HR49" t="e">
        <f>AND(#REF!,"AAAAAFzr9+E=")</f>
        <v>#REF!</v>
      </c>
      <c r="HS49" t="e">
        <f>AND(#REF!,"AAAAAFzr9+I=")</f>
        <v>#REF!</v>
      </c>
      <c r="HT49" t="e">
        <f>AND(#REF!,"AAAAAFzr9+M=")</f>
        <v>#REF!</v>
      </c>
      <c r="HU49" t="e">
        <f>AND(#REF!,"AAAAAFzr9+Q=")</f>
        <v>#REF!</v>
      </c>
      <c r="HV49" t="e">
        <f>AND(#REF!,"AAAAAFzr9+U=")</f>
        <v>#REF!</v>
      </c>
      <c r="HW49" t="e">
        <f>AND(#REF!,"AAAAAFzr9+Y=")</f>
        <v>#REF!</v>
      </c>
      <c r="HX49" t="e">
        <f>AND(#REF!,"AAAAAFzr9+c=")</f>
        <v>#REF!</v>
      </c>
      <c r="HY49" t="e">
        <f>AND(#REF!,"AAAAAFzr9+g=")</f>
        <v>#REF!</v>
      </c>
      <c r="HZ49" t="e">
        <f>AND(#REF!,"AAAAAFzr9+k=")</f>
        <v>#REF!</v>
      </c>
      <c r="IA49" t="e">
        <f>AND(#REF!,"AAAAAFzr9+o=")</f>
        <v>#REF!</v>
      </c>
      <c r="IB49" t="e">
        <f>AND(#REF!,"AAAAAFzr9+s=")</f>
        <v>#REF!</v>
      </c>
      <c r="IC49" t="e">
        <f>AND(#REF!,"AAAAAFzr9+w=")</f>
        <v>#REF!</v>
      </c>
      <c r="ID49" t="e">
        <f>AND(#REF!,"AAAAAFzr9+0=")</f>
        <v>#REF!</v>
      </c>
      <c r="IE49" t="e">
        <f>AND(#REF!,"AAAAAFzr9+4=")</f>
        <v>#REF!</v>
      </c>
      <c r="IF49" t="e">
        <f>AND(#REF!,"AAAAAFzr9+8=")</f>
        <v>#REF!</v>
      </c>
      <c r="IG49" t="e">
        <f>AND(#REF!,"AAAAAFzr9/A=")</f>
        <v>#REF!</v>
      </c>
      <c r="IH49" t="e">
        <f>AND(#REF!,"AAAAAFzr9/E=")</f>
        <v>#REF!</v>
      </c>
      <c r="II49" t="e">
        <f>AND(#REF!,"AAAAAFzr9/I=")</f>
        <v>#REF!</v>
      </c>
      <c r="IJ49" t="e">
        <f>AND(#REF!,"AAAAAFzr9/M=")</f>
        <v>#REF!</v>
      </c>
      <c r="IK49" t="e">
        <f>AND(#REF!,"AAAAAFzr9/Q=")</f>
        <v>#REF!</v>
      </c>
      <c r="IL49" t="e">
        <f>AND(#REF!,"AAAAAFzr9/U=")</f>
        <v>#REF!</v>
      </c>
      <c r="IM49" t="e">
        <f>AND(#REF!,"AAAAAFzr9/Y=")</f>
        <v>#REF!</v>
      </c>
      <c r="IN49" t="e">
        <f>AND(#REF!,"AAAAAFzr9/c=")</f>
        <v>#REF!</v>
      </c>
      <c r="IO49" t="e">
        <f>AND(#REF!,"AAAAAFzr9/g=")</f>
        <v>#REF!</v>
      </c>
      <c r="IP49" t="e">
        <f>AND(#REF!,"AAAAAFzr9/k=")</f>
        <v>#REF!</v>
      </c>
      <c r="IQ49" t="e">
        <f>AND(#REF!,"AAAAAFzr9/o=")</f>
        <v>#REF!</v>
      </c>
      <c r="IR49" t="e">
        <f>AND(#REF!,"AAAAAFzr9/s=")</f>
        <v>#REF!</v>
      </c>
      <c r="IS49" t="e">
        <f>AND(#REF!,"AAAAAFzr9/w=")</f>
        <v>#REF!</v>
      </c>
      <c r="IT49" t="e">
        <f>AND(#REF!,"AAAAAFzr9/0=")</f>
        <v>#REF!</v>
      </c>
      <c r="IU49" t="e">
        <f>AND(#REF!,"AAAAAFzr9/4=")</f>
        <v>#REF!</v>
      </c>
      <c r="IV49" t="e">
        <f>AND(#REF!,"AAAAAFzr9/8=")</f>
        <v>#REF!</v>
      </c>
    </row>
    <row r="50" spans="1:256">
      <c r="A50" t="e">
        <f>AND(#REF!,"AAAAAG//FwA=")</f>
        <v>#REF!</v>
      </c>
      <c r="B50" t="e">
        <f>AND(#REF!,"AAAAAG//FwE=")</f>
        <v>#REF!</v>
      </c>
      <c r="C50" t="e">
        <f>AND(#REF!,"AAAAAG//FwI=")</f>
        <v>#REF!</v>
      </c>
      <c r="D50" t="e">
        <f>AND(#REF!,"AAAAAG//FwM=")</f>
        <v>#REF!</v>
      </c>
      <c r="E50" t="e">
        <f>AND(#REF!,"AAAAAG//FwQ=")</f>
        <v>#REF!</v>
      </c>
      <c r="F50" t="e">
        <f>AND(#REF!,"AAAAAG//FwU=")</f>
        <v>#REF!</v>
      </c>
      <c r="G50" t="e">
        <f>AND(#REF!,"AAAAAG//FwY=")</f>
        <v>#REF!</v>
      </c>
      <c r="H50" t="e">
        <f>AND(#REF!,"AAAAAG//Fwc=")</f>
        <v>#REF!</v>
      </c>
      <c r="I50" t="e">
        <f>AND(#REF!,"AAAAAG//Fwg=")</f>
        <v>#REF!</v>
      </c>
      <c r="J50" t="e">
        <f>AND(#REF!,"AAAAAG//Fwk=")</f>
        <v>#REF!</v>
      </c>
      <c r="K50" t="e">
        <f>AND(#REF!,"AAAAAG//Fwo=")</f>
        <v>#REF!</v>
      </c>
      <c r="L50" t="e">
        <f>AND(#REF!,"AAAAAG//Fws=")</f>
        <v>#REF!</v>
      </c>
      <c r="M50" t="e">
        <f>AND(#REF!,"AAAAAG//Fww=")</f>
        <v>#REF!</v>
      </c>
      <c r="N50" t="e">
        <f>AND(#REF!,"AAAAAG//Fw0=")</f>
        <v>#REF!</v>
      </c>
      <c r="O50" t="e">
        <f>AND(#REF!,"AAAAAG//Fw4=")</f>
        <v>#REF!</v>
      </c>
      <c r="P50" t="e">
        <f>AND(#REF!,"AAAAAG//Fw8=")</f>
        <v>#REF!</v>
      </c>
      <c r="Q50" t="e">
        <f>AND(#REF!,"AAAAAG//FxA=")</f>
        <v>#REF!</v>
      </c>
      <c r="R50" t="e">
        <f>AND(#REF!,"AAAAAG//FxE=")</f>
        <v>#REF!</v>
      </c>
      <c r="S50" t="e">
        <f>AND(#REF!,"AAAAAG//FxI=")</f>
        <v>#REF!</v>
      </c>
      <c r="T50" t="e">
        <f>AND(#REF!,"AAAAAG//FxM=")</f>
        <v>#REF!</v>
      </c>
      <c r="U50" t="e">
        <f>AND(#REF!,"AAAAAG//FxQ=")</f>
        <v>#REF!</v>
      </c>
      <c r="V50" t="e">
        <f>AND(#REF!,"AAAAAG//FxU=")</f>
        <v>#REF!</v>
      </c>
      <c r="W50" t="e">
        <f>AND(#REF!,"AAAAAG//FxY=")</f>
        <v>#REF!</v>
      </c>
      <c r="X50" t="e">
        <f>AND(#REF!,"AAAAAG//Fxc=")</f>
        <v>#REF!</v>
      </c>
      <c r="Y50" t="e">
        <f>AND(#REF!,"AAAAAG//Fxg=")</f>
        <v>#REF!</v>
      </c>
      <c r="Z50" t="e">
        <f>AND(#REF!,"AAAAAG//Fxk=")</f>
        <v>#REF!</v>
      </c>
      <c r="AA50" t="e">
        <f>AND(#REF!,"AAAAAG//Fxo=")</f>
        <v>#REF!</v>
      </c>
      <c r="AB50" t="e">
        <f>AND(#REF!,"AAAAAG//Fxs=")</f>
        <v>#REF!</v>
      </c>
      <c r="AC50" t="e">
        <f>AND(#REF!,"AAAAAG//Fxw=")</f>
        <v>#REF!</v>
      </c>
      <c r="AD50" t="e">
        <f>AND(#REF!,"AAAAAG//Fx0=")</f>
        <v>#REF!</v>
      </c>
      <c r="AE50" t="e">
        <f>AND(#REF!,"AAAAAG//Fx4=")</f>
        <v>#REF!</v>
      </c>
      <c r="AF50" t="e">
        <f>AND(#REF!,"AAAAAG//Fx8=")</f>
        <v>#REF!</v>
      </c>
      <c r="AG50" t="e">
        <f>AND(#REF!,"AAAAAG//FyA=")</f>
        <v>#REF!</v>
      </c>
      <c r="AH50" t="e">
        <f>AND(#REF!,"AAAAAG//FyE=")</f>
        <v>#REF!</v>
      </c>
      <c r="AI50" t="e">
        <f>AND(#REF!,"AAAAAG//FyI=")</f>
        <v>#REF!</v>
      </c>
      <c r="AJ50" t="e">
        <f>AND(#REF!,"AAAAAG//FyM=")</f>
        <v>#REF!</v>
      </c>
      <c r="AK50" t="e">
        <f>AND(#REF!,"AAAAAG//FyQ=")</f>
        <v>#REF!</v>
      </c>
      <c r="AL50" t="e">
        <f>AND(#REF!,"AAAAAG//FyU=")</f>
        <v>#REF!</v>
      </c>
      <c r="AM50" t="e">
        <f>AND(#REF!,"AAAAAG//FyY=")</f>
        <v>#REF!</v>
      </c>
      <c r="AN50" t="e">
        <f>AND(#REF!,"AAAAAG//Fyc=")</f>
        <v>#REF!</v>
      </c>
      <c r="AO50" t="e">
        <f>AND(#REF!,"AAAAAG//Fyg=")</f>
        <v>#REF!</v>
      </c>
      <c r="AP50" t="e">
        <f>AND(#REF!,"AAAAAG//Fyk=")</f>
        <v>#REF!</v>
      </c>
      <c r="AQ50" t="e">
        <f>AND(#REF!,"AAAAAG//Fyo=")</f>
        <v>#REF!</v>
      </c>
      <c r="AR50" t="e">
        <f>AND(#REF!,"AAAAAG//Fys=")</f>
        <v>#REF!</v>
      </c>
      <c r="AS50" t="e">
        <f>AND(#REF!,"AAAAAG//Fyw=")</f>
        <v>#REF!</v>
      </c>
      <c r="AT50" t="e">
        <f>AND(#REF!,"AAAAAG//Fy0=")</f>
        <v>#REF!</v>
      </c>
      <c r="AU50" t="e">
        <f>AND(#REF!,"AAAAAG//Fy4=")</f>
        <v>#REF!</v>
      </c>
      <c r="AV50" t="e">
        <f>AND(#REF!,"AAAAAG//Fy8=")</f>
        <v>#REF!</v>
      </c>
      <c r="AW50" t="e">
        <f>AND(#REF!,"AAAAAG//FzA=")</f>
        <v>#REF!</v>
      </c>
      <c r="AX50" t="e">
        <f>AND(#REF!,"AAAAAG//FzE=")</f>
        <v>#REF!</v>
      </c>
      <c r="AY50" t="e">
        <f>AND(#REF!,"AAAAAG//FzI=")</f>
        <v>#REF!</v>
      </c>
      <c r="AZ50" t="e">
        <f>AND(#REF!,"AAAAAG//FzM=")</f>
        <v>#REF!</v>
      </c>
      <c r="BA50" t="e">
        <f>AND(#REF!,"AAAAAG//FzQ=")</f>
        <v>#REF!</v>
      </c>
      <c r="BB50" t="e">
        <f>AND(#REF!,"AAAAAG//FzU=")</f>
        <v>#REF!</v>
      </c>
      <c r="BC50" t="e">
        <f>AND(#REF!,"AAAAAG//FzY=")</f>
        <v>#REF!</v>
      </c>
      <c r="BD50" t="e">
        <f>AND(#REF!,"AAAAAG//Fzc=")</f>
        <v>#REF!</v>
      </c>
      <c r="BE50" t="e">
        <f>AND(#REF!,"AAAAAG//Fzg=")</f>
        <v>#REF!</v>
      </c>
      <c r="BF50" t="e">
        <f>AND(#REF!,"AAAAAG//Fzk=")</f>
        <v>#REF!</v>
      </c>
      <c r="BG50" t="e">
        <f>AND(#REF!,"AAAAAG//Fzo=")</f>
        <v>#REF!</v>
      </c>
      <c r="BH50" t="e">
        <f>AND(#REF!,"AAAAAG//Fzs=")</f>
        <v>#REF!</v>
      </c>
      <c r="BI50" t="e">
        <f>AND(#REF!,"AAAAAG//Fzw=")</f>
        <v>#REF!</v>
      </c>
      <c r="BJ50" t="e">
        <f>AND(#REF!,"AAAAAG//Fz0=")</f>
        <v>#REF!</v>
      </c>
      <c r="BK50" t="e">
        <f>AND(#REF!,"AAAAAG//Fz4=")</f>
        <v>#REF!</v>
      </c>
      <c r="BL50" t="e">
        <f>AND(#REF!,"AAAAAG//Fz8=")</f>
        <v>#REF!</v>
      </c>
      <c r="BM50" t="e">
        <f>AND(#REF!,"AAAAAG//F0A=")</f>
        <v>#REF!</v>
      </c>
      <c r="BN50" t="e">
        <f>AND(#REF!,"AAAAAG//F0E=")</f>
        <v>#REF!</v>
      </c>
      <c r="BO50" t="e">
        <f>AND(#REF!,"AAAAAG//F0I=")</f>
        <v>#REF!</v>
      </c>
      <c r="BP50" t="e">
        <f>AND(#REF!,"AAAAAG//F0M=")</f>
        <v>#REF!</v>
      </c>
      <c r="BQ50" t="e">
        <f>AND(#REF!,"AAAAAG//F0Q=")</f>
        <v>#REF!</v>
      </c>
      <c r="BR50" t="e">
        <f>AND(#REF!,"AAAAAG//F0U=")</f>
        <v>#REF!</v>
      </c>
      <c r="BS50" t="e">
        <f>AND(#REF!,"AAAAAG//F0Y=")</f>
        <v>#REF!</v>
      </c>
      <c r="BT50" t="e">
        <f>AND(#REF!,"AAAAAG//F0c=")</f>
        <v>#REF!</v>
      </c>
      <c r="BU50" t="e">
        <f>AND(#REF!,"AAAAAG//F0g=")</f>
        <v>#REF!</v>
      </c>
      <c r="BV50" t="e">
        <f>AND(#REF!,"AAAAAG//F0k=")</f>
        <v>#REF!</v>
      </c>
      <c r="BW50" t="e">
        <f>AND(#REF!,"AAAAAG//F0o=")</f>
        <v>#REF!</v>
      </c>
      <c r="BX50" t="e">
        <f>AND(#REF!,"AAAAAG//F0s=")</f>
        <v>#REF!</v>
      </c>
      <c r="BY50" t="e">
        <f>AND(#REF!,"AAAAAG//F0w=")</f>
        <v>#REF!</v>
      </c>
      <c r="BZ50" t="e">
        <f>AND(#REF!,"AAAAAG//F00=")</f>
        <v>#REF!</v>
      </c>
      <c r="CA50" t="e">
        <f>AND(#REF!,"AAAAAG//F04=")</f>
        <v>#REF!</v>
      </c>
      <c r="CB50" t="e">
        <f>AND(#REF!,"AAAAAG//F08=")</f>
        <v>#REF!</v>
      </c>
      <c r="CC50" t="e">
        <f>AND(#REF!,"AAAAAG//F1A=")</f>
        <v>#REF!</v>
      </c>
      <c r="CD50" t="e">
        <f>AND(#REF!,"AAAAAG//F1E=")</f>
        <v>#REF!</v>
      </c>
      <c r="CE50" t="e">
        <f>AND(#REF!,"AAAAAG//F1I=")</f>
        <v>#REF!</v>
      </c>
      <c r="CF50" t="e">
        <f>AND(#REF!,"AAAAAG//F1M=")</f>
        <v>#REF!</v>
      </c>
      <c r="CG50" t="e">
        <f>AND(#REF!,"AAAAAG//F1Q=")</f>
        <v>#REF!</v>
      </c>
      <c r="CH50" t="e">
        <f>AND(#REF!,"AAAAAG//F1U=")</f>
        <v>#REF!</v>
      </c>
      <c r="CI50" t="e">
        <f>AND(#REF!,"AAAAAG//F1Y=")</f>
        <v>#REF!</v>
      </c>
      <c r="CJ50" t="e">
        <f>AND(#REF!,"AAAAAG//F1c=")</f>
        <v>#REF!</v>
      </c>
      <c r="CK50" t="e">
        <f>AND(#REF!,"AAAAAG//F1g=")</f>
        <v>#REF!</v>
      </c>
      <c r="CL50" t="e">
        <f>AND(#REF!,"AAAAAG//F1k=")</f>
        <v>#REF!</v>
      </c>
      <c r="CM50" t="e">
        <f>AND(#REF!,"AAAAAG//F1o=")</f>
        <v>#REF!</v>
      </c>
      <c r="CN50" t="e">
        <f>AND(#REF!,"AAAAAG//F1s=")</f>
        <v>#REF!</v>
      </c>
      <c r="CO50" t="e">
        <f>AND(#REF!,"AAAAAG//F1w=")</f>
        <v>#REF!</v>
      </c>
      <c r="CP50" t="e">
        <f>AND(#REF!,"AAAAAG//F10=")</f>
        <v>#REF!</v>
      </c>
      <c r="CQ50" t="e">
        <f>AND(#REF!,"AAAAAG//F14=")</f>
        <v>#REF!</v>
      </c>
      <c r="CR50" t="e">
        <f>AND(#REF!,"AAAAAG//F18=")</f>
        <v>#REF!</v>
      </c>
      <c r="CS50" t="e">
        <f>AND(#REF!,"AAAAAG//F2A=")</f>
        <v>#REF!</v>
      </c>
      <c r="CT50" t="e">
        <f>AND(#REF!,"AAAAAG//F2E=")</f>
        <v>#REF!</v>
      </c>
      <c r="CU50" t="e">
        <f>AND(#REF!,"AAAAAG//F2I=")</f>
        <v>#REF!</v>
      </c>
      <c r="CV50" t="e">
        <f>AND(#REF!,"AAAAAG//F2M=")</f>
        <v>#REF!</v>
      </c>
      <c r="CW50" t="e">
        <f>AND(#REF!,"AAAAAG//F2Q=")</f>
        <v>#REF!</v>
      </c>
      <c r="CX50" t="e">
        <f>AND(#REF!,"AAAAAG//F2U=")</f>
        <v>#REF!</v>
      </c>
      <c r="CY50" t="e">
        <f>AND(#REF!,"AAAAAG//F2Y=")</f>
        <v>#REF!</v>
      </c>
      <c r="CZ50" t="e">
        <f>AND(#REF!,"AAAAAG//F2c=")</f>
        <v>#REF!</v>
      </c>
      <c r="DA50" t="e">
        <f>AND(#REF!,"AAAAAG//F2g=")</f>
        <v>#REF!</v>
      </c>
      <c r="DB50" t="e">
        <f>AND(#REF!,"AAAAAG//F2k=")</f>
        <v>#REF!</v>
      </c>
      <c r="DC50" t="e">
        <f>AND(#REF!,"AAAAAG//F2o=")</f>
        <v>#REF!</v>
      </c>
      <c r="DD50" t="e">
        <f>AND(#REF!,"AAAAAG//F2s=")</f>
        <v>#REF!</v>
      </c>
      <c r="DE50" t="e">
        <f>AND(#REF!,"AAAAAG//F2w=")</f>
        <v>#REF!</v>
      </c>
      <c r="DF50" t="e">
        <f>AND(#REF!,"AAAAAG//F20=")</f>
        <v>#REF!</v>
      </c>
      <c r="DG50" t="e">
        <f>AND(#REF!,"AAAAAG//F24=")</f>
        <v>#REF!</v>
      </c>
      <c r="DH50" t="e">
        <f>AND(#REF!,"AAAAAG//F28=")</f>
        <v>#REF!</v>
      </c>
      <c r="DI50" t="e">
        <f>AND(#REF!,"AAAAAG//F3A=")</f>
        <v>#REF!</v>
      </c>
      <c r="DJ50" t="e">
        <f>AND(#REF!,"AAAAAG//F3E=")</f>
        <v>#REF!</v>
      </c>
      <c r="DK50" t="e">
        <f>AND(#REF!,"AAAAAG//F3I=")</f>
        <v>#REF!</v>
      </c>
      <c r="DL50" t="e">
        <f>AND(#REF!,"AAAAAG//F3M=")</f>
        <v>#REF!</v>
      </c>
      <c r="DM50" t="e">
        <f>AND(#REF!,"AAAAAG//F3Q=")</f>
        <v>#REF!</v>
      </c>
      <c r="DN50" t="e">
        <f>AND(#REF!,"AAAAAG//F3U=")</f>
        <v>#REF!</v>
      </c>
      <c r="DO50" t="e">
        <f>AND(#REF!,"AAAAAG//F3Y=")</f>
        <v>#REF!</v>
      </c>
      <c r="DP50" t="e">
        <f>AND(#REF!,"AAAAAG//F3c=")</f>
        <v>#REF!</v>
      </c>
      <c r="DQ50" t="e">
        <f>AND(#REF!,"AAAAAG//F3g=")</f>
        <v>#REF!</v>
      </c>
      <c r="DR50" t="e">
        <f>AND(#REF!,"AAAAAG//F3k=")</f>
        <v>#REF!</v>
      </c>
      <c r="DS50" t="e">
        <f>AND(#REF!,"AAAAAG//F3o=")</f>
        <v>#REF!</v>
      </c>
      <c r="DT50" t="e">
        <f>AND(#REF!,"AAAAAG//F3s=")</f>
        <v>#REF!</v>
      </c>
      <c r="DU50" t="e">
        <f>AND(#REF!,"AAAAAG//F3w=")</f>
        <v>#REF!</v>
      </c>
      <c r="DV50" t="e">
        <f>AND(#REF!,"AAAAAG//F30=")</f>
        <v>#REF!</v>
      </c>
      <c r="DW50" t="e">
        <f>AND(#REF!,"AAAAAG//F34=")</f>
        <v>#REF!</v>
      </c>
      <c r="DX50" t="e">
        <f>AND(#REF!,"AAAAAG//F38=")</f>
        <v>#REF!</v>
      </c>
      <c r="DY50" t="e">
        <f>AND(#REF!,"AAAAAG//F4A=")</f>
        <v>#REF!</v>
      </c>
      <c r="DZ50" t="e">
        <f>AND(#REF!,"AAAAAG//F4E=")</f>
        <v>#REF!</v>
      </c>
      <c r="EA50" t="e">
        <f>AND(#REF!,"AAAAAG//F4I=")</f>
        <v>#REF!</v>
      </c>
      <c r="EB50" t="e">
        <f>AND(#REF!,"AAAAAG//F4M=")</f>
        <v>#REF!</v>
      </c>
      <c r="EC50" t="e">
        <f>AND(#REF!,"AAAAAG//F4Q=")</f>
        <v>#REF!</v>
      </c>
      <c r="ED50" t="e">
        <f>AND(#REF!,"AAAAAG//F4U=")</f>
        <v>#REF!</v>
      </c>
      <c r="EE50" t="e">
        <f>AND(#REF!,"AAAAAG//F4Y=")</f>
        <v>#REF!</v>
      </c>
      <c r="EF50" t="e">
        <f>AND(#REF!,"AAAAAG//F4c=")</f>
        <v>#REF!</v>
      </c>
      <c r="EG50" t="e">
        <f>AND(#REF!,"AAAAAG//F4g=")</f>
        <v>#REF!</v>
      </c>
      <c r="EH50" t="e">
        <f>AND(#REF!,"AAAAAG//F4k=")</f>
        <v>#REF!</v>
      </c>
      <c r="EI50" t="e">
        <f>AND(#REF!,"AAAAAG//F4o=")</f>
        <v>#REF!</v>
      </c>
      <c r="EJ50" t="e">
        <f>AND(#REF!,"AAAAAG//F4s=")</f>
        <v>#REF!</v>
      </c>
      <c r="EK50" t="e">
        <f>AND(#REF!,"AAAAAG//F4w=")</f>
        <v>#REF!</v>
      </c>
      <c r="EL50" t="e">
        <f>AND(#REF!,"AAAAAG//F40=")</f>
        <v>#REF!</v>
      </c>
      <c r="EM50" t="e">
        <f>AND(#REF!,"AAAAAG//F44=")</f>
        <v>#REF!</v>
      </c>
      <c r="EN50" t="e">
        <f>AND(#REF!,"AAAAAG//F48=")</f>
        <v>#REF!</v>
      </c>
      <c r="EO50" t="e">
        <f>AND(#REF!,"AAAAAG//F5A=")</f>
        <v>#REF!</v>
      </c>
      <c r="EP50" t="e">
        <f>AND(#REF!,"AAAAAG//F5E=")</f>
        <v>#REF!</v>
      </c>
      <c r="EQ50" t="e">
        <f>AND(#REF!,"AAAAAG//F5I=")</f>
        <v>#REF!</v>
      </c>
      <c r="ER50" t="e">
        <f>AND(#REF!,"AAAAAG//F5M=")</f>
        <v>#REF!</v>
      </c>
      <c r="ES50" t="e">
        <f>AND(#REF!,"AAAAAG//F5Q=")</f>
        <v>#REF!</v>
      </c>
      <c r="ET50" t="e">
        <f>AND(#REF!,"AAAAAG//F5U=")</f>
        <v>#REF!</v>
      </c>
      <c r="EU50" t="e">
        <f>AND(#REF!,"AAAAAG//F5Y=")</f>
        <v>#REF!</v>
      </c>
      <c r="EV50" t="e">
        <f>AND(#REF!,"AAAAAG//F5c=")</f>
        <v>#REF!</v>
      </c>
      <c r="EW50" t="e">
        <f>AND(#REF!,"AAAAAG//F5g=")</f>
        <v>#REF!</v>
      </c>
      <c r="EX50" t="e">
        <f>AND(#REF!,"AAAAAG//F5k=")</f>
        <v>#REF!</v>
      </c>
      <c r="EY50" t="e">
        <f>AND(#REF!,"AAAAAG//F5o=")</f>
        <v>#REF!</v>
      </c>
      <c r="EZ50" t="e">
        <f>AND(#REF!,"AAAAAG//F5s=")</f>
        <v>#REF!</v>
      </c>
      <c r="FA50" t="e">
        <f>AND(#REF!,"AAAAAG//F5w=")</f>
        <v>#REF!</v>
      </c>
      <c r="FB50" t="e">
        <f>AND(#REF!,"AAAAAG//F50=")</f>
        <v>#REF!</v>
      </c>
      <c r="FC50" t="e">
        <f>AND(#REF!,"AAAAAG//F54=")</f>
        <v>#REF!</v>
      </c>
      <c r="FD50" t="e">
        <f>AND(#REF!,"AAAAAG//F58=")</f>
        <v>#REF!</v>
      </c>
      <c r="FE50" t="e">
        <f>AND(#REF!,"AAAAAG//F6A=")</f>
        <v>#REF!</v>
      </c>
      <c r="FF50" t="e">
        <f>AND(#REF!,"AAAAAG//F6E=")</f>
        <v>#REF!</v>
      </c>
      <c r="FG50" t="e">
        <f>AND(#REF!,"AAAAAG//F6I=")</f>
        <v>#REF!</v>
      </c>
      <c r="FH50" t="e">
        <f>AND(#REF!,"AAAAAG//F6M=")</f>
        <v>#REF!</v>
      </c>
      <c r="FI50" t="e">
        <f>AND(#REF!,"AAAAAG//F6Q=")</f>
        <v>#REF!</v>
      </c>
      <c r="FJ50" t="e">
        <f>AND(#REF!,"AAAAAG//F6U=")</f>
        <v>#REF!</v>
      </c>
      <c r="FK50" t="e">
        <f>AND(#REF!,"AAAAAG//F6Y=")</f>
        <v>#REF!</v>
      </c>
      <c r="FL50" t="e">
        <f>AND(#REF!,"AAAAAG//F6c=")</f>
        <v>#REF!</v>
      </c>
      <c r="FM50" t="e">
        <f>AND(#REF!,"AAAAAG//F6g=")</f>
        <v>#REF!</v>
      </c>
      <c r="FN50" t="e">
        <f>AND(#REF!,"AAAAAG//F6k=")</f>
        <v>#REF!</v>
      </c>
      <c r="FO50" t="e">
        <f>AND(#REF!,"AAAAAG//F6o=")</f>
        <v>#REF!</v>
      </c>
      <c r="FP50" t="e">
        <f>AND(#REF!,"AAAAAG//F6s=")</f>
        <v>#REF!</v>
      </c>
      <c r="FQ50" t="e">
        <f>AND(#REF!,"AAAAAG//F6w=")</f>
        <v>#REF!</v>
      </c>
      <c r="FR50" t="e">
        <f>AND(#REF!,"AAAAAG//F60=")</f>
        <v>#REF!</v>
      </c>
      <c r="FS50" t="e">
        <f>AND(#REF!,"AAAAAG//F64=")</f>
        <v>#REF!</v>
      </c>
      <c r="FT50" t="e">
        <f>AND(#REF!,"AAAAAG//F68=")</f>
        <v>#REF!</v>
      </c>
      <c r="FU50" t="e">
        <f>AND(#REF!,"AAAAAG//F7A=")</f>
        <v>#REF!</v>
      </c>
      <c r="FV50" t="e">
        <f>AND(#REF!,"AAAAAG//F7E=")</f>
        <v>#REF!</v>
      </c>
      <c r="FW50" t="e">
        <f>AND(#REF!,"AAAAAG//F7I=")</f>
        <v>#REF!</v>
      </c>
      <c r="FX50" t="e">
        <f>AND(#REF!,"AAAAAG//F7M=")</f>
        <v>#REF!</v>
      </c>
      <c r="FY50" t="e">
        <f>AND(#REF!,"AAAAAG//F7Q=")</f>
        <v>#REF!</v>
      </c>
      <c r="FZ50" t="e">
        <f>AND(#REF!,"AAAAAG//F7U=")</f>
        <v>#REF!</v>
      </c>
      <c r="GA50" t="e">
        <f>AND(#REF!,"AAAAAG//F7Y=")</f>
        <v>#REF!</v>
      </c>
      <c r="GB50" t="e">
        <f>AND(#REF!,"AAAAAG//F7c=")</f>
        <v>#REF!</v>
      </c>
      <c r="GC50" t="e">
        <f>AND(#REF!,"AAAAAG//F7g=")</f>
        <v>#REF!</v>
      </c>
      <c r="GD50" t="e">
        <f>AND(#REF!,"AAAAAG//F7k=")</f>
        <v>#REF!</v>
      </c>
      <c r="GE50" t="e">
        <f>AND(#REF!,"AAAAAG//F7o=")</f>
        <v>#REF!</v>
      </c>
      <c r="GF50" t="e">
        <f>AND(#REF!,"AAAAAG//F7s=")</f>
        <v>#REF!</v>
      </c>
      <c r="GG50" t="e">
        <f>AND(#REF!,"AAAAAG//F7w=")</f>
        <v>#REF!</v>
      </c>
      <c r="GH50" t="e">
        <f>AND(#REF!,"AAAAAG//F70=")</f>
        <v>#REF!</v>
      </c>
      <c r="GI50" t="e">
        <f>AND(#REF!,"AAAAAG//F74=")</f>
        <v>#REF!</v>
      </c>
      <c r="GJ50" t="e">
        <f>AND(#REF!,"AAAAAG//F78=")</f>
        <v>#REF!</v>
      </c>
      <c r="GK50" t="e">
        <f>AND(#REF!,"AAAAAG//F8A=")</f>
        <v>#REF!</v>
      </c>
      <c r="GL50" t="e">
        <f>AND(#REF!,"AAAAAG//F8E=")</f>
        <v>#REF!</v>
      </c>
      <c r="GM50" t="e">
        <f>AND(#REF!,"AAAAAG//F8I=")</f>
        <v>#REF!</v>
      </c>
      <c r="GN50" t="e">
        <f>AND(#REF!,"AAAAAG//F8M=")</f>
        <v>#REF!</v>
      </c>
      <c r="GO50" t="e">
        <f>AND(#REF!,"AAAAAG//F8Q=")</f>
        <v>#REF!</v>
      </c>
      <c r="GP50" t="e">
        <f>AND(#REF!,"AAAAAG//F8U=")</f>
        <v>#REF!</v>
      </c>
      <c r="GQ50" t="e">
        <f>AND(#REF!,"AAAAAG//F8Y=")</f>
        <v>#REF!</v>
      </c>
      <c r="GR50" t="e">
        <f>AND(#REF!,"AAAAAG//F8c=")</f>
        <v>#REF!</v>
      </c>
      <c r="GS50" t="e">
        <f>AND(#REF!,"AAAAAG//F8g=")</f>
        <v>#REF!</v>
      </c>
      <c r="GT50" t="e">
        <f>AND(#REF!,"AAAAAG//F8k=")</f>
        <v>#REF!</v>
      </c>
      <c r="GU50" t="e">
        <f>AND(#REF!,"AAAAAG//F8o=")</f>
        <v>#REF!</v>
      </c>
      <c r="GV50" t="e">
        <f>AND(#REF!,"AAAAAG//F8s=")</f>
        <v>#REF!</v>
      </c>
      <c r="GW50" t="e">
        <f>AND(#REF!,"AAAAAG//F8w=")</f>
        <v>#REF!</v>
      </c>
      <c r="GX50" t="e">
        <f>AND(#REF!,"AAAAAG//F80=")</f>
        <v>#REF!</v>
      </c>
      <c r="GY50" t="e">
        <f>AND(#REF!,"AAAAAG//F84=")</f>
        <v>#REF!</v>
      </c>
      <c r="GZ50" t="e">
        <f>AND(#REF!,"AAAAAG//F88=")</f>
        <v>#REF!</v>
      </c>
      <c r="HA50" t="e">
        <f>AND(#REF!,"AAAAAG//F9A=")</f>
        <v>#REF!</v>
      </c>
      <c r="HB50" t="e">
        <f>AND(#REF!,"AAAAAG//F9E=")</f>
        <v>#REF!</v>
      </c>
      <c r="HC50" t="e">
        <f>AND(#REF!,"AAAAAG//F9I=")</f>
        <v>#REF!</v>
      </c>
      <c r="HD50" t="e">
        <f>AND(#REF!,"AAAAAG//F9M=")</f>
        <v>#REF!</v>
      </c>
      <c r="HE50" t="e">
        <f>AND(#REF!,"AAAAAG//F9Q=")</f>
        <v>#REF!</v>
      </c>
      <c r="HF50" t="e">
        <f>AND(#REF!,"AAAAAG//F9U=")</f>
        <v>#REF!</v>
      </c>
      <c r="HG50" t="e">
        <f>AND(#REF!,"AAAAAG//F9Y=")</f>
        <v>#REF!</v>
      </c>
      <c r="HH50" t="e">
        <f>AND(#REF!,"AAAAAG//F9c=")</f>
        <v>#REF!</v>
      </c>
      <c r="HI50" t="e">
        <f>AND(#REF!,"AAAAAG//F9g=")</f>
        <v>#REF!</v>
      </c>
      <c r="HJ50" t="e">
        <f>AND(#REF!,"AAAAAG//F9k=")</f>
        <v>#REF!</v>
      </c>
      <c r="HK50" t="e">
        <f>AND(#REF!,"AAAAAG//F9o=")</f>
        <v>#REF!</v>
      </c>
      <c r="HL50" t="e">
        <f>AND(#REF!,"AAAAAG//F9s=")</f>
        <v>#REF!</v>
      </c>
      <c r="HM50" t="e">
        <f>AND(#REF!,"AAAAAG//F9w=")</f>
        <v>#REF!</v>
      </c>
      <c r="HN50" t="e">
        <f>AND(#REF!,"AAAAAG//F90=")</f>
        <v>#REF!</v>
      </c>
      <c r="HO50" t="e">
        <f>AND(#REF!,"AAAAAG//F94=")</f>
        <v>#REF!</v>
      </c>
      <c r="HP50" t="e">
        <f>AND(#REF!,"AAAAAG//F98=")</f>
        <v>#REF!</v>
      </c>
      <c r="HQ50" t="e">
        <f>AND(#REF!,"AAAAAG//F+A=")</f>
        <v>#REF!</v>
      </c>
      <c r="HR50" t="e">
        <f>AND(#REF!,"AAAAAG//F+E=")</f>
        <v>#REF!</v>
      </c>
      <c r="HS50" t="e">
        <f>AND(#REF!,"AAAAAG//F+I=")</f>
        <v>#REF!</v>
      </c>
      <c r="HT50" t="e">
        <f>AND(#REF!,"AAAAAG//F+M=")</f>
        <v>#REF!</v>
      </c>
      <c r="HU50" t="e">
        <f>AND(#REF!,"AAAAAG//F+Q=")</f>
        <v>#REF!</v>
      </c>
      <c r="HV50" t="e">
        <f>AND(#REF!,"AAAAAG//F+U=")</f>
        <v>#REF!</v>
      </c>
      <c r="HW50" t="e">
        <f>AND(#REF!,"AAAAAG//F+Y=")</f>
        <v>#REF!</v>
      </c>
      <c r="HX50" t="e">
        <f>AND(#REF!,"AAAAAG//F+c=")</f>
        <v>#REF!</v>
      </c>
      <c r="HY50" t="e">
        <f>AND(#REF!,"AAAAAG//F+g=")</f>
        <v>#REF!</v>
      </c>
      <c r="HZ50" t="e">
        <f>AND(#REF!,"AAAAAG//F+k=")</f>
        <v>#REF!</v>
      </c>
      <c r="IA50" t="e">
        <f>AND(#REF!,"AAAAAG//F+o=")</f>
        <v>#REF!</v>
      </c>
      <c r="IB50" t="e">
        <f>AND(#REF!,"AAAAAG//F+s=")</f>
        <v>#REF!</v>
      </c>
      <c r="IC50" t="e">
        <f>AND(#REF!,"AAAAAG//F+w=")</f>
        <v>#REF!</v>
      </c>
      <c r="ID50" t="e">
        <f>AND(#REF!,"AAAAAG//F+0=")</f>
        <v>#REF!</v>
      </c>
      <c r="IE50" t="e">
        <f>AND(#REF!,"AAAAAG//F+4=")</f>
        <v>#REF!</v>
      </c>
      <c r="IF50" t="e">
        <f>AND(#REF!,"AAAAAG//F+8=")</f>
        <v>#REF!</v>
      </c>
      <c r="IG50" t="e">
        <f>AND(#REF!,"AAAAAG//F/A=")</f>
        <v>#REF!</v>
      </c>
      <c r="IH50" t="e">
        <f>AND(#REF!,"AAAAAG//F/E=")</f>
        <v>#REF!</v>
      </c>
      <c r="II50" t="e">
        <f>AND(#REF!,"AAAAAG//F/I=")</f>
        <v>#REF!</v>
      </c>
      <c r="IJ50" t="e">
        <f>AND(#REF!,"AAAAAG//F/M=")</f>
        <v>#REF!</v>
      </c>
      <c r="IK50" t="e">
        <f>AND(#REF!,"AAAAAG//F/Q=")</f>
        <v>#REF!</v>
      </c>
      <c r="IL50" t="e">
        <f>AND(#REF!,"AAAAAG//F/U=")</f>
        <v>#REF!</v>
      </c>
      <c r="IM50" t="e">
        <f>AND(#REF!,"AAAAAG//F/Y=")</f>
        <v>#REF!</v>
      </c>
      <c r="IN50" t="e">
        <f>AND(#REF!,"AAAAAG//F/c=")</f>
        <v>#REF!</v>
      </c>
      <c r="IO50" t="e">
        <f>AND(#REF!,"AAAAAG//F/g=")</f>
        <v>#REF!</v>
      </c>
      <c r="IP50" t="e">
        <f>AND(#REF!,"AAAAAG//F/k=")</f>
        <v>#REF!</v>
      </c>
      <c r="IQ50" t="e">
        <f>AND(#REF!,"AAAAAG//F/o=")</f>
        <v>#REF!</v>
      </c>
      <c r="IR50" t="e">
        <f>AND(#REF!,"AAAAAG//F/s=")</f>
        <v>#REF!</v>
      </c>
      <c r="IS50" t="e">
        <f>AND(#REF!,"AAAAAG//F/w=")</f>
        <v>#REF!</v>
      </c>
      <c r="IT50" t="e">
        <f>AND(#REF!,"AAAAAG//F/0=")</f>
        <v>#REF!</v>
      </c>
      <c r="IU50" t="e">
        <f>AND(#REF!,"AAAAAG//F/4=")</f>
        <v>#REF!</v>
      </c>
      <c r="IV50" t="e">
        <f>AND(#REF!,"AAAAAG//F/8=")</f>
        <v>#REF!</v>
      </c>
    </row>
    <row r="51" spans="1:256">
      <c r="A51" t="e">
        <f>AND(#REF!,"AAAAAGVvzwA=")</f>
        <v>#REF!</v>
      </c>
      <c r="B51" t="e">
        <f>AND(#REF!,"AAAAAGVvzwE=")</f>
        <v>#REF!</v>
      </c>
      <c r="C51" t="e">
        <f>AND(#REF!,"AAAAAGVvzwI=")</f>
        <v>#REF!</v>
      </c>
      <c r="D51" t="e">
        <f>AND(#REF!,"AAAAAGVvzwM=")</f>
        <v>#REF!</v>
      </c>
      <c r="E51" t="e">
        <f>AND(#REF!,"AAAAAGVvzwQ=")</f>
        <v>#REF!</v>
      </c>
      <c r="F51" t="e">
        <f>AND(#REF!,"AAAAAGVvzwU=")</f>
        <v>#REF!</v>
      </c>
      <c r="G51" t="e">
        <f>AND(#REF!,"AAAAAGVvzwY=")</f>
        <v>#REF!</v>
      </c>
      <c r="H51" t="e">
        <f>AND(#REF!,"AAAAAGVvzwc=")</f>
        <v>#REF!</v>
      </c>
      <c r="I51" t="e">
        <f>AND(#REF!,"AAAAAGVvzwg=")</f>
        <v>#REF!</v>
      </c>
      <c r="J51" t="e">
        <f>AND(#REF!,"AAAAAGVvzwk=")</f>
        <v>#REF!</v>
      </c>
      <c r="K51" t="e">
        <f>AND(#REF!,"AAAAAGVvzwo=")</f>
        <v>#REF!</v>
      </c>
      <c r="L51" t="e">
        <f>AND(#REF!,"AAAAAGVvzws=")</f>
        <v>#REF!</v>
      </c>
      <c r="M51" t="e">
        <f>AND(#REF!,"AAAAAGVvzww=")</f>
        <v>#REF!</v>
      </c>
      <c r="N51" t="e">
        <f>AND(#REF!,"AAAAAGVvzw0=")</f>
        <v>#REF!</v>
      </c>
      <c r="O51" t="e">
        <f>AND(#REF!,"AAAAAGVvzw4=")</f>
        <v>#REF!</v>
      </c>
      <c r="P51" t="e">
        <f>AND(#REF!,"AAAAAGVvzw8=")</f>
        <v>#REF!</v>
      </c>
      <c r="Q51" t="e">
        <f>AND(#REF!,"AAAAAGVvzxA=")</f>
        <v>#REF!</v>
      </c>
      <c r="R51" t="e">
        <f>AND(#REF!,"AAAAAGVvzxE=")</f>
        <v>#REF!</v>
      </c>
      <c r="S51" t="e">
        <f>AND(#REF!,"AAAAAGVvzxI=")</f>
        <v>#REF!</v>
      </c>
      <c r="T51" t="e">
        <f>AND(#REF!,"AAAAAGVvzxM=")</f>
        <v>#REF!</v>
      </c>
      <c r="U51" t="e">
        <f>AND(#REF!,"AAAAAGVvzxQ=")</f>
        <v>#REF!</v>
      </c>
      <c r="V51" t="e">
        <f>AND(#REF!,"AAAAAGVvzxU=")</f>
        <v>#REF!</v>
      </c>
      <c r="W51" t="e">
        <f>AND(#REF!,"AAAAAGVvzxY=")</f>
        <v>#REF!</v>
      </c>
      <c r="X51" t="e">
        <f>AND(#REF!,"AAAAAGVvzxc=")</f>
        <v>#REF!</v>
      </c>
      <c r="Y51" t="e">
        <f>AND(#REF!,"AAAAAGVvzxg=")</f>
        <v>#REF!</v>
      </c>
      <c r="Z51" t="e">
        <f>AND(#REF!,"AAAAAGVvzxk=")</f>
        <v>#REF!</v>
      </c>
      <c r="AA51" t="e">
        <f>AND(#REF!,"AAAAAGVvzxo=")</f>
        <v>#REF!</v>
      </c>
      <c r="AB51" t="e">
        <f>AND(#REF!,"AAAAAGVvzxs=")</f>
        <v>#REF!</v>
      </c>
      <c r="AC51" t="e">
        <f>AND(#REF!,"AAAAAGVvzxw=")</f>
        <v>#REF!</v>
      </c>
      <c r="AD51" t="e">
        <f>AND(#REF!,"AAAAAGVvzx0=")</f>
        <v>#REF!</v>
      </c>
      <c r="AE51" t="e">
        <f>AND(#REF!,"AAAAAGVvzx4=")</f>
        <v>#REF!</v>
      </c>
      <c r="AF51" t="e">
        <f>AND(#REF!,"AAAAAGVvzx8=")</f>
        <v>#REF!</v>
      </c>
      <c r="AG51" t="e">
        <f>IF(#REF!,"AAAAAGVvzyA=",0)</f>
        <v>#REF!</v>
      </c>
      <c r="AH51" t="e">
        <f>AND(#REF!,"AAAAAGVvzyE=")</f>
        <v>#REF!</v>
      </c>
      <c r="AI51" t="e">
        <f>AND(#REF!,"AAAAAGVvzyI=")</f>
        <v>#REF!</v>
      </c>
      <c r="AJ51" t="e">
        <f>AND(#REF!,"AAAAAGVvzyM=")</f>
        <v>#REF!</v>
      </c>
      <c r="AK51" t="e">
        <f>AND(#REF!,"AAAAAGVvzyQ=")</f>
        <v>#REF!</v>
      </c>
      <c r="AL51" t="e">
        <f>AND(#REF!,"AAAAAGVvzyU=")</f>
        <v>#REF!</v>
      </c>
      <c r="AM51" t="e">
        <f>AND(#REF!,"AAAAAGVvzyY=")</f>
        <v>#REF!</v>
      </c>
      <c r="AN51" t="e">
        <f>AND(#REF!,"AAAAAGVvzyc=")</f>
        <v>#REF!</v>
      </c>
      <c r="AO51" t="e">
        <f>AND(#REF!,"AAAAAGVvzyg=")</f>
        <v>#REF!</v>
      </c>
      <c r="AP51" t="e">
        <f>AND(#REF!,"AAAAAGVvzyk=")</f>
        <v>#REF!</v>
      </c>
      <c r="AQ51" t="e">
        <f>AND(#REF!,"AAAAAGVvzyo=")</f>
        <v>#REF!</v>
      </c>
      <c r="AR51" t="e">
        <f>AND(#REF!,"AAAAAGVvzys=")</f>
        <v>#REF!</v>
      </c>
      <c r="AS51" t="e">
        <f>AND(#REF!,"AAAAAGVvzyw=")</f>
        <v>#REF!</v>
      </c>
      <c r="AT51" t="e">
        <f>AND(#REF!,"AAAAAGVvzy0=")</f>
        <v>#REF!</v>
      </c>
      <c r="AU51" t="e">
        <f>AND(#REF!,"AAAAAGVvzy4=")</f>
        <v>#REF!</v>
      </c>
      <c r="AV51" t="e">
        <f>AND(#REF!,"AAAAAGVvzy8=")</f>
        <v>#REF!</v>
      </c>
      <c r="AW51" t="e">
        <f>AND(#REF!,"AAAAAGVvzzA=")</f>
        <v>#REF!</v>
      </c>
      <c r="AX51" t="e">
        <f>AND(#REF!,"AAAAAGVvzzE=")</f>
        <v>#REF!</v>
      </c>
      <c r="AY51" t="e">
        <f>AND(#REF!,"AAAAAGVvzzI=")</f>
        <v>#REF!</v>
      </c>
      <c r="AZ51" t="e">
        <f>AND(#REF!,"AAAAAGVvzzM=")</f>
        <v>#REF!</v>
      </c>
      <c r="BA51" t="e">
        <f>AND(#REF!,"AAAAAGVvzzQ=")</f>
        <v>#REF!</v>
      </c>
      <c r="BB51" t="e">
        <f>AND(#REF!,"AAAAAGVvzzU=")</f>
        <v>#REF!</v>
      </c>
      <c r="BC51" t="e">
        <f>AND(#REF!,"AAAAAGVvzzY=")</f>
        <v>#REF!</v>
      </c>
      <c r="BD51" t="e">
        <f>AND(#REF!,"AAAAAGVvzzc=")</f>
        <v>#REF!</v>
      </c>
      <c r="BE51" t="e">
        <f>AND(#REF!,"AAAAAGVvzzg=")</f>
        <v>#REF!</v>
      </c>
      <c r="BF51" t="e">
        <f>AND(#REF!,"AAAAAGVvzzk=")</f>
        <v>#REF!</v>
      </c>
      <c r="BG51" t="e">
        <f>AND(#REF!,"AAAAAGVvzzo=")</f>
        <v>#REF!</v>
      </c>
      <c r="BH51" t="e">
        <f>AND(#REF!,"AAAAAGVvzzs=")</f>
        <v>#REF!</v>
      </c>
      <c r="BI51" t="e">
        <f>AND(#REF!,"AAAAAGVvzzw=")</f>
        <v>#REF!</v>
      </c>
      <c r="BJ51" t="e">
        <f>AND(#REF!,"AAAAAGVvzz0=")</f>
        <v>#REF!</v>
      </c>
      <c r="BK51" t="e">
        <f>AND(#REF!,"AAAAAGVvzz4=")</f>
        <v>#REF!</v>
      </c>
      <c r="BL51" t="e">
        <f>AND(#REF!,"AAAAAGVvzz8=")</f>
        <v>#REF!</v>
      </c>
      <c r="BM51" t="e">
        <f>AND(#REF!,"AAAAAGVvz0A=")</f>
        <v>#REF!</v>
      </c>
      <c r="BN51" t="e">
        <f>AND(#REF!,"AAAAAGVvz0E=")</f>
        <v>#REF!</v>
      </c>
      <c r="BO51" t="e">
        <f>AND(#REF!,"AAAAAGVvz0I=")</f>
        <v>#REF!</v>
      </c>
      <c r="BP51" t="e">
        <f>AND(#REF!,"AAAAAGVvz0M=")</f>
        <v>#REF!</v>
      </c>
      <c r="BQ51" t="e">
        <f>AND(#REF!,"AAAAAGVvz0Q=")</f>
        <v>#REF!</v>
      </c>
      <c r="BR51" t="e">
        <f>AND(#REF!,"AAAAAGVvz0U=")</f>
        <v>#REF!</v>
      </c>
      <c r="BS51" t="e">
        <f>AND(#REF!,"AAAAAGVvz0Y=")</f>
        <v>#REF!</v>
      </c>
      <c r="BT51" t="e">
        <f>AND(#REF!,"AAAAAGVvz0c=")</f>
        <v>#REF!</v>
      </c>
      <c r="BU51" t="e">
        <f>AND(#REF!,"AAAAAGVvz0g=")</f>
        <v>#REF!</v>
      </c>
      <c r="BV51" t="e">
        <f>AND(#REF!,"AAAAAGVvz0k=")</f>
        <v>#REF!</v>
      </c>
      <c r="BW51" t="e">
        <f>AND(#REF!,"AAAAAGVvz0o=")</f>
        <v>#REF!</v>
      </c>
      <c r="BX51" t="e">
        <f>AND(#REF!,"AAAAAGVvz0s=")</f>
        <v>#REF!</v>
      </c>
      <c r="BY51" t="e">
        <f>AND(#REF!,"AAAAAGVvz0w=")</f>
        <v>#REF!</v>
      </c>
      <c r="BZ51" t="e">
        <f>AND(#REF!,"AAAAAGVvz00=")</f>
        <v>#REF!</v>
      </c>
      <c r="CA51" t="e">
        <f>AND(#REF!,"AAAAAGVvz04=")</f>
        <v>#REF!</v>
      </c>
      <c r="CB51" t="e">
        <f>AND(#REF!,"AAAAAGVvz08=")</f>
        <v>#REF!</v>
      </c>
      <c r="CC51" t="e">
        <f>AND(#REF!,"AAAAAGVvz1A=")</f>
        <v>#REF!</v>
      </c>
      <c r="CD51" t="e">
        <f>AND(#REF!,"AAAAAGVvz1E=")</f>
        <v>#REF!</v>
      </c>
      <c r="CE51" t="e">
        <f>AND(#REF!,"AAAAAGVvz1I=")</f>
        <v>#REF!</v>
      </c>
      <c r="CF51" t="e">
        <f>AND(#REF!,"AAAAAGVvz1M=")</f>
        <v>#REF!</v>
      </c>
      <c r="CG51" t="e">
        <f>AND(#REF!,"AAAAAGVvz1Q=")</f>
        <v>#REF!</v>
      </c>
      <c r="CH51" t="e">
        <f>AND(#REF!,"AAAAAGVvz1U=")</f>
        <v>#REF!</v>
      </c>
      <c r="CI51" t="e">
        <f>AND(#REF!,"AAAAAGVvz1Y=")</f>
        <v>#REF!</v>
      </c>
      <c r="CJ51" t="e">
        <f>AND(#REF!,"AAAAAGVvz1c=")</f>
        <v>#REF!</v>
      </c>
      <c r="CK51" t="e">
        <f>AND(#REF!,"AAAAAGVvz1g=")</f>
        <v>#REF!</v>
      </c>
      <c r="CL51" t="e">
        <f>AND(#REF!,"AAAAAGVvz1k=")</f>
        <v>#REF!</v>
      </c>
      <c r="CM51" t="e">
        <f>AND(#REF!,"AAAAAGVvz1o=")</f>
        <v>#REF!</v>
      </c>
      <c r="CN51" t="e">
        <f>AND(#REF!,"AAAAAGVvz1s=")</f>
        <v>#REF!</v>
      </c>
      <c r="CO51" t="e">
        <f>AND(#REF!,"AAAAAGVvz1w=")</f>
        <v>#REF!</v>
      </c>
      <c r="CP51" t="e">
        <f>AND(#REF!,"AAAAAGVvz10=")</f>
        <v>#REF!</v>
      </c>
      <c r="CQ51" t="e">
        <f>AND(#REF!,"AAAAAGVvz14=")</f>
        <v>#REF!</v>
      </c>
      <c r="CR51" t="e">
        <f>AND(#REF!,"AAAAAGVvz18=")</f>
        <v>#REF!</v>
      </c>
      <c r="CS51" t="e">
        <f>AND(#REF!,"AAAAAGVvz2A=")</f>
        <v>#REF!</v>
      </c>
      <c r="CT51" t="e">
        <f>AND(#REF!,"AAAAAGVvz2E=")</f>
        <v>#REF!</v>
      </c>
      <c r="CU51" t="e">
        <f>AND(#REF!,"AAAAAGVvz2I=")</f>
        <v>#REF!</v>
      </c>
      <c r="CV51" t="e">
        <f>AND(#REF!,"AAAAAGVvz2M=")</f>
        <v>#REF!</v>
      </c>
      <c r="CW51" t="e">
        <f>AND(#REF!,"AAAAAGVvz2Q=")</f>
        <v>#REF!</v>
      </c>
      <c r="CX51" t="e">
        <f>AND(#REF!,"AAAAAGVvz2U=")</f>
        <v>#REF!</v>
      </c>
      <c r="CY51" t="e">
        <f>AND(#REF!,"AAAAAGVvz2Y=")</f>
        <v>#REF!</v>
      </c>
      <c r="CZ51" t="e">
        <f>AND(#REF!,"AAAAAGVvz2c=")</f>
        <v>#REF!</v>
      </c>
      <c r="DA51" t="e">
        <f>AND(#REF!,"AAAAAGVvz2g=")</f>
        <v>#REF!</v>
      </c>
      <c r="DB51" t="e">
        <f>AND(#REF!,"AAAAAGVvz2k=")</f>
        <v>#REF!</v>
      </c>
      <c r="DC51" t="e">
        <f>AND(#REF!,"AAAAAGVvz2o=")</f>
        <v>#REF!</v>
      </c>
      <c r="DD51" t="e">
        <f>AND(#REF!,"AAAAAGVvz2s=")</f>
        <v>#REF!</v>
      </c>
      <c r="DE51" t="e">
        <f>AND(#REF!,"AAAAAGVvz2w=")</f>
        <v>#REF!</v>
      </c>
      <c r="DF51" t="e">
        <f>AND(#REF!,"AAAAAGVvz20=")</f>
        <v>#REF!</v>
      </c>
      <c r="DG51" t="e">
        <f>AND(#REF!,"AAAAAGVvz24=")</f>
        <v>#REF!</v>
      </c>
      <c r="DH51" t="e">
        <f>AND(#REF!,"AAAAAGVvz28=")</f>
        <v>#REF!</v>
      </c>
      <c r="DI51" t="e">
        <f>AND(#REF!,"AAAAAGVvz3A=")</f>
        <v>#REF!</v>
      </c>
      <c r="DJ51" t="e">
        <f>AND(#REF!,"AAAAAGVvz3E=")</f>
        <v>#REF!</v>
      </c>
      <c r="DK51" t="e">
        <f>AND(#REF!,"AAAAAGVvz3I=")</f>
        <v>#REF!</v>
      </c>
      <c r="DL51" t="e">
        <f>AND(#REF!,"AAAAAGVvz3M=")</f>
        <v>#REF!</v>
      </c>
      <c r="DM51" t="e">
        <f>AND(#REF!,"AAAAAGVvz3Q=")</f>
        <v>#REF!</v>
      </c>
      <c r="DN51" t="e">
        <f>AND(#REF!,"AAAAAGVvz3U=")</f>
        <v>#REF!</v>
      </c>
      <c r="DO51" t="e">
        <f>AND(#REF!,"AAAAAGVvz3Y=")</f>
        <v>#REF!</v>
      </c>
      <c r="DP51" t="e">
        <f>AND(#REF!,"AAAAAGVvz3c=")</f>
        <v>#REF!</v>
      </c>
      <c r="DQ51" t="e">
        <f>AND(#REF!,"AAAAAGVvz3g=")</f>
        <v>#REF!</v>
      </c>
      <c r="DR51" t="e">
        <f>AND(#REF!,"AAAAAGVvz3k=")</f>
        <v>#REF!</v>
      </c>
      <c r="DS51" t="e">
        <f>AND(#REF!,"AAAAAGVvz3o=")</f>
        <v>#REF!</v>
      </c>
      <c r="DT51" t="e">
        <f>AND(#REF!,"AAAAAGVvz3s=")</f>
        <v>#REF!</v>
      </c>
      <c r="DU51" t="e">
        <f>AND(#REF!,"AAAAAGVvz3w=")</f>
        <v>#REF!</v>
      </c>
      <c r="DV51" t="e">
        <f>AND(#REF!,"AAAAAGVvz30=")</f>
        <v>#REF!</v>
      </c>
      <c r="DW51" t="e">
        <f>AND(#REF!,"AAAAAGVvz34=")</f>
        <v>#REF!</v>
      </c>
      <c r="DX51" t="e">
        <f>AND(#REF!,"AAAAAGVvz38=")</f>
        <v>#REF!</v>
      </c>
      <c r="DY51" t="e">
        <f>AND(#REF!,"AAAAAGVvz4A=")</f>
        <v>#REF!</v>
      </c>
      <c r="DZ51" t="e">
        <f>AND(#REF!,"AAAAAGVvz4E=")</f>
        <v>#REF!</v>
      </c>
      <c r="EA51" t="e">
        <f>AND(#REF!,"AAAAAGVvz4I=")</f>
        <v>#REF!</v>
      </c>
      <c r="EB51" t="e">
        <f>AND(#REF!,"AAAAAGVvz4M=")</f>
        <v>#REF!</v>
      </c>
      <c r="EC51" t="e">
        <f>AND(#REF!,"AAAAAGVvz4Q=")</f>
        <v>#REF!</v>
      </c>
      <c r="ED51" t="e">
        <f>AND(#REF!,"AAAAAGVvz4U=")</f>
        <v>#REF!</v>
      </c>
      <c r="EE51" t="e">
        <f>AND(#REF!,"AAAAAGVvz4Y=")</f>
        <v>#REF!</v>
      </c>
      <c r="EF51" t="e">
        <f>AND(#REF!,"AAAAAGVvz4c=")</f>
        <v>#REF!</v>
      </c>
      <c r="EG51" t="e">
        <f>AND(#REF!,"AAAAAGVvz4g=")</f>
        <v>#REF!</v>
      </c>
      <c r="EH51" t="e">
        <f>AND(#REF!,"AAAAAGVvz4k=")</f>
        <v>#REF!</v>
      </c>
      <c r="EI51" t="e">
        <f>AND(#REF!,"AAAAAGVvz4o=")</f>
        <v>#REF!</v>
      </c>
      <c r="EJ51" t="e">
        <f>AND(#REF!,"AAAAAGVvz4s=")</f>
        <v>#REF!</v>
      </c>
      <c r="EK51" t="e">
        <f>AND(#REF!,"AAAAAGVvz4w=")</f>
        <v>#REF!</v>
      </c>
      <c r="EL51" t="e">
        <f>AND(#REF!,"AAAAAGVvz40=")</f>
        <v>#REF!</v>
      </c>
      <c r="EM51" t="e">
        <f>AND(#REF!,"AAAAAGVvz44=")</f>
        <v>#REF!</v>
      </c>
      <c r="EN51" t="e">
        <f>AND(#REF!,"AAAAAGVvz48=")</f>
        <v>#REF!</v>
      </c>
      <c r="EO51" t="e">
        <f>AND(#REF!,"AAAAAGVvz5A=")</f>
        <v>#REF!</v>
      </c>
      <c r="EP51" t="e">
        <f>AND(#REF!,"AAAAAGVvz5E=")</f>
        <v>#REF!</v>
      </c>
      <c r="EQ51" t="e">
        <f>AND(#REF!,"AAAAAGVvz5I=")</f>
        <v>#REF!</v>
      </c>
      <c r="ER51" t="e">
        <f>AND(#REF!,"AAAAAGVvz5M=")</f>
        <v>#REF!</v>
      </c>
      <c r="ES51" t="e">
        <f>AND(#REF!,"AAAAAGVvz5Q=")</f>
        <v>#REF!</v>
      </c>
      <c r="ET51" t="e">
        <f>AND(#REF!,"AAAAAGVvz5U=")</f>
        <v>#REF!</v>
      </c>
      <c r="EU51" t="e">
        <f>AND(#REF!,"AAAAAGVvz5Y=")</f>
        <v>#REF!</v>
      </c>
      <c r="EV51" t="e">
        <f>AND(#REF!,"AAAAAGVvz5c=")</f>
        <v>#REF!</v>
      </c>
      <c r="EW51" t="e">
        <f>AND(#REF!,"AAAAAGVvz5g=")</f>
        <v>#REF!</v>
      </c>
      <c r="EX51" t="e">
        <f>IF(#REF!,"AAAAAGVvz5k=",0)</f>
        <v>#REF!</v>
      </c>
      <c r="EY51" t="e">
        <f>AND(#REF!,"AAAAAGVvz5o=")</f>
        <v>#REF!</v>
      </c>
      <c r="EZ51" t="e">
        <f>AND(#REF!,"AAAAAGVvz5s=")</f>
        <v>#REF!</v>
      </c>
      <c r="FA51" t="e">
        <f>AND(#REF!,"AAAAAGVvz5w=")</f>
        <v>#REF!</v>
      </c>
      <c r="FB51" t="e">
        <f>AND(#REF!,"AAAAAGVvz50=")</f>
        <v>#REF!</v>
      </c>
      <c r="FC51" t="e">
        <f>AND(#REF!,"AAAAAGVvz54=")</f>
        <v>#REF!</v>
      </c>
      <c r="FD51" t="e">
        <f>AND(#REF!,"AAAAAGVvz58=")</f>
        <v>#REF!</v>
      </c>
      <c r="FE51" t="e">
        <f>AND(#REF!,"AAAAAGVvz6A=")</f>
        <v>#REF!</v>
      </c>
      <c r="FF51" t="e">
        <f>AND(#REF!,"AAAAAGVvz6E=")</f>
        <v>#REF!</v>
      </c>
      <c r="FG51" t="e">
        <f>AND(#REF!,"AAAAAGVvz6I=")</f>
        <v>#REF!</v>
      </c>
      <c r="FH51" t="e">
        <f>AND(#REF!,"AAAAAGVvz6M=")</f>
        <v>#REF!</v>
      </c>
      <c r="FI51" t="e">
        <f>AND(#REF!,"AAAAAGVvz6Q=")</f>
        <v>#REF!</v>
      </c>
      <c r="FJ51" t="e">
        <f>AND(#REF!,"AAAAAGVvz6U=")</f>
        <v>#REF!</v>
      </c>
      <c r="FK51" t="e">
        <f>AND(#REF!,"AAAAAGVvz6Y=")</f>
        <v>#REF!</v>
      </c>
      <c r="FL51" t="e">
        <f>AND(#REF!,"AAAAAGVvz6c=")</f>
        <v>#REF!</v>
      </c>
      <c r="FM51" t="e">
        <f>AND(#REF!,"AAAAAGVvz6g=")</f>
        <v>#REF!</v>
      </c>
      <c r="FN51" t="e">
        <f>AND(#REF!,"AAAAAGVvz6k=")</f>
        <v>#REF!</v>
      </c>
      <c r="FO51" t="e">
        <f>AND(#REF!,"AAAAAGVvz6o=")</f>
        <v>#REF!</v>
      </c>
      <c r="FP51" t="e">
        <f>AND(#REF!,"AAAAAGVvz6s=")</f>
        <v>#REF!</v>
      </c>
      <c r="FQ51" t="e">
        <f>AND(#REF!,"AAAAAGVvz6w=")</f>
        <v>#REF!</v>
      </c>
      <c r="FR51" t="e">
        <f>AND(#REF!,"AAAAAGVvz60=")</f>
        <v>#REF!</v>
      </c>
      <c r="FS51" t="e">
        <f>AND(#REF!,"AAAAAGVvz64=")</f>
        <v>#REF!</v>
      </c>
      <c r="FT51" t="e">
        <f>AND(#REF!,"AAAAAGVvz68=")</f>
        <v>#REF!</v>
      </c>
      <c r="FU51" t="e">
        <f>AND(#REF!,"AAAAAGVvz7A=")</f>
        <v>#REF!</v>
      </c>
      <c r="FV51" t="e">
        <f>AND(#REF!,"AAAAAGVvz7E=")</f>
        <v>#REF!</v>
      </c>
      <c r="FW51" t="e">
        <f>AND(#REF!,"AAAAAGVvz7I=")</f>
        <v>#REF!</v>
      </c>
      <c r="FX51" t="e">
        <f>AND(#REF!,"AAAAAGVvz7M=")</f>
        <v>#REF!</v>
      </c>
      <c r="FY51" t="e">
        <f>AND(#REF!,"AAAAAGVvz7Q=")</f>
        <v>#REF!</v>
      </c>
      <c r="FZ51" t="e">
        <f>AND(#REF!,"AAAAAGVvz7U=")</f>
        <v>#REF!</v>
      </c>
      <c r="GA51" t="e">
        <f>AND(#REF!,"AAAAAGVvz7Y=")</f>
        <v>#REF!</v>
      </c>
      <c r="GB51" t="e">
        <f>AND(#REF!,"AAAAAGVvz7c=")</f>
        <v>#REF!</v>
      </c>
      <c r="GC51" t="e">
        <f>AND(#REF!,"AAAAAGVvz7g=")</f>
        <v>#REF!</v>
      </c>
      <c r="GD51" t="e">
        <f>AND(#REF!,"AAAAAGVvz7k=")</f>
        <v>#REF!</v>
      </c>
      <c r="GE51" t="e">
        <f>AND(#REF!,"AAAAAGVvz7o=")</f>
        <v>#REF!</v>
      </c>
      <c r="GF51" t="e">
        <f>AND(#REF!,"AAAAAGVvz7s=")</f>
        <v>#REF!</v>
      </c>
      <c r="GG51" t="e">
        <f>AND(#REF!,"AAAAAGVvz7w=")</f>
        <v>#REF!</v>
      </c>
      <c r="GH51" t="e">
        <f>AND(#REF!,"AAAAAGVvz70=")</f>
        <v>#REF!</v>
      </c>
      <c r="GI51" t="e">
        <f>AND(#REF!,"AAAAAGVvz74=")</f>
        <v>#REF!</v>
      </c>
      <c r="GJ51" t="e">
        <f>AND(#REF!,"AAAAAGVvz78=")</f>
        <v>#REF!</v>
      </c>
      <c r="GK51" t="e">
        <f>AND(#REF!,"AAAAAGVvz8A=")</f>
        <v>#REF!</v>
      </c>
      <c r="GL51" t="e">
        <f>AND(#REF!,"AAAAAGVvz8E=")</f>
        <v>#REF!</v>
      </c>
      <c r="GM51" t="e">
        <f>AND(#REF!,"AAAAAGVvz8I=")</f>
        <v>#REF!</v>
      </c>
      <c r="GN51" t="e">
        <f>AND(#REF!,"AAAAAGVvz8M=")</f>
        <v>#REF!</v>
      </c>
      <c r="GO51" t="e">
        <f>AND(#REF!,"AAAAAGVvz8Q=")</f>
        <v>#REF!</v>
      </c>
      <c r="GP51" t="e">
        <f>AND(#REF!,"AAAAAGVvz8U=")</f>
        <v>#REF!</v>
      </c>
      <c r="GQ51" t="e">
        <f>AND(#REF!,"AAAAAGVvz8Y=")</f>
        <v>#REF!</v>
      </c>
      <c r="GR51" t="e">
        <f>AND(#REF!,"AAAAAGVvz8c=")</f>
        <v>#REF!</v>
      </c>
      <c r="GS51" t="e">
        <f>AND(#REF!,"AAAAAGVvz8g=")</f>
        <v>#REF!</v>
      </c>
      <c r="GT51" t="e">
        <f>AND(#REF!,"AAAAAGVvz8k=")</f>
        <v>#REF!</v>
      </c>
      <c r="GU51" t="e">
        <f>AND(#REF!,"AAAAAGVvz8o=")</f>
        <v>#REF!</v>
      </c>
      <c r="GV51" t="e">
        <f>AND(#REF!,"AAAAAGVvz8s=")</f>
        <v>#REF!</v>
      </c>
      <c r="GW51" t="e">
        <f>AND(#REF!,"AAAAAGVvz8w=")</f>
        <v>#REF!</v>
      </c>
      <c r="GX51" t="e">
        <f>AND(#REF!,"AAAAAGVvz80=")</f>
        <v>#REF!</v>
      </c>
      <c r="GY51" t="e">
        <f>AND(#REF!,"AAAAAGVvz84=")</f>
        <v>#REF!</v>
      </c>
      <c r="GZ51" t="e">
        <f>AND(#REF!,"AAAAAGVvz88=")</f>
        <v>#REF!</v>
      </c>
      <c r="HA51" t="e">
        <f>AND(#REF!,"AAAAAGVvz9A=")</f>
        <v>#REF!</v>
      </c>
      <c r="HB51" t="e">
        <f>AND(#REF!,"AAAAAGVvz9E=")</f>
        <v>#REF!</v>
      </c>
      <c r="HC51" t="e">
        <f>AND(#REF!,"AAAAAGVvz9I=")</f>
        <v>#REF!</v>
      </c>
      <c r="HD51" t="e">
        <f>AND(#REF!,"AAAAAGVvz9M=")</f>
        <v>#REF!</v>
      </c>
      <c r="HE51" t="e">
        <f>AND(#REF!,"AAAAAGVvz9Q=")</f>
        <v>#REF!</v>
      </c>
      <c r="HF51" t="e">
        <f>AND(#REF!,"AAAAAGVvz9U=")</f>
        <v>#REF!</v>
      </c>
      <c r="HG51" t="e">
        <f>AND(#REF!,"AAAAAGVvz9Y=")</f>
        <v>#REF!</v>
      </c>
      <c r="HH51" t="e">
        <f>AND(#REF!,"AAAAAGVvz9c=")</f>
        <v>#REF!</v>
      </c>
      <c r="HI51" t="e">
        <f>AND(#REF!,"AAAAAGVvz9g=")</f>
        <v>#REF!</v>
      </c>
      <c r="HJ51" t="e">
        <f>AND(#REF!,"AAAAAGVvz9k=")</f>
        <v>#REF!</v>
      </c>
      <c r="HK51" t="e">
        <f>AND(#REF!,"AAAAAGVvz9o=")</f>
        <v>#REF!</v>
      </c>
      <c r="HL51" t="e">
        <f>AND(#REF!,"AAAAAGVvz9s=")</f>
        <v>#REF!</v>
      </c>
      <c r="HM51" t="e">
        <f>AND(#REF!,"AAAAAGVvz9w=")</f>
        <v>#REF!</v>
      </c>
      <c r="HN51" t="e">
        <f>AND(#REF!,"AAAAAGVvz90=")</f>
        <v>#REF!</v>
      </c>
      <c r="HO51" t="e">
        <f>AND(#REF!,"AAAAAGVvz94=")</f>
        <v>#REF!</v>
      </c>
      <c r="HP51" t="e">
        <f>AND(#REF!,"AAAAAGVvz98=")</f>
        <v>#REF!</v>
      </c>
      <c r="HQ51" t="e">
        <f>AND(#REF!,"AAAAAGVvz+A=")</f>
        <v>#REF!</v>
      </c>
      <c r="HR51" t="e">
        <f>AND(#REF!,"AAAAAGVvz+E=")</f>
        <v>#REF!</v>
      </c>
      <c r="HS51" t="e">
        <f>AND(#REF!,"AAAAAGVvz+I=")</f>
        <v>#REF!</v>
      </c>
      <c r="HT51" t="e">
        <f>AND(#REF!,"AAAAAGVvz+M=")</f>
        <v>#REF!</v>
      </c>
      <c r="HU51" t="e">
        <f>AND(#REF!,"AAAAAGVvz+Q=")</f>
        <v>#REF!</v>
      </c>
      <c r="HV51" t="e">
        <f>AND(#REF!,"AAAAAGVvz+U=")</f>
        <v>#REF!</v>
      </c>
      <c r="HW51" t="e">
        <f>AND(#REF!,"AAAAAGVvz+Y=")</f>
        <v>#REF!</v>
      </c>
      <c r="HX51" t="e">
        <f>AND(#REF!,"AAAAAGVvz+c=")</f>
        <v>#REF!</v>
      </c>
      <c r="HY51" t="e">
        <f>AND(#REF!,"AAAAAGVvz+g=")</f>
        <v>#REF!</v>
      </c>
      <c r="HZ51" t="e">
        <f>AND(#REF!,"AAAAAGVvz+k=")</f>
        <v>#REF!</v>
      </c>
      <c r="IA51" t="e">
        <f>AND(#REF!,"AAAAAGVvz+o=")</f>
        <v>#REF!</v>
      </c>
      <c r="IB51" t="e">
        <f>AND(#REF!,"AAAAAGVvz+s=")</f>
        <v>#REF!</v>
      </c>
      <c r="IC51" t="e">
        <f>AND(#REF!,"AAAAAGVvz+w=")</f>
        <v>#REF!</v>
      </c>
      <c r="ID51" t="e">
        <f>AND(#REF!,"AAAAAGVvz+0=")</f>
        <v>#REF!</v>
      </c>
      <c r="IE51" t="e">
        <f>AND(#REF!,"AAAAAGVvz+4=")</f>
        <v>#REF!</v>
      </c>
      <c r="IF51" t="e">
        <f>AND(#REF!,"AAAAAGVvz+8=")</f>
        <v>#REF!</v>
      </c>
      <c r="IG51" t="e">
        <f>AND(#REF!,"AAAAAGVvz/A=")</f>
        <v>#REF!</v>
      </c>
      <c r="IH51" t="e">
        <f>AND(#REF!,"AAAAAGVvz/E=")</f>
        <v>#REF!</v>
      </c>
      <c r="II51" t="e">
        <f>AND(#REF!,"AAAAAGVvz/I=")</f>
        <v>#REF!</v>
      </c>
      <c r="IJ51" t="e">
        <f>AND(#REF!,"AAAAAGVvz/M=")</f>
        <v>#REF!</v>
      </c>
      <c r="IK51" t="e">
        <f>AND(#REF!,"AAAAAGVvz/Q=")</f>
        <v>#REF!</v>
      </c>
      <c r="IL51" t="e">
        <f>AND(#REF!,"AAAAAGVvz/U=")</f>
        <v>#REF!</v>
      </c>
      <c r="IM51" t="e">
        <f>AND(#REF!,"AAAAAGVvz/Y=")</f>
        <v>#REF!</v>
      </c>
      <c r="IN51" t="e">
        <f>AND(#REF!,"AAAAAGVvz/c=")</f>
        <v>#REF!</v>
      </c>
      <c r="IO51" t="e">
        <f>AND(#REF!,"AAAAAGVvz/g=")</f>
        <v>#REF!</v>
      </c>
      <c r="IP51" t="e">
        <f>AND(#REF!,"AAAAAGVvz/k=")</f>
        <v>#REF!</v>
      </c>
      <c r="IQ51" t="e">
        <f>AND(#REF!,"AAAAAGVvz/o=")</f>
        <v>#REF!</v>
      </c>
      <c r="IR51" t="e">
        <f>AND(#REF!,"AAAAAGVvz/s=")</f>
        <v>#REF!</v>
      </c>
      <c r="IS51" t="e">
        <f>AND(#REF!,"AAAAAGVvz/w=")</f>
        <v>#REF!</v>
      </c>
      <c r="IT51" t="e">
        <f>AND(#REF!,"AAAAAGVvz/0=")</f>
        <v>#REF!</v>
      </c>
      <c r="IU51" t="e">
        <f>AND(#REF!,"AAAAAGVvz/4=")</f>
        <v>#REF!</v>
      </c>
      <c r="IV51" t="e">
        <f>AND(#REF!,"AAAAAGVvz/8=")</f>
        <v>#REF!</v>
      </c>
    </row>
    <row r="52" spans="1:256">
      <c r="A52" t="e">
        <f>AND(#REF!,"AAAAACnvXwA=")</f>
        <v>#REF!</v>
      </c>
      <c r="B52" t="e">
        <f>AND(#REF!,"AAAAACnvXwE=")</f>
        <v>#REF!</v>
      </c>
      <c r="C52" t="e">
        <f>AND(#REF!,"AAAAACnvXwI=")</f>
        <v>#REF!</v>
      </c>
      <c r="D52" t="e">
        <f>AND(#REF!,"AAAAACnvXwM=")</f>
        <v>#REF!</v>
      </c>
      <c r="E52" t="e">
        <f>AND(#REF!,"AAAAACnvXwQ=")</f>
        <v>#REF!</v>
      </c>
      <c r="F52" t="e">
        <f>AND(#REF!,"AAAAACnvXwU=")</f>
        <v>#REF!</v>
      </c>
      <c r="G52" t="e">
        <f>AND(#REF!,"AAAAACnvXwY=")</f>
        <v>#REF!</v>
      </c>
      <c r="H52" t="e">
        <f>AND(#REF!,"AAAAACnvXwc=")</f>
        <v>#REF!</v>
      </c>
      <c r="I52" t="e">
        <f>AND(#REF!,"AAAAACnvXwg=")</f>
        <v>#REF!</v>
      </c>
      <c r="J52" t="e">
        <f>AND(#REF!,"AAAAACnvXwk=")</f>
        <v>#REF!</v>
      </c>
      <c r="K52" t="e">
        <f>AND(#REF!,"AAAAACnvXwo=")</f>
        <v>#REF!</v>
      </c>
      <c r="L52" t="e">
        <f>AND(#REF!,"AAAAACnvXws=")</f>
        <v>#REF!</v>
      </c>
      <c r="M52" t="e">
        <f>AND(#REF!,"AAAAACnvXww=")</f>
        <v>#REF!</v>
      </c>
      <c r="N52" t="e">
        <f>AND(#REF!,"AAAAACnvXw0=")</f>
        <v>#REF!</v>
      </c>
      <c r="O52" t="e">
        <f>AND(#REF!,"AAAAACnvXw4=")</f>
        <v>#REF!</v>
      </c>
      <c r="P52" t="e">
        <f>AND(#REF!,"AAAAACnvXw8=")</f>
        <v>#REF!</v>
      </c>
      <c r="Q52" t="e">
        <f>AND(#REF!,"AAAAACnvXxA=")</f>
        <v>#REF!</v>
      </c>
      <c r="R52" t="e">
        <f>AND(#REF!,"AAAAACnvXxE=")</f>
        <v>#REF!</v>
      </c>
      <c r="S52" t="e">
        <f>IF(#REF!,"AAAAACnvXxI=",0)</f>
        <v>#REF!</v>
      </c>
      <c r="T52" t="e">
        <f>AND(#REF!,"AAAAACnvXxM=")</f>
        <v>#REF!</v>
      </c>
      <c r="U52" t="e">
        <f>AND(#REF!,"AAAAACnvXxQ=")</f>
        <v>#REF!</v>
      </c>
      <c r="V52" t="e">
        <f>AND(#REF!,"AAAAACnvXxU=")</f>
        <v>#REF!</v>
      </c>
      <c r="W52" t="e">
        <f>AND(#REF!,"AAAAACnvXxY=")</f>
        <v>#REF!</v>
      </c>
      <c r="X52" t="e">
        <f>AND(#REF!,"AAAAACnvXxc=")</f>
        <v>#REF!</v>
      </c>
      <c r="Y52" t="e">
        <f>AND(#REF!,"AAAAACnvXxg=")</f>
        <v>#REF!</v>
      </c>
      <c r="Z52" t="e">
        <f>AND(#REF!,"AAAAACnvXxk=")</f>
        <v>#REF!</v>
      </c>
      <c r="AA52" t="e">
        <f>AND(#REF!,"AAAAACnvXxo=")</f>
        <v>#REF!</v>
      </c>
      <c r="AB52" t="e">
        <f>AND(#REF!,"AAAAACnvXxs=")</f>
        <v>#REF!</v>
      </c>
      <c r="AC52" t="e">
        <f>AND(#REF!,"AAAAACnvXxw=")</f>
        <v>#REF!</v>
      </c>
      <c r="AD52" t="e">
        <f>AND(#REF!,"AAAAACnvXx0=")</f>
        <v>#REF!</v>
      </c>
      <c r="AE52" t="e">
        <f>AND(#REF!,"AAAAACnvXx4=")</f>
        <v>#REF!</v>
      </c>
      <c r="AF52" t="e">
        <f>AND(#REF!,"AAAAACnvXx8=")</f>
        <v>#REF!</v>
      </c>
      <c r="AG52" t="e">
        <f>AND(#REF!,"AAAAACnvXyA=")</f>
        <v>#REF!</v>
      </c>
      <c r="AH52" t="e">
        <f>AND(#REF!,"AAAAACnvXyE=")</f>
        <v>#REF!</v>
      </c>
      <c r="AI52" t="e">
        <f>AND(#REF!,"AAAAACnvXyI=")</f>
        <v>#REF!</v>
      </c>
      <c r="AJ52" t="e">
        <f>AND(#REF!,"AAAAACnvXyM=")</f>
        <v>#REF!</v>
      </c>
      <c r="AK52" t="e">
        <f>AND(#REF!,"AAAAACnvXyQ=")</f>
        <v>#REF!</v>
      </c>
      <c r="AL52" t="e">
        <f>AND(#REF!,"AAAAACnvXyU=")</f>
        <v>#REF!</v>
      </c>
      <c r="AM52" t="e">
        <f>AND(#REF!,"AAAAACnvXyY=")</f>
        <v>#REF!</v>
      </c>
      <c r="AN52" t="e">
        <f>AND(#REF!,"AAAAACnvXyc=")</f>
        <v>#REF!</v>
      </c>
      <c r="AO52" t="e">
        <f>AND(#REF!,"AAAAACnvXyg=")</f>
        <v>#REF!</v>
      </c>
      <c r="AP52" t="e">
        <f>AND(#REF!,"AAAAACnvXyk=")</f>
        <v>#REF!</v>
      </c>
      <c r="AQ52" t="e">
        <f>AND(#REF!,"AAAAACnvXyo=")</f>
        <v>#REF!</v>
      </c>
      <c r="AR52" t="e">
        <f>AND(#REF!,"AAAAACnvXys=")</f>
        <v>#REF!</v>
      </c>
      <c r="AS52" t="e">
        <f>AND(#REF!,"AAAAACnvXyw=")</f>
        <v>#REF!</v>
      </c>
      <c r="AT52" t="e">
        <f>AND(#REF!,"AAAAACnvXy0=")</f>
        <v>#REF!</v>
      </c>
      <c r="AU52" t="e">
        <f>AND(#REF!,"AAAAACnvXy4=")</f>
        <v>#REF!</v>
      </c>
      <c r="AV52" t="e">
        <f>AND(#REF!,"AAAAACnvXy8=")</f>
        <v>#REF!</v>
      </c>
      <c r="AW52" t="e">
        <f>AND(#REF!,"AAAAACnvXzA=")</f>
        <v>#REF!</v>
      </c>
      <c r="AX52" t="e">
        <f>AND(#REF!,"AAAAACnvXzE=")</f>
        <v>#REF!</v>
      </c>
      <c r="AY52" t="e">
        <f>AND(#REF!,"AAAAACnvXzI=")</f>
        <v>#REF!</v>
      </c>
      <c r="AZ52" t="e">
        <f>AND(#REF!,"AAAAACnvXzM=")</f>
        <v>#REF!</v>
      </c>
      <c r="BA52" t="e">
        <f>AND(#REF!,"AAAAACnvXzQ=")</f>
        <v>#REF!</v>
      </c>
      <c r="BB52" t="e">
        <f>AND(#REF!,"AAAAACnvXzU=")</f>
        <v>#REF!</v>
      </c>
      <c r="BC52" t="e">
        <f>AND(#REF!,"AAAAACnvXzY=")</f>
        <v>#REF!</v>
      </c>
      <c r="BD52" t="e">
        <f>AND(#REF!,"AAAAACnvXzc=")</f>
        <v>#REF!</v>
      </c>
      <c r="BE52" t="e">
        <f>AND(#REF!,"AAAAACnvXzg=")</f>
        <v>#REF!</v>
      </c>
      <c r="BF52" t="e">
        <f>AND(#REF!,"AAAAACnvXzk=")</f>
        <v>#REF!</v>
      </c>
      <c r="BG52" t="e">
        <f>AND(#REF!,"AAAAACnvXzo=")</f>
        <v>#REF!</v>
      </c>
      <c r="BH52" t="e">
        <f>AND(#REF!,"AAAAACnvXzs=")</f>
        <v>#REF!</v>
      </c>
      <c r="BI52" t="e">
        <f>AND(#REF!,"AAAAACnvXzw=")</f>
        <v>#REF!</v>
      </c>
      <c r="BJ52" t="e">
        <f>AND(#REF!,"AAAAACnvXz0=")</f>
        <v>#REF!</v>
      </c>
      <c r="BK52" t="e">
        <f>AND(#REF!,"AAAAACnvXz4=")</f>
        <v>#REF!</v>
      </c>
      <c r="BL52" t="e">
        <f>AND(#REF!,"AAAAACnvXz8=")</f>
        <v>#REF!</v>
      </c>
      <c r="BM52" t="e">
        <f>AND(#REF!,"AAAAACnvX0A=")</f>
        <v>#REF!</v>
      </c>
      <c r="BN52" t="e">
        <f>AND(#REF!,"AAAAACnvX0E=")</f>
        <v>#REF!</v>
      </c>
      <c r="BO52" t="e">
        <f>AND(#REF!,"AAAAACnvX0I=")</f>
        <v>#REF!</v>
      </c>
      <c r="BP52" t="e">
        <f>AND(#REF!,"AAAAACnvX0M=")</f>
        <v>#REF!</v>
      </c>
      <c r="BQ52" t="e">
        <f>AND(#REF!,"AAAAACnvX0Q=")</f>
        <v>#REF!</v>
      </c>
      <c r="BR52" t="e">
        <f>AND(#REF!,"AAAAACnvX0U=")</f>
        <v>#REF!</v>
      </c>
      <c r="BS52" t="e">
        <f>AND(#REF!,"AAAAACnvX0Y=")</f>
        <v>#REF!</v>
      </c>
      <c r="BT52" t="e">
        <f>AND(#REF!,"AAAAACnvX0c=")</f>
        <v>#REF!</v>
      </c>
      <c r="BU52" t="e">
        <f>AND(#REF!,"AAAAACnvX0g=")</f>
        <v>#REF!</v>
      </c>
      <c r="BV52" t="e">
        <f>AND(#REF!,"AAAAACnvX0k=")</f>
        <v>#REF!</v>
      </c>
      <c r="BW52" t="e">
        <f>AND(#REF!,"AAAAACnvX0o=")</f>
        <v>#REF!</v>
      </c>
      <c r="BX52" t="e">
        <f>AND(#REF!,"AAAAACnvX0s=")</f>
        <v>#REF!</v>
      </c>
      <c r="BY52" t="e">
        <f>AND(#REF!,"AAAAACnvX0w=")</f>
        <v>#REF!</v>
      </c>
      <c r="BZ52" t="e">
        <f>AND(#REF!,"AAAAACnvX00=")</f>
        <v>#REF!</v>
      </c>
      <c r="CA52" t="e">
        <f>AND(#REF!,"AAAAACnvX04=")</f>
        <v>#REF!</v>
      </c>
      <c r="CB52" t="e">
        <f>AND(#REF!,"AAAAACnvX08=")</f>
        <v>#REF!</v>
      </c>
      <c r="CC52" t="e">
        <f>AND(#REF!,"AAAAACnvX1A=")</f>
        <v>#REF!</v>
      </c>
      <c r="CD52" t="e">
        <f>AND(#REF!,"AAAAACnvX1E=")</f>
        <v>#REF!</v>
      </c>
      <c r="CE52" t="e">
        <f>AND(#REF!,"AAAAACnvX1I=")</f>
        <v>#REF!</v>
      </c>
      <c r="CF52" t="e">
        <f>AND(#REF!,"AAAAACnvX1M=")</f>
        <v>#REF!</v>
      </c>
      <c r="CG52" t="e">
        <f>AND(#REF!,"AAAAACnvX1Q=")</f>
        <v>#REF!</v>
      </c>
      <c r="CH52" t="e">
        <f>AND(#REF!,"AAAAACnvX1U=")</f>
        <v>#REF!</v>
      </c>
      <c r="CI52" t="e">
        <f>AND(#REF!,"AAAAACnvX1Y=")</f>
        <v>#REF!</v>
      </c>
      <c r="CJ52" t="e">
        <f>AND(#REF!,"AAAAACnvX1c=")</f>
        <v>#REF!</v>
      </c>
      <c r="CK52" t="e">
        <f>AND(#REF!,"AAAAACnvX1g=")</f>
        <v>#REF!</v>
      </c>
      <c r="CL52" t="e">
        <f>AND(#REF!,"AAAAACnvX1k=")</f>
        <v>#REF!</v>
      </c>
      <c r="CM52" t="e">
        <f>AND(#REF!,"AAAAACnvX1o=")</f>
        <v>#REF!</v>
      </c>
      <c r="CN52" t="e">
        <f>AND(#REF!,"AAAAACnvX1s=")</f>
        <v>#REF!</v>
      </c>
      <c r="CO52" t="e">
        <f>AND(#REF!,"AAAAACnvX1w=")</f>
        <v>#REF!</v>
      </c>
      <c r="CP52" t="e">
        <f>AND(#REF!,"AAAAACnvX10=")</f>
        <v>#REF!</v>
      </c>
      <c r="CQ52" t="e">
        <f>AND(#REF!,"AAAAACnvX14=")</f>
        <v>#REF!</v>
      </c>
      <c r="CR52" t="e">
        <f>AND(#REF!,"AAAAACnvX18=")</f>
        <v>#REF!</v>
      </c>
      <c r="CS52" t="e">
        <f>AND(#REF!,"AAAAACnvX2A=")</f>
        <v>#REF!</v>
      </c>
      <c r="CT52" t="e">
        <f>AND(#REF!,"AAAAACnvX2E=")</f>
        <v>#REF!</v>
      </c>
      <c r="CU52" t="e">
        <f>AND(#REF!,"AAAAACnvX2I=")</f>
        <v>#REF!</v>
      </c>
      <c r="CV52" t="e">
        <f>AND(#REF!,"AAAAACnvX2M=")</f>
        <v>#REF!</v>
      </c>
      <c r="CW52" t="e">
        <f>AND(#REF!,"AAAAACnvX2Q=")</f>
        <v>#REF!</v>
      </c>
      <c r="CX52" t="e">
        <f>AND(#REF!,"AAAAACnvX2U=")</f>
        <v>#REF!</v>
      </c>
      <c r="CY52" t="e">
        <f>AND(#REF!,"AAAAACnvX2Y=")</f>
        <v>#REF!</v>
      </c>
      <c r="CZ52" t="e">
        <f>AND(#REF!,"AAAAACnvX2c=")</f>
        <v>#REF!</v>
      </c>
      <c r="DA52" t="e">
        <f>AND(#REF!,"AAAAACnvX2g=")</f>
        <v>#REF!</v>
      </c>
      <c r="DB52" t="e">
        <f>AND(#REF!,"AAAAACnvX2k=")</f>
        <v>#REF!</v>
      </c>
      <c r="DC52" t="e">
        <f>AND(#REF!,"AAAAACnvX2o=")</f>
        <v>#REF!</v>
      </c>
      <c r="DD52" t="e">
        <f>AND(#REF!,"AAAAACnvX2s=")</f>
        <v>#REF!</v>
      </c>
      <c r="DE52" t="e">
        <f>AND(#REF!,"AAAAACnvX2w=")</f>
        <v>#REF!</v>
      </c>
      <c r="DF52" t="e">
        <f>AND(#REF!,"AAAAACnvX20=")</f>
        <v>#REF!</v>
      </c>
      <c r="DG52" t="e">
        <f>AND(#REF!,"AAAAACnvX24=")</f>
        <v>#REF!</v>
      </c>
      <c r="DH52" t="e">
        <f>AND(#REF!,"AAAAACnvX28=")</f>
        <v>#REF!</v>
      </c>
      <c r="DI52" t="e">
        <f>AND(#REF!,"AAAAACnvX3A=")</f>
        <v>#REF!</v>
      </c>
      <c r="DJ52" t="e">
        <f>AND(#REF!,"AAAAACnvX3E=")</f>
        <v>#REF!</v>
      </c>
      <c r="DK52" t="e">
        <f>AND(#REF!,"AAAAACnvX3I=")</f>
        <v>#REF!</v>
      </c>
      <c r="DL52" t="e">
        <f>AND(#REF!,"AAAAACnvX3M=")</f>
        <v>#REF!</v>
      </c>
      <c r="DM52" t="e">
        <f>AND(#REF!,"AAAAACnvX3Q=")</f>
        <v>#REF!</v>
      </c>
      <c r="DN52" t="e">
        <f>AND(#REF!,"AAAAACnvX3U=")</f>
        <v>#REF!</v>
      </c>
      <c r="DO52" t="e">
        <f>AND(#REF!,"AAAAACnvX3Y=")</f>
        <v>#REF!</v>
      </c>
      <c r="DP52" t="e">
        <f>AND(#REF!,"AAAAACnvX3c=")</f>
        <v>#REF!</v>
      </c>
      <c r="DQ52" t="e">
        <f>AND(#REF!,"AAAAACnvX3g=")</f>
        <v>#REF!</v>
      </c>
      <c r="DR52" t="e">
        <f>AND(#REF!,"AAAAACnvX3k=")</f>
        <v>#REF!</v>
      </c>
      <c r="DS52" t="e">
        <f>AND(#REF!,"AAAAACnvX3o=")</f>
        <v>#REF!</v>
      </c>
      <c r="DT52" t="e">
        <f>AND(#REF!,"AAAAACnvX3s=")</f>
        <v>#REF!</v>
      </c>
      <c r="DU52" t="e">
        <f>AND(#REF!,"AAAAACnvX3w=")</f>
        <v>#REF!</v>
      </c>
      <c r="DV52" t="e">
        <f>AND(#REF!,"AAAAACnvX30=")</f>
        <v>#REF!</v>
      </c>
      <c r="DW52" t="e">
        <f>AND(#REF!,"AAAAACnvX34=")</f>
        <v>#REF!</v>
      </c>
      <c r="DX52" t="e">
        <f>AND(#REF!,"AAAAACnvX38=")</f>
        <v>#REF!</v>
      </c>
      <c r="DY52" t="e">
        <f>AND(#REF!,"AAAAACnvX4A=")</f>
        <v>#REF!</v>
      </c>
      <c r="DZ52" t="e">
        <f>AND(#REF!,"AAAAACnvX4E=")</f>
        <v>#REF!</v>
      </c>
      <c r="EA52" t="e">
        <f>AND(#REF!,"AAAAACnvX4I=")</f>
        <v>#REF!</v>
      </c>
      <c r="EB52" t="e">
        <f>AND(#REF!,"AAAAACnvX4M=")</f>
        <v>#REF!</v>
      </c>
      <c r="EC52" t="e">
        <f>AND(#REF!,"AAAAACnvX4Q=")</f>
        <v>#REF!</v>
      </c>
      <c r="ED52" t="e">
        <f>AND(#REF!,"AAAAACnvX4U=")</f>
        <v>#REF!</v>
      </c>
      <c r="EE52" t="e">
        <f>AND(#REF!,"AAAAACnvX4Y=")</f>
        <v>#REF!</v>
      </c>
      <c r="EF52" t="e">
        <f>AND(#REF!,"AAAAACnvX4c=")</f>
        <v>#REF!</v>
      </c>
      <c r="EG52" t="e">
        <f>AND(#REF!,"AAAAACnvX4g=")</f>
        <v>#REF!</v>
      </c>
      <c r="EH52" t="e">
        <f>AND(#REF!,"AAAAACnvX4k=")</f>
        <v>#REF!</v>
      </c>
      <c r="EI52" t="e">
        <f>AND(#REF!,"AAAAACnvX4o=")</f>
        <v>#REF!</v>
      </c>
      <c r="EJ52" t="e">
        <f>IF(#REF!,"AAAAACnvX4s=",0)</f>
        <v>#REF!</v>
      </c>
      <c r="EK52" t="e">
        <f>AND(#REF!,"AAAAACnvX4w=")</f>
        <v>#REF!</v>
      </c>
      <c r="EL52" t="e">
        <f>AND(#REF!,"AAAAACnvX40=")</f>
        <v>#REF!</v>
      </c>
      <c r="EM52" t="e">
        <f>AND(#REF!,"AAAAACnvX44=")</f>
        <v>#REF!</v>
      </c>
      <c r="EN52" t="e">
        <f>AND(#REF!,"AAAAACnvX48=")</f>
        <v>#REF!</v>
      </c>
      <c r="EO52" t="e">
        <f>AND(#REF!,"AAAAACnvX5A=")</f>
        <v>#REF!</v>
      </c>
      <c r="EP52" t="e">
        <f>AND(#REF!,"AAAAACnvX5E=")</f>
        <v>#REF!</v>
      </c>
      <c r="EQ52" t="e">
        <f>AND(#REF!,"AAAAACnvX5I=")</f>
        <v>#REF!</v>
      </c>
      <c r="ER52" t="e">
        <f>AND(#REF!,"AAAAACnvX5M=")</f>
        <v>#REF!</v>
      </c>
      <c r="ES52" t="e">
        <f>AND(#REF!,"AAAAACnvX5Q=")</f>
        <v>#REF!</v>
      </c>
      <c r="ET52" t="e">
        <f>AND(#REF!,"AAAAACnvX5U=")</f>
        <v>#REF!</v>
      </c>
      <c r="EU52" t="e">
        <f>AND(#REF!,"AAAAACnvX5Y=")</f>
        <v>#REF!</v>
      </c>
      <c r="EV52" t="e">
        <f>AND(#REF!,"AAAAACnvX5c=")</f>
        <v>#REF!</v>
      </c>
      <c r="EW52" t="e">
        <f>AND(#REF!,"AAAAACnvX5g=")</f>
        <v>#REF!</v>
      </c>
      <c r="EX52" t="e">
        <f>AND(#REF!,"AAAAACnvX5k=")</f>
        <v>#REF!</v>
      </c>
      <c r="EY52" t="e">
        <f>AND(#REF!,"AAAAACnvX5o=")</f>
        <v>#REF!</v>
      </c>
      <c r="EZ52" t="e">
        <f>AND(#REF!,"AAAAACnvX5s=")</f>
        <v>#REF!</v>
      </c>
      <c r="FA52" t="e">
        <f>AND(#REF!,"AAAAACnvX5w=")</f>
        <v>#REF!</v>
      </c>
      <c r="FB52" t="e">
        <f>AND(#REF!,"AAAAACnvX50=")</f>
        <v>#REF!</v>
      </c>
      <c r="FC52" t="e">
        <f>AND(#REF!,"AAAAACnvX54=")</f>
        <v>#REF!</v>
      </c>
      <c r="FD52" t="e">
        <f>AND(#REF!,"AAAAACnvX58=")</f>
        <v>#REF!</v>
      </c>
      <c r="FE52" t="e">
        <f>AND(#REF!,"AAAAACnvX6A=")</f>
        <v>#REF!</v>
      </c>
      <c r="FF52" t="e">
        <f>AND(#REF!,"AAAAACnvX6E=")</f>
        <v>#REF!</v>
      </c>
      <c r="FG52" t="e">
        <f>AND(#REF!,"AAAAACnvX6I=")</f>
        <v>#REF!</v>
      </c>
      <c r="FH52" t="e">
        <f>AND(#REF!,"AAAAACnvX6M=")</f>
        <v>#REF!</v>
      </c>
      <c r="FI52" t="e">
        <f>AND(#REF!,"AAAAACnvX6Q=")</f>
        <v>#REF!</v>
      </c>
      <c r="FJ52" t="e">
        <f>AND(#REF!,"AAAAACnvX6U=")</f>
        <v>#REF!</v>
      </c>
      <c r="FK52" t="e">
        <f>AND(#REF!,"AAAAACnvX6Y=")</f>
        <v>#REF!</v>
      </c>
      <c r="FL52" t="e">
        <f>AND(#REF!,"AAAAACnvX6c=")</f>
        <v>#REF!</v>
      </c>
      <c r="FM52" t="e">
        <f>AND(#REF!,"AAAAACnvX6g=")</f>
        <v>#REF!</v>
      </c>
      <c r="FN52" t="e">
        <f>AND(#REF!,"AAAAACnvX6k=")</f>
        <v>#REF!</v>
      </c>
      <c r="FO52" t="e">
        <f>AND(#REF!,"AAAAACnvX6o=")</f>
        <v>#REF!</v>
      </c>
      <c r="FP52" t="e">
        <f>AND(#REF!,"AAAAACnvX6s=")</f>
        <v>#REF!</v>
      </c>
      <c r="FQ52" t="e">
        <f>AND(#REF!,"AAAAACnvX6w=")</f>
        <v>#REF!</v>
      </c>
      <c r="FR52" t="e">
        <f>AND(#REF!,"AAAAACnvX60=")</f>
        <v>#REF!</v>
      </c>
      <c r="FS52" t="e">
        <f>AND(#REF!,"AAAAACnvX64=")</f>
        <v>#REF!</v>
      </c>
      <c r="FT52" t="e">
        <f>AND(#REF!,"AAAAACnvX68=")</f>
        <v>#REF!</v>
      </c>
      <c r="FU52" t="e">
        <f>AND(#REF!,"AAAAACnvX7A=")</f>
        <v>#REF!</v>
      </c>
      <c r="FV52" t="e">
        <f>AND(#REF!,"AAAAACnvX7E=")</f>
        <v>#REF!</v>
      </c>
      <c r="FW52" t="e">
        <f>AND(#REF!,"AAAAACnvX7I=")</f>
        <v>#REF!</v>
      </c>
      <c r="FX52" t="e">
        <f>AND(#REF!,"AAAAACnvX7M=")</f>
        <v>#REF!</v>
      </c>
      <c r="FY52" t="e">
        <f>AND(#REF!,"AAAAACnvX7Q=")</f>
        <v>#REF!</v>
      </c>
      <c r="FZ52" t="e">
        <f>AND(#REF!,"AAAAACnvX7U=")</f>
        <v>#REF!</v>
      </c>
      <c r="GA52" t="e">
        <f>AND(#REF!,"AAAAACnvX7Y=")</f>
        <v>#REF!</v>
      </c>
      <c r="GB52" t="e">
        <f>AND(#REF!,"AAAAACnvX7c=")</f>
        <v>#REF!</v>
      </c>
      <c r="GC52" t="e">
        <f>AND(#REF!,"AAAAACnvX7g=")</f>
        <v>#REF!</v>
      </c>
      <c r="GD52" t="e">
        <f>AND(#REF!,"AAAAACnvX7k=")</f>
        <v>#REF!</v>
      </c>
      <c r="GE52" t="e">
        <f>AND(#REF!,"AAAAACnvX7o=")</f>
        <v>#REF!</v>
      </c>
      <c r="GF52" t="e">
        <f>AND(#REF!,"AAAAACnvX7s=")</f>
        <v>#REF!</v>
      </c>
      <c r="GG52" t="e">
        <f>AND(#REF!,"AAAAACnvX7w=")</f>
        <v>#REF!</v>
      </c>
      <c r="GH52" t="e">
        <f>AND(#REF!,"AAAAACnvX70=")</f>
        <v>#REF!</v>
      </c>
      <c r="GI52" t="e">
        <f>AND(#REF!,"AAAAACnvX74=")</f>
        <v>#REF!</v>
      </c>
      <c r="GJ52" t="e">
        <f>AND(#REF!,"AAAAACnvX78=")</f>
        <v>#REF!</v>
      </c>
      <c r="GK52" t="e">
        <f>AND(#REF!,"AAAAACnvX8A=")</f>
        <v>#REF!</v>
      </c>
      <c r="GL52" t="e">
        <f>AND(#REF!,"AAAAACnvX8E=")</f>
        <v>#REF!</v>
      </c>
      <c r="GM52" t="e">
        <f>AND(#REF!,"AAAAACnvX8I=")</f>
        <v>#REF!</v>
      </c>
      <c r="GN52" t="e">
        <f>AND(#REF!,"AAAAACnvX8M=")</f>
        <v>#REF!</v>
      </c>
      <c r="GO52" t="e">
        <f>AND(#REF!,"AAAAACnvX8Q=")</f>
        <v>#REF!</v>
      </c>
      <c r="GP52" t="e">
        <f>AND(#REF!,"AAAAACnvX8U=")</f>
        <v>#REF!</v>
      </c>
      <c r="GQ52" t="e">
        <f>AND(#REF!,"AAAAACnvX8Y=")</f>
        <v>#REF!</v>
      </c>
      <c r="GR52" t="e">
        <f>AND(#REF!,"AAAAACnvX8c=")</f>
        <v>#REF!</v>
      </c>
      <c r="GS52" t="e">
        <f>AND(#REF!,"AAAAACnvX8g=")</f>
        <v>#REF!</v>
      </c>
      <c r="GT52" t="e">
        <f>AND(#REF!,"AAAAACnvX8k=")</f>
        <v>#REF!</v>
      </c>
      <c r="GU52" t="e">
        <f>AND(#REF!,"AAAAACnvX8o=")</f>
        <v>#REF!</v>
      </c>
      <c r="GV52" t="e">
        <f>AND(#REF!,"AAAAACnvX8s=")</f>
        <v>#REF!</v>
      </c>
      <c r="GW52" t="e">
        <f>AND(#REF!,"AAAAACnvX8w=")</f>
        <v>#REF!</v>
      </c>
      <c r="GX52" t="e">
        <f>AND(#REF!,"AAAAACnvX80=")</f>
        <v>#REF!</v>
      </c>
      <c r="GY52" t="e">
        <f>AND(#REF!,"AAAAACnvX84=")</f>
        <v>#REF!</v>
      </c>
      <c r="GZ52" t="e">
        <f>AND(#REF!,"AAAAACnvX88=")</f>
        <v>#REF!</v>
      </c>
      <c r="HA52" t="e">
        <f>AND(#REF!,"AAAAACnvX9A=")</f>
        <v>#REF!</v>
      </c>
      <c r="HB52" t="e">
        <f>AND(#REF!,"AAAAACnvX9E=")</f>
        <v>#REF!</v>
      </c>
      <c r="HC52" t="e">
        <f>AND(#REF!,"AAAAACnvX9I=")</f>
        <v>#REF!</v>
      </c>
      <c r="HD52" t="e">
        <f>AND(#REF!,"AAAAACnvX9M=")</f>
        <v>#REF!</v>
      </c>
      <c r="HE52" t="e">
        <f>AND(#REF!,"AAAAACnvX9Q=")</f>
        <v>#REF!</v>
      </c>
      <c r="HF52" t="e">
        <f>AND(#REF!,"AAAAACnvX9U=")</f>
        <v>#REF!</v>
      </c>
      <c r="HG52" t="e">
        <f>AND(#REF!,"AAAAACnvX9Y=")</f>
        <v>#REF!</v>
      </c>
      <c r="HH52" t="e">
        <f>AND(#REF!,"AAAAACnvX9c=")</f>
        <v>#REF!</v>
      </c>
      <c r="HI52" t="e">
        <f>AND(#REF!,"AAAAACnvX9g=")</f>
        <v>#REF!</v>
      </c>
      <c r="HJ52" t="e">
        <f>AND(#REF!,"AAAAACnvX9k=")</f>
        <v>#REF!</v>
      </c>
      <c r="HK52" t="e">
        <f>AND(#REF!,"AAAAACnvX9o=")</f>
        <v>#REF!</v>
      </c>
      <c r="HL52" t="e">
        <f>AND(#REF!,"AAAAACnvX9s=")</f>
        <v>#REF!</v>
      </c>
      <c r="HM52" t="e">
        <f>AND(#REF!,"AAAAACnvX9w=")</f>
        <v>#REF!</v>
      </c>
      <c r="HN52" t="e">
        <f>AND(#REF!,"AAAAACnvX90=")</f>
        <v>#REF!</v>
      </c>
      <c r="HO52" t="e">
        <f>AND(#REF!,"AAAAACnvX94=")</f>
        <v>#REF!</v>
      </c>
      <c r="HP52" t="e">
        <f>AND(#REF!,"AAAAACnvX98=")</f>
        <v>#REF!</v>
      </c>
      <c r="HQ52" t="e">
        <f>AND(#REF!,"AAAAACnvX+A=")</f>
        <v>#REF!</v>
      </c>
      <c r="HR52" t="e">
        <f>AND(#REF!,"AAAAACnvX+E=")</f>
        <v>#REF!</v>
      </c>
      <c r="HS52" t="e">
        <f>AND(#REF!,"AAAAACnvX+I=")</f>
        <v>#REF!</v>
      </c>
      <c r="HT52" t="e">
        <f>AND(#REF!,"AAAAACnvX+M=")</f>
        <v>#REF!</v>
      </c>
      <c r="HU52" t="e">
        <f>AND(#REF!,"AAAAACnvX+Q=")</f>
        <v>#REF!</v>
      </c>
      <c r="HV52" t="e">
        <f>AND(#REF!,"AAAAACnvX+U=")</f>
        <v>#REF!</v>
      </c>
      <c r="HW52" t="e">
        <f>AND(#REF!,"AAAAACnvX+Y=")</f>
        <v>#REF!</v>
      </c>
      <c r="HX52" t="e">
        <f>AND(#REF!,"AAAAACnvX+c=")</f>
        <v>#REF!</v>
      </c>
      <c r="HY52" t="e">
        <f>AND(#REF!,"AAAAACnvX+g=")</f>
        <v>#REF!</v>
      </c>
      <c r="HZ52" t="e">
        <f>AND(#REF!,"AAAAACnvX+k=")</f>
        <v>#REF!</v>
      </c>
      <c r="IA52" t="e">
        <f>AND(#REF!,"AAAAACnvX+o=")</f>
        <v>#REF!</v>
      </c>
      <c r="IB52" t="e">
        <f>AND(#REF!,"AAAAACnvX+s=")</f>
        <v>#REF!</v>
      </c>
      <c r="IC52" t="e">
        <f>AND(#REF!,"AAAAACnvX+w=")</f>
        <v>#REF!</v>
      </c>
      <c r="ID52" t="e">
        <f>AND(#REF!,"AAAAACnvX+0=")</f>
        <v>#REF!</v>
      </c>
      <c r="IE52" t="e">
        <f>AND(#REF!,"AAAAACnvX+4=")</f>
        <v>#REF!</v>
      </c>
      <c r="IF52" t="e">
        <f>AND(#REF!,"AAAAACnvX+8=")</f>
        <v>#REF!</v>
      </c>
      <c r="IG52" t="e">
        <f>AND(#REF!,"AAAAACnvX/A=")</f>
        <v>#REF!</v>
      </c>
      <c r="IH52" t="e">
        <f>AND(#REF!,"AAAAACnvX/E=")</f>
        <v>#REF!</v>
      </c>
      <c r="II52" t="e">
        <f>AND(#REF!,"AAAAACnvX/I=")</f>
        <v>#REF!</v>
      </c>
      <c r="IJ52" t="e">
        <f>AND(#REF!,"AAAAACnvX/M=")</f>
        <v>#REF!</v>
      </c>
      <c r="IK52" t="e">
        <f>AND(#REF!,"AAAAACnvX/Q=")</f>
        <v>#REF!</v>
      </c>
      <c r="IL52" t="e">
        <f>AND(#REF!,"AAAAACnvX/U=")</f>
        <v>#REF!</v>
      </c>
      <c r="IM52" t="e">
        <f>AND(#REF!,"AAAAACnvX/Y=")</f>
        <v>#REF!</v>
      </c>
      <c r="IN52" t="e">
        <f>AND(#REF!,"AAAAACnvX/c=")</f>
        <v>#REF!</v>
      </c>
      <c r="IO52" t="e">
        <f>AND(#REF!,"AAAAACnvX/g=")</f>
        <v>#REF!</v>
      </c>
      <c r="IP52" t="e">
        <f>AND(#REF!,"AAAAACnvX/k=")</f>
        <v>#REF!</v>
      </c>
      <c r="IQ52" t="e">
        <f>AND(#REF!,"AAAAACnvX/o=")</f>
        <v>#REF!</v>
      </c>
      <c r="IR52" t="e">
        <f>AND(#REF!,"AAAAACnvX/s=")</f>
        <v>#REF!</v>
      </c>
      <c r="IS52" t="e">
        <f>AND(#REF!,"AAAAACnvX/w=")</f>
        <v>#REF!</v>
      </c>
      <c r="IT52" t="e">
        <f>AND(#REF!,"AAAAACnvX/0=")</f>
        <v>#REF!</v>
      </c>
      <c r="IU52" t="e">
        <f>AND(#REF!,"AAAAACnvX/4=")</f>
        <v>#REF!</v>
      </c>
      <c r="IV52" t="e">
        <f>AND(#REF!,"AAAAACnvX/8=")</f>
        <v>#REF!</v>
      </c>
    </row>
    <row r="53" spans="1:256">
      <c r="A53" t="e">
        <f>AND(#REF!,"AAAAAGf+/QA=")</f>
        <v>#REF!</v>
      </c>
      <c r="B53" t="e">
        <f>AND(#REF!,"AAAAAGf+/QE=")</f>
        <v>#REF!</v>
      </c>
      <c r="C53" t="e">
        <f>AND(#REF!,"AAAAAGf+/QI=")</f>
        <v>#REF!</v>
      </c>
      <c r="D53" t="e">
        <f>AND(#REF!,"AAAAAGf+/QM=")</f>
        <v>#REF!</v>
      </c>
      <c r="E53" t="e">
        <f>IF(#REF!,"AAAAAGf+/QQ=",0)</f>
        <v>#REF!</v>
      </c>
      <c r="F53" t="e">
        <f>AND(#REF!,"AAAAAGf+/QU=")</f>
        <v>#REF!</v>
      </c>
      <c r="G53" t="e">
        <f>AND(#REF!,"AAAAAGf+/QY=")</f>
        <v>#REF!</v>
      </c>
      <c r="H53" t="e">
        <f>AND(#REF!,"AAAAAGf+/Qc=")</f>
        <v>#REF!</v>
      </c>
      <c r="I53" t="e">
        <f>AND(#REF!,"AAAAAGf+/Qg=")</f>
        <v>#REF!</v>
      </c>
      <c r="J53" t="e">
        <f>AND(#REF!,"AAAAAGf+/Qk=")</f>
        <v>#REF!</v>
      </c>
      <c r="K53" t="e">
        <f>AND(#REF!,"AAAAAGf+/Qo=")</f>
        <v>#REF!</v>
      </c>
      <c r="L53" t="e">
        <f>AND(#REF!,"AAAAAGf+/Qs=")</f>
        <v>#REF!</v>
      </c>
      <c r="M53" t="e">
        <f>AND(#REF!,"AAAAAGf+/Qw=")</f>
        <v>#REF!</v>
      </c>
      <c r="N53" t="e">
        <f>AND(#REF!,"AAAAAGf+/Q0=")</f>
        <v>#REF!</v>
      </c>
      <c r="O53" t="e">
        <f>AND(#REF!,"AAAAAGf+/Q4=")</f>
        <v>#REF!</v>
      </c>
      <c r="P53" t="e">
        <f>AND(#REF!,"AAAAAGf+/Q8=")</f>
        <v>#REF!</v>
      </c>
      <c r="Q53" t="e">
        <f>AND(#REF!,"AAAAAGf+/RA=")</f>
        <v>#REF!</v>
      </c>
      <c r="R53" t="e">
        <f>AND(#REF!,"AAAAAGf+/RE=")</f>
        <v>#REF!</v>
      </c>
      <c r="S53" t="e">
        <f>AND(#REF!,"AAAAAGf+/RI=")</f>
        <v>#REF!</v>
      </c>
      <c r="T53" t="e">
        <f>AND(#REF!,"AAAAAGf+/RM=")</f>
        <v>#REF!</v>
      </c>
      <c r="U53" t="e">
        <f>AND(#REF!,"AAAAAGf+/RQ=")</f>
        <v>#REF!</v>
      </c>
      <c r="V53" t="e">
        <f>AND(#REF!,"AAAAAGf+/RU=")</f>
        <v>#REF!</v>
      </c>
      <c r="W53" t="e">
        <f>AND(#REF!,"AAAAAGf+/RY=")</f>
        <v>#REF!</v>
      </c>
      <c r="X53" t="e">
        <f>AND(#REF!,"AAAAAGf+/Rc=")</f>
        <v>#REF!</v>
      </c>
      <c r="Y53" t="e">
        <f>AND(#REF!,"AAAAAGf+/Rg=")</f>
        <v>#REF!</v>
      </c>
      <c r="Z53" t="e">
        <f>AND(#REF!,"AAAAAGf+/Rk=")</f>
        <v>#REF!</v>
      </c>
      <c r="AA53" t="e">
        <f>AND(#REF!,"AAAAAGf+/Ro=")</f>
        <v>#REF!</v>
      </c>
      <c r="AB53" t="e">
        <f>AND(#REF!,"AAAAAGf+/Rs=")</f>
        <v>#REF!</v>
      </c>
      <c r="AC53" t="e">
        <f>AND(#REF!,"AAAAAGf+/Rw=")</f>
        <v>#REF!</v>
      </c>
      <c r="AD53" t="e">
        <f>AND(#REF!,"AAAAAGf+/R0=")</f>
        <v>#REF!</v>
      </c>
      <c r="AE53" t="e">
        <f>AND(#REF!,"AAAAAGf+/R4=")</f>
        <v>#REF!</v>
      </c>
      <c r="AF53" t="e">
        <f>AND(#REF!,"AAAAAGf+/R8=")</f>
        <v>#REF!</v>
      </c>
      <c r="AG53" t="e">
        <f>AND(#REF!,"AAAAAGf+/SA=")</f>
        <v>#REF!</v>
      </c>
      <c r="AH53" t="e">
        <f>AND(#REF!,"AAAAAGf+/SE=")</f>
        <v>#REF!</v>
      </c>
      <c r="AI53" t="e">
        <f>AND(#REF!,"AAAAAGf+/SI=")</f>
        <v>#REF!</v>
      </c>
      <c r="AJ53" t="e">
        <f>AND(#REF!,"AAAAAGf+/SM=")</f>
        <v>#REF!</v>
      </c>
      <c r="AK53" t="e">
        <f>AND(#REF!,"AAAAAGf+/SQ=")</f>
        <v>#REF!</v>
      </c>
      <c r="AL53" t="e">
        <f>AND(#REF!,"AAAAAGf+/SU=")</f>
        <v>#REF!</v>
      </c>
      <c r="AM53" t="e">
        <f>AND(#REF!,"AAAAAGf+/SY=")</f>
        <v>#REF!</v>
      </c>
      <c r="AN53" t="e">
        <f>AND(#REF!,"AAAAAGf+/Sc=")</f>
        <v>#REF!</v>
      </c>
      <c r="AO53" t="e">
        <f>AND(#REF!,"AAAAAGf+/Sg=")</f>
        <v>#REF!</v>
      </c>
      <c r="AP53" t="e">
        <f>AND(#REF!,"AAAAAGf+/Sk=")</f>
        <v>#REF!</v>
      </c>
      <c r="AQ53" t="e">
        <f>AND(#REF!,"AAAAAGf+/So=")</f>
        <v>#REF!</v>
      </c>
      <c r="AR53" t="e">
        <f>AND(#REF!,"AAAAAGf+/Ss=")</f>
        <v>#REF!</v>
      </c>
      <c r="AS53" t="e">
        <f>AND(#REF!,"AAAAAGf+/Sw=")</f>
        <v>#REF!</v>
      </c>
      <c r="AT53" t="e">
        <f>AND(#REF!,"AAAAAGf+/S0=")</f>
        <v>#REF!</v>
      </c>
      <c r="AU53" t="e">
        <f>AND(#REF!,"AAAAAGf+/S4=")</f>
        <v>#REF!</v>
      </c>
      <c r="AV53" t="e">
        <f>AND(#REF!,"AAAAAGf+/S8=")</f>
        <v>#REF!</v>
      </c>
      <c r="AW53" t="e">
        <f>AND(#REF!,"AAAAAGf+/TA=")</f>
        <v>#REF!</v>
      </c>
      <c r="AX53" t="e">
        <f>AND(#REF!,"AAAAAGf+/TE=")</f>
        <v>#REF!</v>
      </c>
      <c r="AY53" t="e">
        <f>AND(#REF!,"AAAAAGf+/TI=")</f>
        <v>#REF!</v>
      </c>
      <c r="AZ53" t="e">
        <f>AND(#REF!,"AAAAAGf+/TM=")</f>
        <v>#REF!</v>
      </c>
      <c r="BA53" t="e">
        <f>AND(#REF!,"AAAAAGf+/TQ=")</f>
        <v>#REF!</v>
      </c>
      <c r="BB53" t="e">
        <f>AND(#REF!,"AAAAAGf+/TU=")</f>
        <v>#REF!</v>
      </c>
      <c r="BC53" t="e">
        <f>AND(#REF!,"AAAAAGf+/TY=")</f>
        <v>#REF!</v>
      </c>
      <c r="BD53" t="e">
        <f>AND(#REF!,"AAAAAGf+/Tc=")</f>
        <v>#REF!</v>
      </c>
      <c r="BE53" t="e">
        <f>AND(#REF!,"AAAAAGf+/Tg=")</f>
        <v>#REF!</v>
      </c>
      <c r="BF53" t="e">
        <f>AND(#REF!,"AAAAAGf+/Tk=")</f>
        <v>#REF!</v>
      </c>
      <c r="BG53" t="e">
        <f>AND(#REF!,"AAAAAGf+/To=")</f>
        <v>#REF!</v>
      </c>
      <c r="BH53" t="e">
        <f>AND(#REF!,"AAAAAGf+/Ts=")</f>
        <v>#REF!</v>
      </c>
      <c r="BI53" t="e">
        <f>AND(#REF!,"AAAAAGf+/Tw=")</f>
        <v>#REF!</v>
      </c>
      <c r="BJ53" t="e">
        <f>AND(#REF!,"AAAAAGf+/T0=")</f>
        <v>#REF!</v>
      </c>
      <c r="BK53" t="e">
        <f>AND(#REF!,"AAAAAGf+/T4=")</f>
        <v>#REF!</v>
      </c>
      <c r="BL53" t="e">
        <f>AND(#REF!,"AAAAAGf+/T8=")</f>
        <v>#REF!</v>
      </c>
      <c r="BM53" t="e">
        <f>AND(#REF!,"AAAAAGf+/UA=")</f>
        <v>#REF!</v>
      </c>
      <c r="BN53" t="e">
        <f>AND(#REF!,"AAAAAGf+/UE=")</f>
        <v>#REF!</v>
      </c>
      <c r="BO53" t="e">
        <f>AND(#REF!,"AAAAAGf+/UI=")</f>
        <v>#REF!</v>
      </c>
      <c r="BP53" t="e">
        <f>AND(#REF!,"AAAAAGf+/UM=")</f>
        <v>#REF!</v>
      </c>
      <c r="BQ53" t="e">
        <f>AND(#REF!,"AAAAAGf+/UQ=")</f>
        <v>#REF!</v>
      </c>
      <c r="BR53" t="e">
        <f>AND(#REF!,"AAAAAGf+/UU=")</f>
        <v>#REF!</v>
      </c>
      <c r="BS53" t="e">
        <f>AND(#REF!,"AAAAAGf+/UY=")</f>
        <v>#REF!</v>
      </c>
      <c r="BT53" t="e">
        <f>AND(#REF!,"AAAAAGf+/Uc=")</f>
        <v>#REF!</v>
      </c>
      <c r="BU53" t="e">
        <f>AND(#REF!,"AAAAAGf+/Ug=")</f>
        <v>#REF!</v>
      </c>
      <c r="BV53" t="e">
        <f>AND(#REF!,"AAAAAGf+/Uk=")</f>
        <v>#REF!</v>
      </c>
      <c r="BW53" t="e">
        <f>AND(#REF!,"AAAAAGf+/Uo=")</f>
        <v>#REF!</v>
      </c>
      <c r="BX53" t="e">
        <f>AND(#REF!,"AAAAAGf+/Us=")</f>
        <v>#REF!</v>
      </c>
      <c r="BY53" t="e">
        <f>AND(#REF!,"AAAAAGf+/Uw=")</f>
        <v>#REF!</v>
      </c>
      <c r="BZ53" t="e">
        <f>AND(#REF!,"AAAAAGf+/U0=")</f>
        <v>#REF!</v>
      </c>
      <c r="CA53" t="e">
        <f>AND(#REF!,"AAAAAGf+/U4=")</f>
        <v>#REF!</v>
      </c>
      <c r="CB53" t="e">
        <f>AND(#REF!,"AAAAAGf+/U8=")</f>
        <v>#REF!</v>
      </c>
      <c r="CC53" t="e">
        <f>AND(#REF!,"AAAAAGf+/VA=")</f>
        <v>#REF!</v>
      </c>
      <c r="CD53" t="e">
        <f>AND(#REF!,"AAAAAGf+/VE=")</f>
        <v>#REF!</v>
      </c>
      <c r="CE53" t="e">
        <f>AND(#REF!,"AAAAAGf+/VI=")</f>
        <v>#REF!</v>
      </c>
      <c r="CF53" t="e">
        <f>AND(#REF!,"AAAAAGf+/VM=")</f>
        <v>#REF!</v>
      </c>
      <c r="CG53" t="e">
        <f>AND(#REF!,"AAAAAGf+/VQ=")</f>
        <v>#REF!</v>
      </c>
      <c r="CH53" t="e">
        <f>AND(#REF!,"AAAAAGf+/VU=")</f>
        <v>#REF!</v>
      </c>
      <c r="CI53" t="e">
        <f>AND(#REF!,"AAAAAGf+/VY=")</f>
        <v>#REF!</v>
      </c>
      <c r="CJ53" t="e">
        <f>AND(#REF!,"AAAAAGf+/Vc=")</f>
        <v>#REF!</v>
      </c>
      <c r="CK53" t="e">
        <f>AND(#REF!,"AAAAAGf+/Vg=")</f>
        <v>#REF!</v>
      </c>
      <c r="CL53" t="e">
        <f>AND(#REF!,"AAAAAGf+/Vk=")</f>
        <v>#REF!</v>
      </c>
      <c r="CM53" t="e">
        <f>AND(#REF!,"AAAAAGf+/Vo=")</f>
        <v>#REF!</v>
      </c>
      <c r="CN53" t="e">
        <f>AND(#REF!,"AAAAAGf+/Vs=")</f>
        <v>#REF!</v>
      </c>
      <c r="CO53" t="e">
        <f>AND(#REF!,"AAAAAGf+/Vw=")</f>
        <v>#REF!</v>
      </c>
      <c r="CP53" t="e">
        <f>AND(#REF!,"AAAAAGf+/V0=")</f>
        <v>#REF!</v>
      </c>
      <c r="CQ53" t="e">
        <f>AND(#REF!,"AAAAAGf+/V4=")</f>
        <v>#REF!</v>
      </c>
      <c r="CR53" t="e">
        <f>AND(#REF!,"AAAAAGf+/V8=")</f>
        <v>#REF!</v>
      </c>
      <c r="CS53" t="e">
        <f>AND(#REF!,"AAAAAGf+/WA=")</f>
        <v>#REF!</v>
      </c>
      <c r="CT53" t="e">
        <f>AND(#REF!,"AAAAAGf+/WE=")</f>
        <v>#REF!</v>
      </c>
      <c r="CU53" t="e">
        <f>AND(#REF!,"AAAAAGf+/WI=")</f>
        <v>#REF!</v>
      </c>
      <c r="CV53" t="e">
        <f>AND(#REF!,"AAAAAGf+/WM=")</f>
        <v>#REF!</v>
      </c>
      <c r="CW53" t="e">
        <f>AND(#REF!,"AAAAAGf+/WQ=")</f>
        <v>#REF!</v>
      </c>
      <c r="CX53" t="e">
        <f>AND(#REF!,"AAAAAGf+/WU=")</f>
        <v>#REF!</v>
      </c>
      <c r="CY53" t="e">
        <f>AND(#REF!,"AAAAAGf+/WY=")</f>
        <v>#REF!</v>
      </c>
      <c r="CZ53" t="e">
        <f>AND(#REF!,"AAAAAGf+/Wc=")</f>
        <v>#REF!</v>
      </c>
      <c r="DA53" t="e">
        <f>AND(#REF!,"AAAAAGf+/Wg=")</f>
        <v>#REF!</v>
      </c>
      <c r="DB53" t="e">
        <f>AND(#REF!,"AAAAAGf+/Wk=")</f>
        <v>#REF!</v>
      </c>
      <c r="DC53" t="e">
        <f>AND(#REF!,"AAAAAGf+/Wo=")</f>
        <v>#REF!</v>
      </c>
      <c r="DD53" t="e">
        <f>AND(#REF!,"AAAAAGf+/Ws=")</f>
        <v>#REF!</v>
      </c>
      <c r="DE53" t="e">
        <f>AND(#REF!,"AAAAAGf+/Ww=")</f>
        <v>#REF!</v>
      </c>
      <c r="DF53" t="e">
        <f>AND(#REF!,"AAAAAGf+/W0=")</f>
        <v>#REF!</v>
      </c>
      <c r="DG53" t="e">
        <f>AND(#REF!,"AAAAAGf+/W4=")</f>
        <v>#REF!</v>
      </c>
      <c r="DH53" t="e">
        <f>AND(#REF!,"AAAAAGf+/W8=")</f>
        <v>#REF!</v>
      </c>
      <c r="DI53" t="e">
        <f>AND(#REF!,"AAAAAGf+/XA=")</f>
        <v>#REF!</v>
      </c>
      <c r="DJ53" t="e">
        <f>AND(#REF!,"AAAAAGf+/XE=")</f>
        <v>#REF!</v>
      </c>
      <c r="DK53" t="e">
        <f>AND(#REF!,"AAAAAGf+/XI=")</f>
        <v>#REF!</v>
      </c>
      <c r="DL53" t="e">
        <f>AND(#REF!,"AAAAAGf+/XM=")</f>
        <v>#REF!</v>
      </c>
      <c r="DM53" t="e">
        <f>AND(#REF!,"AAAAAGf+/XQ=")</f>
        <v>#REF!</v>
      </c>
      <c r="DN53" t="e">
        <f>AND(#REF!,"AAAAAGf+/XU=")</f>
        <v>#REF!</v>
      </c>
      <c r="DO53" t="e">
        <f>AND(#REF!,"AAAAAGf+/XY=")</f>
        <v>#REF!</v>
      </c>
      <c r="DP53" t="e">
        <f>AND(#REF!,"AAAAAGf+/Xc=")</f>
        <v>#REF!</v>
      </c>
      <c r="DQ53" t="e">
        <f>AND(#REF!,"AAAAAGf+/Xg=")</f>
        <v>#REF!</v>
      </c>
      <c r="DR53" t="e">
        <f>AND(#REF!,"AAAAAGf+/Xk=")</f>
        <v>#REF!</v>
      </c>
      <c r="DS53" t="e">
        <f>AND(#REF!,"AAAAAGf+/Xo=")</f>
        <v>#REF!</v>
      </c>
      <c r="DT53" t="e">
        <f>AND(#REF!,"AAAAAGf+/Xs=")</f>
        <v>#REF!</v>
      </c>
      <c r="DU53" t="e">
        <f>AND(#REF!,"AAAAAGf+/Xw=")</f>
        <v>#REF!</v>
      </c>
      <c r="DV53" t="e">
        <f>IF(#REF!,"AAAAAGf+/X0=",0)</f>
        <v>#REF!</v>
      </c>
      <c r="DW53" t="e">
        <f>AND(#REF!,"AAAAAGf+/X4=")</f>
        <v>#REF!</v>
      </c>
      <c r="DX53" t="e">
        <f>AND(#REF!,"AAAAAGf+/X8=")</f>
        <v>#REF!</v>
      </c>
      <c r="DY53" t="e">
        <f>AND(#REF!,"AAAAAGf+/YA=")</f>
        <v>#REF!</v>
      </c>
      <c r="DZ53" t="e">
        <f>AND(#REF!,"AAAAAGf+/YE=")</f>
        <v>#REF!</v>
      </c>
      <c r="EA53" t="e">
        <f>AND(#REF!,"AAAAAGf+/YI=")</f>
        <v>#REF!</v>
      </c>
      <c r="EB53" t="e">
        <f>AND(#REF!,"AAAAAGf+/YM=")</f>
        <v>#REF!</v>
      </c>
      <c r="EC53" t="e">
        <f>AND(#REF!,"AAAAAGf+/YQ=")</f>
        <v>#REF!</v>
      </c>
      <c r="ED53" t="e">
        <f>AND(#REF!,"AAAAAGf+/YU=")</f>
        <v>#REF!</v>
      </c>
      <c r="EE53" t="e">
        <f>AND(#REF!,"AAAAAGf+/YY=")</f>
        <v>#REF!</v>
      </c>
      <c r="EF53" t="e">
        <f>AND(#REF!,"AAAAAGf+/Yc=")</f>
        <v>#REF!</v>
      </c>
      <c r="EG53" t="e">
        <f>AND(#REF!,"AAAAAGf+/Yg=")</f>
        <v>#REF!</v>
      </c>
      <c r="EH53" t="e">
        <f>AND(#REF!,"AAAAAGf+/Yk=")</f>
        <v>#REF!</v>
      </c>
      <c r="EI53" t="e">
        <f>AND(#REF!,"AAAAAGf+/Yo=")</f>
        <v>#REF!</v>
      </c>
      <c r="EJ53" t="e">
        <f>AND(#REF!,"AAAAAGf+/Ys=")</f>
        <v>#REF!</v>
      </c>
      <c r="EK53" t="e">
        <f>AND(#REF!,"AAAAAGf+/Yw=")</f>
        <v>#REF!</v>
      </c>
      <c r="EL53" t="e">
        <f>AND(#REF!,"AAAAAGf+/Y0=")</f>
        <v>#REF!</v>
      </c>
      <c r="EM53" t="e">
        <f>AND(#REF!,"AAAAAGf+/Y4=")</f>
        <v>#REF!</v>
      </c>
      <c r="EN53" t="e">
        <f>AND(#REF!,"AAAAAGf+/Y8=")</f>
        <v>#REF!</v>
      </c>
      <c r="EO53" t="e">
        <f>AND(#REF!,"AAAAAGf+/ZA=")</f>
        <v>#REF!</v>
      </c>
      <c r="EP53" t="e">
        <f>AND(#REF!,"AAAAAGf+/ZE=")</f>
        <v>#REF!</v>
      </c>
      <c r="EQ53" t="e">
        <f>AND(#REF!,"AAAAAGf+/ZI=")</f>
        <v>#REF!</v>
      </c>
      <c r="ER53" t="e">
        <f>AND(#REF!,"AAAAAGf+/ZM=")</f>
        <v>#REF!</v>
      </c>
      <c r="ES53" t="e">
        <f>AND(#REF!,"AAAAAGf+/ZQ=")</f>
        <v>#REF!</v>
      </c>
      <c r="ET53" t="e">
        <f>AND(#REF!,"AAAAAGf+/ZU=")</f>
        <v>#REF!</v>
      </c>
      <c r="EU53" t="e">
        <f>AND(#REF!,"AAAAAGf+/ZY=")</f>
        <v>#REF!</v>
      </c>
      <c r="EV53" t="e">
        <f>AND(#REF!,"AAAAAGf+/Zc=")</f>
        <v>#REF!</v>
      </c>
      <c r="EW53" t="e">
        <f>AND(#REF!,"AAAAAGf+/Zg=")</f>
        <v>#REF!</v>
      </c>
      <c r="EX53" t="e">
        <f>AND(#REF!,"AAAAAGf+/Zk=")</f>
        <v>#REF!</v>
      </c>
      <c r="EY53" t="e">
        <f>AND(#REF!,"AAAAAGf+/Zo=")</f>
        <v>#REF!</v>
      </c>
      <c r="EZ53" t="e">
        <f>AND(#REF!,"AAAAAGf+/Zs=")</f>
        <v>#REF!</v>
      </c>
      <c r="FA53" t="e">
        <f>AND(#REF!,"AAAAAGf+/Zw=")</f>
        <v>#REF!</v>
      </c>
      <c r="FB53" t="e">
        <f>AND(#REF!,"AAAAAGf+/Z0=")</f>
        <v>#REF!</v>
      </c>
      <c r="FC53" t="e">
        <f>AND(#REF!,"AAAAAGf+/Z4=")</f>
        <v>#REF!</v>
      </c>
      <c r="FD53" t="e">
        <f>AND(#REF!,"AAAAAGf+/Z8=")</f>
        <v>#REF!</v>
      </c>
      <c r="FE53" t="e">
        <f>AND(#REF!,"AAAAAGf+/aA=")</f>
        <v>#REF!</v>
      </c>
      <c r="FF53" t="e">
        <f>AND(#REF!,"AAAAAGf+/aE=")</f>
        <v>#REF!</v>
      </c>
      <c r="FG53" t="e">
        <f>AND(#REF!,"AAAAAGf+/aI=")</f>
        <v>#REF!</v>
      </c>
      <c r="FH53" t="e">
        <f>AND(#REF!,"AAAAAGf+/aM=")</f>
        <v>#REF!</v>
      </c>
      <c r="FI53" t="e">
        <f>AND(#REF!,"AAAAAGf+/aQ=")</f>
        <v>#REF!</v>
      </c>
      <c r="FJ53" t="e">
        <f>AND(#REF!,"AAAAAGf+/aU=")</f>
        <v>#REF!</v>
      </c>
      <c r="FK53" t="e">
        <f>AND(#REF!,"AAAAAGf+/aY=")</f>
        <v>#REF!</v>
      </c>
      <c r="FL53" t="e">
        <f>AND(#REF!,"AAAAAGf+/ac=")</f>
        <v>#REF!</v>
      </c>
      <c r="FM53" t="e">
        <f>AND(#REF!,"AAAAAGf+/ag=")</f>
        <v>#REF!</v>
      </c>
      <c r="FN53" t="e">
        <f>AND(#REF!,"AAAAAGf+/ak=")</f>
        <v>#REF!</v>
      </c>
      <c r="FO53" t="e">
        <f>AND(#REF!,"AAAAAGf+/ao=")</f>
        <v>#REF!</v>
      </c>
      <c r="FP53" t="e">
        <f>AND(#REF!,"AAAAAGf+/as=")</f>
        <v>#REF!</v>
      </c>
      <c r="FQ53" t="e">
        <f>AND(#REF!,"AAAAAGf+/aw=")</f>
        <v>#REF!</v>
      </c>
      <c r="FR53" t="e">
        <f>AND(#REF!,"AAAAAGf+/a0=")</f>
        <v>#REF!</v>
      </c>
      <c r="FS53" t="e">
        <f>AND(#REF!,"AAAAAGf+/a4=")</f>
        <v>#REF!</v>
      </c>
      <c r="FT53" t="e">
        <f>AND(#REF!,"AAAAAGf+/a8=")</f>
        <v>#REF!</v>
      </c>
      <c r="FU53" t="e">
        <f>AND(#REF!,"AAAAAGf+/bA=")</f>
        <v>#REF!</v>
      </c>
      <c r="FV53" t="e">
        <f>AND(#REF!,"AAAAAGf+/bE=")</f>
        <v>#REF!</v>
      </c>
      <c r="FW53" t="e">
        <f>AND(#REF!,"AAAAAGf+/bI=")</f>
        <v>#REF!</v>
      </c>
      <c r="FX53" t="e">
        <f>AND(#REF!,"AAAAAGf+/bM=")</f>
        <v>#REF!</v>
      </c>
      <c r="FY53" t="e">
        <f>AND(#REF!,"AAAAAGf+/bQ=")</f>
        <v>#REF!</v>
      </c>
      <c r="FZ53" t="e">
        <f>AND(#REF!,"AAAAAGf+/bU=")</f>
        <v>#REF!</v>
      </c>
      <c r="GA53" t="e">
        <f>AND(#REF!,"AAAAAGf+/bY=")</f>
        <v>#REF!</v>
      </c>
      <c r="GB53" t="e">
        <f>AND(#REF!,"AAAAAGf+/bc=")</f>
        <v>#REF!</v>
      </c>
      <c r="GC53" t="e">
        <f>AND(#REF!,"AAAAAGf+/bg=")</f>
        <v>#REF!</v>
      </c>
      <c r="GD53" t="e">
        <f>AND(#REF!,"AAAAAGf+/bk=")</f>
        <v>#REF!</v>
      </c>
      <c r="GE53" t="e">
        <f>AND(#REF!,"AAAAAGf+/bo=")</f>
        <v>#REF!</v>
      </c>
      <c r="GF53" t="e">
        <f>AND(#REF!,"AAAAAGf+/bs=")</f>
        <v>#REF!</v>
      </c>
      <c r="GG53" t="e">
        <f>AND(#REF!,"AAAAAGf+/bw=")</f>
        <v>#REF!</v>
      </c>
      <c r="GH53" t="e">
        <f>AND(#REF!,"AAAAAGf+/b0=")</f>
        <v>#REF!</v>
      </c>
      <c r="GI53" t="e">
        <f>AND(#REF!,"AAAAAGf+/b4=")</f>
        <v>#REF!</v>
      </c>
      <c r="GJ53" t="e">
        <f>AND(#REF!,"AAAAAGf+/b8=")</f>
        <v>#REF!</v>
      </c>
      <c r="GK53" t="e">
        <f>AND(#REF!,"AAAAAGf+/cA=")</f>
        <v>#REF!</v>
      </c>
      <c r="GL53" t="e">
        <f>AND(#REF!,"AAAAAGf+/cE=")</f>
        <v>#REF!</v>
      </c>
      <c r="GM53" t="e">
        <f>AND(#REF!,"AAAAAGf+/cI=")</f>
        <v>#REF!</v>
      </c>
      <c r="GN53" t="e">
        <f>AND(#REF!,"AAAAAGf+/cM=")</f>
        <v>#REF!</v>
      </c>
      <c r="GO53" t="e">
        <f>AND(#REF!,"AAAAAGf+/cQ=")</f>
        <v>#REF!</v>
      </c>
      <c r="GP53" t="e">
        <f>AND(#REF!,"AAAAAGf+/cU=")</f>
        <v>#REF!</v>
      </c>
      <c r="GQ53" t="e">
        <f>AND(#REF!,"AAAAAGf+/cY=")</f>
        <v>#REF!</v>
      </c>
      <c r="GR53" t="e">
        <f>AND(#REF!,"AAAAAGf+/cc=")</f>
        <v>#REF!</v>
      </c>
      <c r="GS53" t="e">
        <f>AND(#REF!,"AAAAAGf+/cg=")</f>
        <v>#REF!</v>
      </c>
      <c r="GT53" t="e">
        <f>AND(#REF!,"AAAAAGf+/ck=")</f>
        <v>#REF!</v>
      </c>
      <c r="GU53" t="e">
        <f>AND(#REF!,"AAAAAGf+/co=")</f>
        <v>#REF!</v>
      </c>
      <c r="GV53" t="e">
        <f>AND(#REF!,"AAAAAGf+/cs=")</f>
        <v>#REF!</v>
      </c>
      <c r="GW53" t="e">
        <f>AND(#REF!,"AAAAAGf+/cw=")</f>
        <v>#REF!</v>
      </c>
      <c r="GX53" t="e">
        <f>AND(#REF!,"AAAAAGf+/c0=")</f>
        <v>#REF!</v>
      </c>
      <c r="GY53" t="e">
        <f>AND(#REF!,"AAAAAGf+/c4=")</f>
        <v>#REF!</v>
      </c>
      <c r="GZ53" t="e">
        <f>AND(#REF!,"AAAAAGf+/c8=")</f>
        <v>#REF!</v>
      </c>
      <c r="HA53" t="e">
        <f>AND(#REF!,"AAAAAGf+/dA=")</f>
        <v>#REF!</v>
      </c>
      <c r="HB53" t="e">
        <f>AND(#REF!,"AAAAAGf+/dE=")</f>
        <v>#REF!</v>
      </c>
      <c r="HC53" t="e">
        <f>AND(#REF!,"AAAAAGf+/dI=")</f>
        <v>#REF!</v>
      </c>
      <c r="HD53" t="e">
        <f>AND(#REF!,"AAAAAGf+/dM=")</f>
        <v>#REF!</v>
      </c>
      <c r="HE53" t="e">
        <f>AND(#REF!,"AAAAAGf+/dQ=")</f>
        <v>#REF!</v>
      </c>
      <c r="HF53" t="e">
        <f>AND(#REF!,"AAAAAGf+/dU=")</f>
        <v>#REF!</v>
      </c>
      <c r="HG53" t="e">
        <f>AND(#REF!,"AAAAAGf+/dY=")</f>
        <v>#REF!</v>
      </c>
      <c r="HH53" t="e">
        <f>AND(#REF!,"AAAAAGf+/dc=")</f>
        <v>#REF!</v>
      </c>
      <c r="HI53" t="e">
        <f>AND(#REF!,"AAAAAGf+/dg=")</f>
        <v>#REF!</v>
      </c>
      <c r="HJ53" t="e">
        <f>AND(#REF!,"AAAAAGf+/dk=")</f>
        <v>#REF!</v>
      </c>
      <c r="HK53" t="e">
        <f>AND(#REF!,"AAAAAGf+/do=")</f>
        <v>#REF!</v>
      </c>
      <c r="HL53" t="e">
        <f>AND(#REF!,"AAAAAGf+/ds=")</f>
        <v>#REF!</v>
      </c>
      <c r="HM53" t="e">
        <f>AND(#REF!,"AAAAAGf+/dw=")</f>
        <v>#REF!</v>
      </c>
      <c r="HN53" t="e">
        <f>AND(#REF!,"AAAAAGf+/d0=")</f>
        <v>#REF!</v>
      </c>
      <c r="HO53" t="e">
        <f>AND(#REF!,"AAAAAGf+/d4=")</f>
        <v>#REF!</v>
      </c>
      <c r="HP53" t="e">
        <f>AND(#REF!,"AAAAAGf+/d8=")</f>
        <v>#REF!</v>
      </c>
      <c r="HQ53" t="e">
        <f>AND(#REF!,"AAAAAGf+/eA=")</f>
        <v>#REF!</v>
      </c>
      <c r="HR53" t="e">
        <f>AND(#REF!,"AAAAAGf+/eE=")</f>
        <v>#REF!</v>
      </c>
      <c r="HS53" t="e">
        <f>AND(#REF!,"AAAAAGf+/eI=")</f>
        <v>#REF!</v>
      </c>
      <c r="HT53" t="e">
        <f>AND(#REF!,"AAAAAGf+/eM=")</f>
        <v>#REF!</v>
      </c>
      <c r="HU53" t="e">
        <f>AND(#REF!,"AAAAAGf+/eQ=")</f>
        <v>#REF!</v>
      </c>
      <c r="HV53" t="e">
        <f>AND(#REF!,"AAAAAGf+/eU=")</f>
        <v>#REF!</v>
      </c>
      <c r="HW53" t="e">
        <f>AND(#REF!,"AAAAAGf+/eY=")</f>
        <v>#REF!</v>
      </c>
      <c r="HX53" t="e">
        <f>AND(#REF!,"AAAAAGf+/ec=")</f>
        <v>#REF!</v>
      </c>
      <c r="HY53" t="e">
        <f>AND(#REF!,"AAAAAGf+/eg=")</f>
        <v>#REF!</v>
      </c>
      <c r="HZ53" t="e">
        <f>AND(#REF!,"AAAAAGf+/ek=")</f>
        <v>#REF!</v>
      </c>
      <c r="IA53" t="e">
        <f>AND(#REF!,"AAAAAGf+/eo=")</f>
        <v>#REF!</v>
      </c>
      <c r="IB53" t="e">
        <f>AND(#REF!,"AAAAAGf+/es=")</f>
        <v>#REF!</v>
      </c>
      <c r="IC53" t="e">
        <f>AND(#REF!,"AAAAAGf+/ew=")</f>
        <v>#REF!</v>
      </c>
      <c r="ID53" t="e">
        <f>AND(#REF!,"AAAAAGf+/e0=")</f>
        <v>#REF!</v>
      </c>
      <c r="IE53" t="e">
        <f>AND(#REF!,"AAAAAGf+/e4=")</f>
        <v>#REF!</v>
      </c>
      <c r="IF53" t="e">
        <f>AND(#REF!,"AAAAAGf+/e8=")</f>
        <v>#REF!</v>
      </c>
      <c r="IG53" t="e">
        <f>AND(#REF!,"AAAAAGf+/fA=")</f>
        <v>#REF!</v>
      </c>
      <c r="IH53" t="e">
        <f>AND(#REF!,"AAAAAGf+/fE=")</f>
        <v>#REF!</v>
      </c>
      <c r="II53" t="e">
        <f>AND(#REF!,"AAAAAGf+/fI=")</f>
        <v>#REF!</v>
      </c>
      <c r="IJ53" t="e">
        <f>AND(#REF!,"AAAAAGf+/fM=")</f>
        <v>#REF!</v>
      </c>
      <c r="IK53" t="e">
        <f>AND(#REF!,"AAAAAGf+/fQ=")</f>
        <v>#REF!</v>
      </c>
      <c r="IL53" t="e">
        <f>AND(#REF!,"AAAAAGf+/fU=")</f>
        <v>#REF!</v>
      </c>
      <c r="IM53" t="e">
        <f>IF(#REF!,"AAAAAGf+/fY=",0)</f>
        <v>#REF!</v>
      </c>
      <c r="IN53" t="e">
        <f>AND(#REF!,"AAAAAGf+/fc=")</f>
        <v>#REF!</v>
      </c>
      <c r="IO53" t="e">
        <f>AND(#REF!,"AAAAAGf+/fg=")</f>
        <v>#REF!</v>
      </c>
      <c r="IP53" t="e">
        <f>AND(#REF!,"AAAAAGf+/fk=")</f>
        <v>#REF!</v>
      </c>
      <c r="IQ53" t="e">
        <f>AND(#REF!,"AAAAAGf+/fo=")</f>
        <v>#REF!</v>
      </c>
      <c r="IR53" t="e">
        <f>AND(#REF!,"AAAAAGf+/fs=")</f>
        <v>#REF!</v>
      </c>
      <c r="IS53" t="e">
        <f>AND(#REF!,"AAAAAGf+/fw=")</f>
        <v>#REF!</v>
      </c>
      <c r="IT53" t="e">
        <f>AND(#REF!,"AAAAAGf+/f0=")</f>
        <v>#REF!</v>
      </c>
      <c r="IU53" t="e">
        <f>AND(#REF!,"AAAAAGf+/f4=")</f>
        <v>#REF!</v>
      </c>
      <c r="IV53" t="e">
        <f>AND(#REF!,"AAAAAGf+/f8=")</f>
        <v>#REF!</v>
      </c>
    </row>
    <row r="54" spans="1:256">
      <c r="A54" t="e">
        <f>AND(#REF!,"AAAAAFz+uAA=")</f>
        <v>#REF!</v>
      </c>
      <c r="B54" t="e">
        <f>AND(#REF!,"AAAAAFz+uAE=")</f>
        <v>#REF!</v>
      </c>
      <c r="C54" t="e">
        <f>AND(#REF!,"AAAAAFz+uAI=")</f>
        <v>#REF!</v>
      </c>
      <c r="D54" t="e">
        <f>AND(#REF!,"AAAAAFz+uAM=")</f>
        <v>#REF!</v>
      </c>
      <c r="E54" t="e">
        <f>AND(#REF!,"AAAAAFz+uAQ=")</f>
        <v>#REF!</v>
      </c>
      <c r="F54" t="e">
        <f>AND(#REF!,"AAAAAFz+uAU=")</f>
        <v>#REF!</v>
      </c>
      <c r="G54" t="e">
        <f>AND(#REF!,"AAAAAFz+uAY=")</f>
        <v>#REF!</v>
      </c>
      <c r="H54" t="e">
        <f>AND(#REF!,"AAAAAFz+uAc=")</f>
        <v>#REF!</v>
      </c>
      <c r="I54" t="e">
        <f>AND(#REF!,"AAAAAFz+uAg=")</f>
        <v>#REF!</v>
      </c>
      <c r="J54" t="e">
        <f>AND(#REF!,"AAAAAFz+uAk=")</f>
        <v>#REF!</v>
      </c>
      <c r="K54" t="e">
        <f>AND(#REF!,"AAAAAFz+uAo=")</f>
        <v>#REF!</v>
      </c>
      <c r="L54" t="e">
        <f>AND(#REF!,"AAAAAFz+uAs=")</f>
        <v>#REF!</v>
      </c>
      <c r="M54" t="e">
        <f>AND(#REF!,"AAAAAFz+uAw=")</f>
        <v>#REF!</v>
      </c>
      <c r="N54" t="e">
        <f>AND(#REF!,"AAAAAFz+uA0=")</f>
        <v>#REF!</v>
      </c>
      <c r="O54" t="e">
        <f>AND(#REF!,"AAAAAFz+uA4=")</f>
        <v>#REF!</v>
      </c>
      <c r="P54" t="e">
        <f>AND(#REF!,"AAAAAFz+uA8=")</f>
        <v>#REF!</v>
      </c>
      <c r="Q54" t="e">
        <f>AND(#REF!,"AAAAAFz+uBA=")</f>
        <v>#REF!</v>
      </c>
      <c r="R54" t="e">
        <f>AND(#REF!,"AAAAAFz+uBE=")</f>
        <v>#REF!</v>
      </c>
      <c r="S54" t="e">
        <f>AND(#REF!,"AAAAAFz+uBI=")</f>
        <v>#REF!</v>
      </c>
      <c r="T54" t="e">
        <f>AND(#REF!,"AAAAAFz+uBM=")</f>
        <v>#REF!</v>
      </c>
      <c r="U54" t="e">
        <f>AND(#REF!,"AAAAAFz+uBQ=")</f>
        <v>#REF!</v>
      </c>
      <c r="V54" t="e">
        <f>AND(#REF!,"AAAAAFz+uBU=")</f>
        <v>#REF!</v>
      </c>
      <c r="W54" t="e">
        <f>AND(#REF!,"AAAAAFz+uBY=")</f>
        <v>#REF!</v>
      </c>
      <c r="X54" t="e">
        <f>AND(#REF!,"AAAAAFz+uBc=")</f>
        <v>#REF!</v>
      </c>
      <c r="Y54" t="e">
        <f>AND(#REF!,"AAAAAFz+uBg=")</f>
        <v>#REF!</v>
      </c>
      <c r="Z54" t="e">
        <f>AND(#REF!,"AAAAAFz+uBk=")</f>
        <v>#REF!</v>
      </c>
      <c r="AA54" t="e">
        <f>AND(#REF!,"AAAAAFz+uBo=")</f>
        <v>#REF!</v>
      </c>
      <c r="AB54" t="e">
        <f>AND(#REF!,"AAAAAFz+uBs=")</f>
        <v>#REF!</v>
      </c>
      <c r="AC54" t="e">
        <f>AND(#REF!,"AAAAAFz+uBw=")</f>
        <v>#REF!</v>
      </c>
      <c r="AD54" t="e">
        <f>AND(#REF!,"AAAAAFz+uB0=")</f>
        <v>#REF!</v>
      </c>
      <c r="AE54" t="e">
        <f>AND(#REF!,"AAAAAFz+uB4=")</f>
        <v>#REF!</v>
      </c>
      <c r="AF54" t="e">
        <f>AND(#REF!,"AAAAAFz+uB8=")</f>
        <v>#REF!</v>
      </c>
      <c r="AG54" t="e">
        <f>AND(#REF!,"AAAAAFz+uCA=")</f>
        <v>#REF!</v>
      </c>
      <c r="AH54" t="e">
        <f>AND(#REF!,"AAAAAFz+uCE=")</f>
        <v>#REF!</v>
      </c>
      <c r="AI54" t="e">
        <f>AND(#REF!,"AAAAAFz+uCI=")</f>
        <v>#REF!</v>
      </c>
      <c r="AJ54" t="e">
        <f>AND(#REF!,"AAAAAFz+uCM=")</f>
        <v>#REF!</v>
      </c>
      <c r="AK54" t="e">
        <f>AND(#REF!,"AAAAAFz+uCQ=")</f>
        <v>#REF!</v>
      </c>
      <c r="AL54" t="e">
        <f>AND(#REF!,"AAAAAFz+uCU=")</f>
        <v>#REF!</v>
      </c>
      <c r="AM54" t="e">
        <f>AND(#REF!,"AAAAAFz+uCY=")</f>
        <v>#REF!</v>
      </c>
      <c r="AN54" t="e">
        <f>AND(#REF!,"AAAAAFz+uCc=")</f>
        <v>#REF!</v>
      </c>
      <c r="AO54" t="e">
        <f>AND(#REF!,"AAAAAFz+uCg=")</f>
        <v>#REF!</v>
      </c>
      <c r="AP54" t="e">
        <f>AND(#REF!,"AAAAAFz+uCk=")</f>
        <v>#REF!</v>
      </c>
      <c r="AQ54" t="e">
        <f>AND(#REF!,"AAAAAFz+uCo=")</f>
        <v>#REF!</v>
      </c>
      <c r="AR54" t="e">
        <f>AND(#REF!,"AAAAAFz+uCs=")</f>
        <v>#REF!</v>
      </c>
      <c r="AS54" t="e">
        <f>AND(#REF!,"AAAAAFz+uCw=")</f>
        <v>#REF!</v>
      </c>
      <c r="AT54" t="e">
        <f>AND(#REF!,"AAAAAFz+uC0=")</f>
        <v>#REF!</v>
      </c>
      <c r="AU54" t="e">
        <f>AND(#REF!,"AAAAAFz+uC4=")</f>
        <v>#REF!</v>
      </c>
      <c r="AV54" t="e">
        <f>AND(#REF!,"AAAAAFz+uC8=")</f>
        <v>#REF!</v>
      </c>
      <c r="AW54" t="e">
        <f>AND(#REF!,"AAAAAFz+uDA=")</f>
        <v>#REF!</v>
      </c>
      <c r="AX54" t="e">
        <f>AND(#REF!,"AAAAAFz+uDE=")</f>
        <v>#REF!</v>
      </c>
      <c r="AY54" t="e">
        <f>AND(#REF!,"AAAAAFz+uDI=")</f>
        <v>#REF!</v>
      </c>
      <c r="AZ54" t="e">
        <f>AND(#REF!,"AAAAAFz+uDM=")</f>
        <v>#REF!</v>
      </c>
      <c r="BA54" t="e">
        <f>AND(#REF!,"AAAAAFz+uDQ=")</f>
        <v>#REF!</v>
      </c>
      <c r="BB54" t="e">
        <f>AND(#REF!,"AAAAAFz+uDU=")</f>
        <v>#REF!</v>
      </c>
      <c r="BC54" t="e">
        <f>AND(#REF!,"AAAAAFz+uDY=")</f>
        <v>#REF!</v>
      </c>
      <c r="BD54" t="e">
        <f>AND(#REF!,"AAAAAFz+uDc=")</f>
        <v>#REF!</v>
      </c>
      <c r="BE54" t="e">
        <f>AND(#REF!,"AAAAAFz+uDg=")</f>
        <v>#REF!</v>
      </c>
      <c r="BF54" t="e">
        <f>AND(#REF!,"AAAAAFz+uDk=")</f>
        <v>#REF!</v>
      </c>
      <c r="BG54" t="e">
        <f>AND(#REF!,"AAAAAFz+uDo=")</f>
        <v>#REF!</v>
      </c>
      <c r="BH54" t="e">
        <f>AND(#REF!,"AAAAAFz+uDs=")</f>
        <v>#REF!</v>
      </c>
      <c r="BI54" t="e">
        <f>AND(#REF!,"AAAAAFz+uDw=")</f>
        <v>#REF!</v>
      </c>
      <c r="BJ54" t="e">
        <f>AND(#REF!,"AAAAAFz+uD0=")</f>
        <v>#REF!</v>
      </c>
      <c r="BK54" t="e">
        <f>AND(#REF!,"AAAAAFz+uD4=")</f>
        <v>#REF!</v>
      </c>
      <c r="BL54" t="e">
        <f>AND(#REF!,"AAAAAFz+uD8=")</f>
        <v>#REF!</v>
      </c>
      <c r="BM54" t="e">
        <f>AND(#REF!,"AAAAAFz+uEA=")</f>
        <v>#REF!</v>
      </c>
      <c r="BN54" t="e">
        <f>AND(#REF!,"AAAAAFz+uEE=")</f>
        <v>#REF!</v>
      </c>
      <c r="BO54" t="e">
        <f>AND(#REF!,"AAAAAFz+uEI=")</f>
        <v>#REF!</v>
      </c>
      <c r="BP54" t="e">
        <f>AND(#REF!,"AAAAAFz+uEM=")</f>
        <v>#REF!</v>
      </c>
      <c r="BQ54" t="e">
        <f>AND(#REF!,"AAAAAFz+uEQ=")</f>
        <v>#REF!</v>
      </c>
      <c r="BR54" t="e">
        <f>AND(#REF!,"AAAAAFz+uEU=")</f>
        <v>#REF!</v>
      </c>
      <c r="BS54" t="e">
        <f>AND(#REF!,"AAAAAFz+uEY=")</f>
        <v>#REF!</v>
      </c>
      <c r="BT54" t="e">
        <f>AND(#REF!,"AAAAAFz+uEc=")</f>
        <v>#REF!</v>
      </c>
      <c r="BU54" t="e">
        <f>AND(#REF!,"AAAAAFz+uEg=")</f>
        <v>#REF!</v>
      </c>
      <c r="BV54" t="e">
        <f>AND(#REF!,"AAAAAFz+uEk=")</f>
        <v>#REF!</v>
      </c>
      <c r="BW54" t="e">
        <f>AND(#REF!,"AAAAAFz+uEo=")</f>
        <v>#REF!</v>
      </c>
      <c r="BX54" t="e">
        <f>AND(#REF!,"AAAAAFz+uEs=")</f>
        <v>#REF!</v>
      </c>
      <c r="BY54" t="e">
        <f>AND(#REF!,"AAAAAFz+uEw=")</f>
        <v>#REF!</v>
      </c>
      <c r="BZ54" t="e">
        <f>AND(#REF!,"AAAAAFz+uE0=")</f>
        <v>#REF!</v>
      </c>
      <c r="CA54" t="e">
        <f>AND(#REF!,"AAAAAFz+uE4=")</f>
        <v>#REF!</v>
      </c>
      <c r="CB54" t="e">
        <f>AND(#REF!,"AAAAAFz+uE8=")</f>
        <v>#REF!</v>
      </c>
      <c r="CC54" t="e">
        <f>AND(#REF!,"AAAAAFz+uFA=")</f>
        <v>#REF!</v>
      </c>
      <c r="CD54" t="e">
        <f>AND(#REF!,"AAAAAFz+uFE=")</f>
        <v>#REF!</v>
      </c>
      <c r="CE54" t="e">
        <f>AND(#REF!,"AAAAAFz+uFI=")</f>
        <v>#REF!</v>
      </c>
      <c r="CF54" t="e">
        <f>AND(#REF!,"AAAAAFz+uFM=")</f>
        <v>#REF!</v>
      </c>
      <c r="CG54" t="e">
        <f>AND(#REF!,"AAAAAFz+uFQ=")</f>
        <v>#REF!</v>
      </c>
      <c r="CH54" t="e">
        <f>AND(#REF!,"AAAAAFz+uFU=")</f>
        <v>#REF!</v>
      </c>
      <c r="CI54" t="e">
        <f>AND(#REF!,"AAAAAFz+uFY=")</f>
        <v>#REF!</v>
      </c>
      <c r="CJ54" t="e">
        <f>AND(#REF!,"AAAAAFz+uFc=")</f>
        <v>#REF!</v>
      </c>
      <c r="CK54" t="e">
        <f>AND(#REF!,"AAAAAFz+uFg=")</f>
        <v>#REF!</v>
      </c>
      <c r="CL54" t="e">
        <f>AND(#REF!,"AAAAAFz+uFk=")</f>
        <v>#REF!</v>
      </c>
      <c r="CM54" t="e">
        <f>AND(#REF!,"AAAAAFz+uFo=")</f>
        <v>#REF!</v>
      </c>
      <c r="CN54" t="e">
        <f>AND(#REF!,"AAAAAFz+uFs=")</f>
        <v>#REF!</v>
      </c>
      <c r="CO54" t="e">
        <f>AND(#REF!,"AAAAAFz+uFw=")</f>
        <v>#REF!</v>
      </c>
      <c r="CP54" t="e">
        <f>AND(#REF!,"AAAAAFz+uF0=")</f>
        <v>#REF!</v>
      </c>
      <c r="CQ54" t="e">
        <f>AND(#REF!,"AAAAAFz+uF4=")</f>
        <v>#REF!</v>
      </c>
      <c r="CR54" t="e">
        <f>AND(#REF!,"AAAAAFz+uF8=")</f>
        <v>#REF!</v>
      </c>
      <c r="CS54" t="e">
        <f>AND(#REF!,"AAAAAFz+uGA=")</f>
        <v>#REF!</v>
      </c>
      <c r="CT54" t="e">
        <f>AND(#REF!,"AAAAAFz+uGE=")</f>
        <v>#REF!</v>
      </c>
      <c r="CU54" t="e">
        <f>AND(#REF!,"AAAAAFz+uGI=")</f>
        <v>#REF!</v>
      </c>
      <c r="CV54" t="e">
        <f>AND(#REF!,"AAAAAFz+uGM=")</f>
        <v>#REF!</v>
      </c>
      <c r="CW54" t="e">
        <f>AND(#REF!,"AAAAAFz+uGQ=")</f>
        <v>#REF!</v>
      </c>
      <c r="CX54" t="e">
        <f>AND(#REF!,"AAAAAFz+uGU=")</f>
        <v>#REF!</v>
      </c>
      <c r="CY54" t="e">
        <f>AND(#REF!,"AAAAAFz+uGY=")</f>
        <v>#REF!</v>
      </c>
      <c r="CZ54" t="e">
        <f>AND(#REF!,"AAAAAFz+uGc=")</f>
        <v>#REF!</v>
      </c>
      <c r="DA54" t="e">
        <f>AND(#REF!,"AAAAAFz+uGg=")</f>
        <v>#REF!</v>
      </c>
      <c r="DB54" t="e">
        <f>AND(#REF!,"AAAAAFz+uGk=")</f>
        <v>#REF!</v>
      </c>
      <c r="DC54" t="e">
        <f>AND(#REF!,"AAAAAFz+uGo=")</f>
        <v>#REF!</v>
      </c>
      <c r="DD54" t="e">
        <f>AND(#REF!,"AAAAAFz+uGs=")</f>
        <v>#REF!</v>
      </c>
      <c r="DE54" t="e">
        <f>AND(#REF!,"AAAAAFz+uGw=")</f>
        <v>#REF!</v>
      </c>
      <c r="DF54" t="e">
        <f>AND(#REF!,"AAAAAFz+uG0=")</f>
        <v>#REF!</v>
      </c>
      <c r="DG54" t="e">
        <f>AND(#REF!,"AAAAAFz+uG4=")</f>
        <v>#REF!</v>
      </c>
      <c r="DH54" t="e">
        <f>AND(#REF!,"AAAAAFz+uG8=")</f>
        <v>#REF!</v>
      </c>
      <c r="DI54" t="e">
        <f>AND(#REF!,"AAAAAFz+uHA=")</f>
        <v>#REF!</v>
      </c>
      <c r="DJ54" t="e">
        <f>AND(#REF!,"AAAAAFz+uHE=")</f>
        <v>#REF!</v>
      </c>
      <c r="DK54" t="e">
        <f>AND(#REF!,"AAAAAFz+uHI=")</f>
        <v>#REF!</v>
      </c>
      <c r="DL54" t="e">
        <f>AND(#REF!,"AAAAAFz+uHM=")</f>
        <v>#REF!</v>
      </c>
      <c r="DM54" t="e">
        <f>AND(#REF!,"AAAAAFz+uHQ=")</f>
        <v>#REF!</v>
      </c>
      <c r="DN54" t="e">
        <f>AND(#REF!,"AAAAAFz+uHU=")</f>
        <v>#REF!</v>
      </c>
      <c r="DO54" t="e">
        <f>IF(#REF!,"AAAAAFz+uHY=",0)</f>
        <v>#REF!</v>
      </c>
      <c r="DP54" t="e">
        <f>AND(#REF!,"AAAAAFz+uHc=")</f>
        <v>#REF!</v>
      </c>
      <c r="DQ54" t="e">
        <f>AND(#REF!,"AAAAAFz+uHg=")</f>
        <v>#REF!</v>
      </c>
      <c r="DR54" t="e">
        <f>AND(#REF!,"AAAAAFz+uHk=")</f>
        <v>#REF!</v>
      </c>
      <c r="DS54" t="e">
        <f>AND(#REF!,"AAAAAFz+uHo=")</f>
        <v>#REF!</v>
      </c>
      <c r="DT54" t="e">
        <f>AND(#REF!,"AAAAAFz+uHs=")</f>
        <v>#REF!</v>
      </c>
      <c r="DU54" t="e">
        <f>AND(#REF!,"AAAAAFz+uHw=")</f>
        <v>#REF!</v>
      </c>
      <c r="DV54" t="e">
        <f>AND(#REF!,"AAAAAFz+uH0=")</f>
        <v>#REF!</v>
      </c>
      <c r="DW54" t="e">
        <f>AND(#REF!,"AAAAAFz+uH4=")</f>
        <v>#REF!</v>
      </c>
      <c r="DX54" t="e">
        <f>AND(#REF!,"AAAAAFz+uH8=")</f>
        <v>#REF!</v>
      </c>
      <c r="DY54" t="e">
        <f>AND(#REF!,"AAAAAFz+uIA=")</f>
        <v>#REF!</v>
      </c>
      <c r="DZ54" t="e">
        <f>AND(#REF!,"AAAAAFz+uIE=")</f>
        <v>#REF!</v>
      </c>
      <c r="EA54" t="e">
        <f>AND(#REF!,"AAAAAFz+uII=")</f>
        <v>#REF!</v>
      </c>
      <c r="EB54" t="e">
        <f>AND(#REF!,"AAAAAFz+uIM=")</f>
        <v>#REF!</v>
      </c>
      <c r="EC54" t="e">
        <f>AND(#REF!,"AAAAAFz+uIQ=")</f>
        <v>#REF!</v>
      </c>
      <c r="ED54" t="e">
        <f>AND(#REF!,"AAAAAFz+uIU=")</f>
        <v>#REF!</v>
      </c>
      <c r="EE54" t="e">
        <f>AND(#REF!,"AAAAAFz+uIY=")</f>
        <v>#REF!</v>
      </c>
      <c r="EF54" t="e">
        <f>AND(#REF!,"AAAAAFz+uIc=")</f>
        <v>#REF!</v>
      </c>
      <c r="EG54" t="e">
        <f>AND(#REF!,"AAAAAFz+uIg=")</f>
        <v>#REF!</v>
      </c>
      <c r="EH54" t="e">
        <f>AND(#REF!,"AAAAAFz+uIk=")</f>
        <v>#REF!</v>
      </c>
      <c r="EI54" t="e">
        <f>AND(#REF!,"AAAAAFz+uIo=")</f>
        <v>#REF!</v>
      </c>
      <c r="EJ54" t="e">
        <f>AND(#REF!,"AAAAAFz+uIs=")</f>
        <v>#REF!</v>
      </c>
      <c r="EK54" t="e">
        <f>AND(#REF!,"AAAAAFz+uIw=")</f>
        <v>#REF!</v>
      </c>
      <c r="EL54" t="e">
        <f>AND(#REF!,"AAAAAFz+uI0=")</f>
        <v>#REF!</v>
      </c>
      <c r="EM54" t="e">
        <f>AND(#REF!,"AAAAAFz+uI4=")</f>
        <v>#REF!</v>
      </c>
      <c r="EN54" t="e">
        <f>AND(#REF!,"AAAAAFz+uI8=")</f>
        <v>#REF!</v>
      </c>
      <c r="EO54" t="e">
        <f>AND(#REF!,"AAAAAFz+uJA=")</f>
        <v>#REF!</v>
      </c>
      <c r="EP54" t="e">
        <f>AND(#REF!,"AAAAAFz+uJE=")</f>
        <v>#REF!</v>
      </c>
      <c r="EQ54" t="e">
        <f>AND(#REF!,"AAAAAFz+uJI=")</f>
        <v>#REF!</v>
      </c>
      <c r="ER54" t="e">
        <f>AND(#REF!,"AAAAAFz+uJM=")</f>
        <v>#REF!</v>
      </c>
      <c r="ES54" t="e">
        <f>AND(#REF!,"AAAAAFz+uJQ=")</f>
        <v>#REF!</v>
      </c>
      <c r="ET54" t="e">
        <f>AND(#REF!,"AAAAAFz+uJU=")</f>
        <v>#REF!</v>
      </c>
      <c r="EU54" t="e">
        <f>AND(#REF!,"AAAAAFz+uJY=")</f>
        <v>#REF!</v>
      </c>
      <c r="EV54" t="e">
        <f>AND(#REF!,"AAAAAFz+uJc=")</f>
        <v>#REF!</v>
      </c>
      <c r="EW54" t="e">
        <f>AND(#REF!,"AAAAAFz+uJg=")</f>
        <v>#REF!</v>
      </c>
      <c r="EX54" t="e">
        <f>AND(#REF!,"AAAAAFz+uJk=")</f>
        <v>#REF!</v>
      </c>
      <c r="EY54" t="e">
        <f>AND(#REF!,"AAAAAFz+uJo=")</f>
        <v>#REF!</v>
      </c>
      <c r="EZ54" t="e">
        <f>AND(#REF!,"AAAAAFz+uJs=")</f>
        <v>#REF!</v>
      </c>
      <c r="FA54" t="e">
        <f>AND(#REF!,"AAAAAFz+uJw=")</f>
        <v>#REF!</v>
      </c>
      <c r="FB54" t="e">
        <f>AND(#REF!,"AAAAAFz+uJ0=")</f>
        <v>#REF!</v>
      </c>
      <c r="FC54" t="e">
        <f>AND(#REF!,"AAAAAFz+uJ4=")</f>
        <v>#REF!</v>
      </c>
      <c r="FD54" t="e">
        <f>AND(#REF!,"AAAAAFz+uJ8=")</f>
        <v>#REF!</v>
      </c>
      <c r="FE54" t="e">
        <f>AND(#REF!,"AAAAAFz+uKA=")</f>
        <v>#REF!</v>
      </c>
      <c r="FF54" t="e">
        <f>AND(#REF!,"AAAAAFz+uKE=")</f>
        <v>#REF!</v>
      </c>
      <c r="FG54" t="e">
        <f>AND(#REF!,"AAAAAFz+uKI=")</f>
        <v>#REF!</v>
      </c>
      <c r="FH54" t="e">
        <f>AND(#REF!,"AAAAAFz+uKM=")</f>
        <v>#REF!</v>
      </c>
      <c r="FI54" t="e">
        <f>AND(#REF!,"AAAAAFz+uKQ=")</f>
        <v>#REF!</v>
      </c>
      <c r="FJ54" t="e">
        <f>AND(#REF!,"AAAAAFz+uKU=")</f>
        <v>#REF!</v>
      </c>
      <c r="FK54" t="e">
        <f>AND(#REF!,"AAAAAFz+uKY=")</f>
        <v>#REF!</v>
      </c>
      <c r="FL54" t="e">
        <f>AND(#REF!,"AAAAAFz+uKc=")</f>
        <v>#REF!</v>
      </c>
      <c r="FM54" t="e">
        <f>AND(#REF!,"AAAAAFz+uKg=")</f>
        <v>#REF!</v>
      </c>
      <c r="FN54" t="e">
        <f>AND(#REF!,"AAAAAFz+uKk=")</f>
        <v>#REF!</v>
      </c>
      <c r="FO54" t="e">
        <f>AND(#REF!,"AAAAAFz+uKo=")</f>
        <v>#REF!</v>
      </c>
      <c r="FP54" t="e">
        <f>AND(#REF!,"AAAAAFz+uKs=")</f>
        <v>#REF!</v>
      </c>
      <c r="FQ54" t="e">
        <f>AND(#REF!,"AAAAAFz+uKw=")</f>
        <v>#REF!</v>
      </c>
      <c r="FR54" t="e">
        <f>AND(#REF!,"AAAAAFz+uK0=")</f>
        <v>#REF!</v>
      </c>
      <c r="FS54" t="e">
        <f>AND(#REF!,"AAAAAFz+uK4=")</f>
        <v>#REF!</v>
      </c>
      <c r="FT54" t="e">
        <f>AND(#REF!,"AAAAAFz+uK8=")</f>
        <v>#REF!</v>
      </c>
      <c r="FU54" t="e">
        <f>AND(#REF!,"AAAAAFz+uLA=")</f>
        <v>#REF!</v>
      </c>
      <c r="FV54" t="e">
        <f>AND(#REF!,"AAAAAFz+uLE=")</f>
        <v>#REF!</v>
      </c>
      <c r="FW54" t="e">
        <f>AND(#REF!,"AAAAAFz+uLI=")</f>
        <v>#REF!</v>
      </c>
      <c r="FX54" t="e">
        <f>AND(#REF!,"AAAAAFz+uLM=")</f>
        <v>#REF!</v>
      </c>
      <c r="FY54" t="e">
        <f>AND(#REF!,"AAAAAFz+uLQ=")</f>
        <v>#REF!</v>
      </c>
      <c r="FZ54" t="e">
        <f>AND(#REF!,"AAAAAFz+uLU=")</f>
        <v>#REF!</v>
      </c>
      <c r="GA54" t="e">
        <f>AND(#REF!,"AAAAAFz+uLY=")</f>
        <v>#REF!</v>
      </c>
      <c r="GB54" t="e">
        <f>AND(#REF!,"AAAAAFz+uLc=")</f>
        <v>#REF!</v>
      </c>
      <c r="GC54" t="e">
        <f>AND(#REF!,"AAAAAFz+uLg=")</f>
        <v>#REF!</v>
      </c>
      <c r="GD54" t="e">
        <f>AND(#REF!,"AAAAAFz+uLk=")</f>
        <v>#REF!</v>
      </c>
      <c r="GE54" t="e">
        <f>AND(#REF!,"AAAAAFz+uLo=")</f>
        <v>#REF!</v>
      </c>
      <c r="GF54" t="e">
        <f>AND(#REF!,"AAAAAFz+uLs=")</f>
        <v>#REF!</v>
      </c>
      <c r="GG54" t="e">
        <f>AND(#REF!,"AAAAAFz+uLw=")</f>
        <v>#REF!</v>
      </c>
      <c r="GH54" t="e">
        <f>AND(#REF!,"AAAAAFz+uL0=")</f>
        <v>#REF!</v>
      </c>
      <c r="GI54" t="e">
        <f>AND(#REF!,"AAAAAFz+uL4=")</f>
        <v>#REF!</v>
      </c>
      <c r="GJ54" t="e">
        <f>AND(#REF!,"AAAAAFz+uL8=")</f>
        <v>#REF!</v>
      </c>
      <c r="GK54" t="e">
        <f>AND(#REF!,"AAAAAFz+uMA=")</f>
        <v>#REF!</v>
      </c>
      <c r="GL54" t="e">
        <f>AND(#REF!,"AAAAAFz+uME=")</f>
        <v>#REF!</v>
      </c>
      <c r="GM54" t="e">
        <f>AND(#REF!,"AAAAAFz+uMI=")</f>
        <v>#REF!</v>
      </c>
      <c r="GN54" t="e">
        <f>AND(#REF!,"AAAAAFz+uMM=")</f>
        <v>#REF!</v>
      </c>
      <c r="GO54" t="e">
        <f>AND(#REF!,"AAAAAFz+uMQ=")</f>
        <v>#REF!</v>
      </c>
      <c r="GP54" t="e">
        <f>AND(#REF!,"AAAAAFz+uMU=")</f>
        <v>#REF!</v>
      </c>
      <c r="GQ54" t="e">
        <f>AND(#REF!,"AAAAAFz+uMY=")</f>
        <v>#REF!</v>
      </c>
      <c r="GR54" t="e">
        <f>AND(#REF!,"AAAAAFz+uMc=")</f>
        <v>#REF!</v>
      </c>
      <c r="GS54" t="e">
        <f>AND(#REF!,"AAAAAFz+uMg=")</f>
        <v>#REF!</v>
      </c>
      <c r="GT54" t="e">
        <f>AND(#REF!,"AAAAAFz+uMk=")</f>
        <v>#REF!</v>
      </c>
      <c r="GU54" t="e">
        <f>AND(#REF!,"AAAAAFz+uMo=")</f>
        <v>#REF!</v>
      </c>
      <c r="GV54" t="e">
        <f>AND(#REF!,"AAAAAFz+uMs=")</f>
        <v>#REF!</v>
      </c>
      <c r="GW54" t="e">
        <f>AND(#REF!,"AAAAAFz+uMw=")</f>
        <v>#REF!</v>
      </c>
      <c r="GX54" t="e">
        <f>AND(#REF!,"AAAAAFz+uM0=")</f>
        <v>#REF!</v>
      </c>
      <c r="GY54" t="e">
        <f>AND(#REF!,"AAAAAFz+uM4=")</f>
        <v>#REF!</v>
      </c>
      <c r="GZ54" t="e">
        <f>AND(#REF!,"AAAAAFz+uM8=")</f>
        <v>#REF!</v>
      </c>
      <c r="HA54" t="e">
        <f>AND(#REF!,"AAAAAFz+uNA=")</f>
        <v>#REF!</v>
      </c>
      <c r="HB54" t="e">
        <f>AND(#REF!,"AAAAAFz+uNE=")</f>
        <v>#REF!</v>
      </c>
      <c r="HC54" t="e">
        <f>AND(#REF!,"AAAAAFz+uNI=")</f>
        <v>#REF!</v>
      </c>
      <c r="HD54" t="e">
        <f>AND(#REF!,"AAAAAFz+uNM=")</f>
        <v>#REF!</v>
      </c>
      <c r="HE54" t="e">
        <f>AND(#REF!,"AAAAAFz+uNQ=")</f>
        <v>#REF!</v>
      </c>
      <c r="HF54" t="e">
        <f>AND(#REF!,"AAAAAFz+uNU=")</f>
        <v>#REF!</v>
      </c>
      <c r="HG54" t="e">
        <f>AND(#REF!,"AAAAAFz+uNY=")</f>
        <v>#REF!</v>
      </c>
      <c r="HH54" t="e">
        <f>AND(#REF!,"AAAAAFz+uNc=")</f>
        <v>#REF!</v>
      </c>
      <c r="HI54" t="e">
        <f>AND(#REF!,"AAAAAFz+uNg=")</f>
        <v>#REF!</v>
      </c>
      <c r="HJ54" t="e">
        <f>AND(#REF!,"AAAAAFz+uNk=")</f>
        <v>#REF!</v>
      </c>
      <c r="HK54" t="e">
        <f>AND(#REF!,"AAAAAFz+uNo=")</f>
        <v>#REF!</v>
      </c>
      <c r="HL54" t="e">
        <f>AND(#REF!,"AAAAAFz+uNs=")</f>
        <v>#REF!</v>
      </c>
      <c r="HM54" t="e">
        <f>AND(#REF!,"AAAAAFz+uNw=")</f>
        <v>#REF!</v>
      </c>
      <c r="HN54" t="e">
        <f>AND(#REF!,"AAAAAFz+uN0=")</f>
        <v>#REF!</v>
      </c>
      <c r="HO54" t="e">
        <f>AND(#REF!,"AAAAAFz+uN4=")</f>
        <v>#REF!</v>
      </c>
      <c r="HP54" t="e">
        <f>AND(#REF!,"AAAAAFz+uN8=")</f>
        <v>#REF!</v>
      </c>
      <c r="HQ54" t="e">
        <f>AND(#REF!,"AAAAAFz+uOA=")</f>
        <v>#REF!</v>
      </c>
      <c r="HR54" t="e">
        <f>AND(#REF!,"AAAAAFz+uOE=")</f>
        <v>#REF!</v>
      </c>
      <c r="HS54" t="e">
        <f>AND(#REF!,"AAAAAFz+uOI=")</f>
        <v>#REF!</v>
      </c>
      <c r="HT54" t="e">
        <f>AND(#REF!,"AAAAAFz+uOM=")</f>
        <v>#REF!</v>
      </c>
      <c r="HU54" t="e">
        <f>AND(#REF!,"AAAAAFz+uOQ=")</f>
        <v>#REF!</v>
      </c>
      <c r="HV54" t="e">
        <f>AND(#REF!,"AAAAAFz+uOU=")</f>
        <v>#REF!</v>
      </c>
      <c r="HW54" t="e">
        <f>AND(#REF!,"AAAAAFz+uOY=")</f>
        <v>#REF!</v>
      </c>
      <c r="HX54" t="e">
        <f>AND(#REF!,"AAAAAFz+uOc=")</f>
        <v>#REF!</v>
      </c>
      <c r="HY54" t="e">
        <f>AND(#REF!,"AAAAAFz+uOg=")</f>
        <v>#REF!</v>
      </c>
      <c r="HZ54" t="e">
        <f>AND(#REF!,"AAAAAFz+uOk=")</f>
        <v>#REF!</v>
      </c>
      <c r="IA54" t="e">
        <f>AND(#REF!,"AAAAAFz+uOo=")</f>
        <v>#REF!</v>
      </c>
      <c r="IB54" t="e">
        <f>AND(#REF!,"AAAAAFz+uOs=")</f>
        <v>#REF!</v>
      </c>
      <c r="IC54" t="e">
        <f>AND(#REF!,"AAAAAFz+uOw=")</f>
        <v>#REF!</v>
      </c>
      <c r="ID54" t="e">
        <f>AND(#REF!,"AAAAAFz+uO0=")</f>
        <v>#REF!</v>
      </c>
      <c r="IE54" t="e">
        <f>AND(#REF!,"AAAAAFz+uO4=")</f>
        <v>#REF!</v>
      </c>
      <c r="IF54" t="e">
        <f>IF(#REF!,"AAAAAFz+uO8=",0)</f>
        <v>#REF!</v>
      </c>
      <c r="IG54" t="e">
        <f>AND(#REF!,"AAAAAFz+uPA=")</f>
        <v>#REF!</v>
      </c>
      <c r="IH54" t="e">
        <f>AND(#REF!,"AAAAAFz+uPE=")</f>
        <v>#REF!</v>
      </c>
      <c r="II54" t="e">
        <f>AND(#REF!,"AAAAAFz+uPI=")</f>
        <v>#REF!</v>
      </c>
      <c r="IJ54" t="e">
        <f>AND(#REF!,"AAAAAFz+uPM=")</f>
        <v>#REF!</v>
      </c>
      <c r="IK54" t="e">
        <f>AND(#REF!,"AAAAAFz+uPQ=")</f>
        <v>#REF!</v>
      </c>
      <c r="IL54" t="e">
        <f>AND(#REF!,"AAAAAFz+uPU=")</f>
        <v>#REF!</v>
      </c>
      <c r="IM54" t="e">
        <f>AND(#REF!,"AAAAAFz+uPY=")</f>
        <v>#REF!</v>
      </c>
      <c r="IN54" t="e">
        <f>AND(#REF!,"AAAAAFz+uPc=")</f>
        <v>#REF!</v>
      </c>
      <c r="IO54" t="e">
        <f>AND(#REF!,"AAAAAFz+uPg=")</f>
        <v>#REF!</v>
      </c>
      <c r="IP54" t="e">
        <f>AND(#REF!,"AAAAAFz+uPk=")</f>
        <v>#REF!</v>
      </c>
      <c r="IQ54" t="e">
        <f>AND(#REF!,"AAAAAFz+uPo=")</f>
        <v>#REF!</v>
      </c>
      <c r="IR54" t="e">
        <f>AND(#REF!,"AAAAAFz+uPs=")</f>
        <v>#REF!</v>
      </c>
      <c r="IS54" t="e">
        <f>AND(#REF!,"AAAAAFz+uPw=")</f>
        <v>#REF!</v>
      </c>
      <c r="IT54" t="e">
        <f>AND(#REF!,"AAAAAFz+uP0=")</f>
        <v>#REF!</v>
      </c>
      <c r="IU54" t="e">
        <f>AND(#REF!,"AAAAAFz+uP4=")</f>
        <v>#REF!</v>
      </c>
      <c r="IV54" t="e">
        <f>AND(#REF!,"AAAAAFz+uP8=")</f>
        <v>#REF!</v>
      </c>
    </row>
    <row r="55" spans="1:256">
      <c r="A55" t="e">
        <f>AND(#REF!,"AAAAACTeiwA=")</f>
        <v>#REF!</v>
      </c>
      <c r="B55" t="e">
        <f>AND(#REF!,"AAAAACTeiwE=")</f>
        <v>#REF!</v>
      </c>
      <c r="C55" t="e">
        <f>AND(#REF!,"AAAAACTeiwI=")</f>
        <v>#REF!</v>
      </c>
      <c r="D55" t="e">
        <f>AND(#REF!,"AAAAACTeiwM=")</f>
        <v>#REF!</v>
      </c>
      <c r="E55" t="e">
        <f>AND(#REF!,"AAAAACTeiwQ=")</f>
        <v>#REF!</v>
      </c>
      <c r="F55" t="e">
        <f>AND(#REF!,"AAAAACTeiwU=")</f>
        <v>#REF!</v>
      </c>
      <c r="G55" t="e">
        <f>AND(#REF!,"AAAAACTeiwY=")</f>
        <v>#REF!</v>
      </c>
      <c r="H55" t="e">
        <f>AND(#REF!,"AAAAACTeiwc=")</f>
        <v>#REF!</v>
      </c>
      <c r="I55" t="e">
        <f>AND(#REF!,"AAAAACTeiwg=")</f>
        <v>#REF!</v>
      </c>
      <c r="J55" t="e">
        <f>AND(#REF!,"AAAAACTeiwk=")</f>
        <v>#REF!</v>
      </c>
      <c r="K55" t="e">
        <f>AND(#REF!,"AAAAACTeiwo=")</f>
        <v>#REF!</v>
      </c>
      <c r="L55" t="e">
        <f>AND(#REF!,"AAAAACTeiws=")</f>
        <v>#REF!</v>
      </c>
      <c r="M55" t="e">
        <f>AND(#REF!,"AAAAACTeiww=")</f>
        <v>#REF!</v>
      </c>
      <c r="N55" t="e">
        <f>AND(#REF!,"AAAAACTeiw0=")</f>
        <v>#REF!</v>
      </c>
      <c r="O55" t="e">
        <f>AND(#REF!,"AAAAACTeiw4=")</f>
        <v>#REF!</v>
      </c>
      <c r="P55" t="e">
        <f>AND(#REF!,"AAAAACTeiw8=")</f>
        <v>#REF!</v>
      </c>
      <c r="Q55" t="e">
        <f>AND(#REF!,"AAAAACTeixA=")</f>
        <v>#REF!</v>
      </c>
      <c r="R55" t="e">
        <f>AND(#REF!,"AAAAACTeixE=")</f>
        <v>#REF!</v>
      </c>
      <c r="S55" t="e">
        <f>AND(#REF!,"AAAAACTeixI=")</f>
        <v>#REF!</v>
      </c>
      <c r="T55" t="e">
        <f>AND(#REF!,"AAAAACTeixM=")</f>
        <v>#REF!</v>
      </c>
      <c r="U55" t="e">
        <f>AND(#REF!,"AAAAACTeixQ=")</f>
        <v>#REF!</v>
      </c>
      <c r="V55" t="e">
        <f>AND(#REF!,"AAAAACTeixU=")</f>
        <v>#REF!</v>
      </c>
      <c r="W55" t="e">
        <f>AND(#REF!,"AAAAACTeixY=")</f>
        <v>#REF!</v>
      </c>
      <c r="X55" t="e">
        <f>AND(#REF!,"AAAAACTeixc=")</f>
        <v>#REF!</v>
      </c>
      <c r="Y55" t="e">
        <f>AND(#REF!,"AAAAACTeixg=")</f>
        <v>#REF!</v>
      </c>
      <c r="Z55" t="e">
        <f>AND(#REF!,"AAAAACTeixk=")</f>
        <v>#REF!</v>
      </c>
      <c r="AA55" t="e">
        <f>AND(#REF!,"AAAAACTeixo=")</f>
        <v>#REF!</v>
      </c>
      <c r="AB55" t="e">
        <f>AND(#REF!,"AAAAACTeixs=")</f>
        <v>#REF!</v>
      </c>
      <c r="AC55" t="e">
        <f>AND(#REF!,"AAAAACTeixw=")</f>
        <v>#REF!</v>
      </c>
      <c r="AD55" t="e">
        <f>AND(#REF!,"AAAAACTeix0=")</f>
        <v>#REF!</v>
      </c>
      <c r="AE55" t="e">
        <f>AND(#REF!,"AAAAACTeix4=")</f>
        <v>#REF!</v>
      </c>
      <c r="AF55" t="e">
        <f>AND(#REF!,"AAAAACTeix8=")</f>
        <v>#REF!</v>
      </c>
      <c r="AG55" t="e">
        <f>AND(#REF!,"AAAAACTeiyA=")</f>
        <v>#REF!</v>
      </c>
      <c r="AH55" t="e">
        <f>AND(#REF!,"AAAAACTeiyE=")</f>
        <v>#REF!</v>
      </c>
      <c r="AI55" t="e">
        <f>AND(#REF!,"AAAAACTeiyI=")</f>
        <v>#REF!</v>
      </c>
      <c r="AJ55" t="e">
        <f>AND(#REF!,"AAAAACTeiyM=")</f>
        <v>#REF!</v>
      </c>
      <c r="AK55" t="e">
        <f>AND(#REF!,"AAAAACTeiyQ=")</f>
        <v>#REF!</v>
      </c>
      <c r="AL55" t="e">
        <f>AND(#REF!,"AAAAACTeiyU=")</f>
        <v>#REF!</v>
      </c>
      <c r="AM55" t="e">
        <f>AND(#REF!,"AAAAACTeiyY=")</f>
        <v>#REF!</v>
      </c>
      <c r="AN55" t="e">
        <f>AND(#REF!,"AAAAACTeiyc=")</f>
        <v>#REF!</v>
      </c>
      <c r="AO55" t="e">
        <f>AND(#REF!,"AAAAACTeiyg=")</f>
        <v>#REF!</v>
      </c>
      <c r="AP55" t="e">
        <f>AND(#REF!,"AAAAACTeiyk=")</f>
        <v>#REF!</v>
      </c>
      <c r="AQ55" t="e">
        <f>AND(#REF!,"AAAAACTeiyo=")</f>
        <v>#REF!</v>
      </c>
      <c r="AR55" t="e">
        <f>AND(#REF!,"AAAAACTeiys=")</f>
        <v>#REF!</v>
      </c>
      <c r="AS55" t="e">
        <f>AND(#REF!,"AAAAACTeiyw=")</f>
        <v>#REF!</v>
      </c>
      <c r="AT55" t="e">
        <f>AND(#REF!,"AAAAACTeiy0=")</f>
        <v>#REF!</v>
      </c>
      <c r="AU55" t="e">
        <f>AND(#REF!,"AAAAACTeiy4=")</f>
        <v>#REF!</v>
      </c>
      <c r="AV55" t="e">
        <f>AND(#REF!,"AAAAACTeiy8=")</f>
        <v>#REF!</v>
      </c>
      <c r="AW55" t="e">
        <f>AND(#REF!,"AAAAACTeizA=")</f>
        <v>#REF!</v>
      </c>
      <c r="AX55" t="e">
        <f>AND(#REF!,"AAAAACTeizE=")</f>
        <v>#REF!</v>
      </c>
      <c r="AY55" t="e">
        <f>AND(#REF!,"AAAAACTeizI=")</f>
        <v>#REF!</v>
      </c>
      <c r="AZ55" t="e">
        <f>AND(#REF!,"AAAAACTeizM=")</f>
        <v>#REF!</v>
      </c>
      <c r="BA55" t="e">
        <f>AND(#REF!,"AAAAACTeizQ=")</f>
        <v>#REF!</v>
      </c>
      <c r="BB55" t="e">
        <f>AND(#REF!,"AAAAACTeizU=")</f>
        <v>#REF!</v>
      </c>
      <c r="BC55" t="e">
        <f>AND(#REF!,"AAAAACTeizY=")</f>
        <v>#REF!</v>
      </c>
      <c r="BD55" t="e">
        <f>AND(#REF!,"AAAAACTeizc=")</f>
        <v>#REF!</v>
      </c>
      <c r="BE55" t="e">
        <f>AND(#REF!,"AAAAACTeizg=")</f>
        <v>#REF!</v>
      </c>
      <c r="BF55" t="e">
        <f>AND(#REF!,"AAAAACTeizk=")</f>
        <v>#REF!</v>
      </c>
      <c r="BG55" t="e">
        <f>AND(#REF!,"AAAAACTeizo=")</f>
        <v>#REF!</v>
      </c>
      <c r="BH55" t="e">
        <f>AND(#REF!,"AAAAACTeizs=")</f>
        <v>#REF!</v>
      </c>
      <c r="BI55" t="e">
        <f>AND(#REF!,"AAAAACTeizw=")</f>
        <v>#REF!</v>
      </c>
      <c r="BJ55" t="e">
        <f>AND(#REF!,"AAAAACTeiz0=")</f>
        <v>#REF!</v>
      </c>
      <c r="BK55" t="e">
        <f>AND(#REF!,"AAAAACTeiz4=")</f>
        <v>#REF!</v>
      </c>
      <c r="BL55" t="e">
        <f>AND(#REF!,"AAAAACTeiz8=")</f>
        <v>#REF!</v>
      </c>
      <c r="BM55" t="e">
        <f>AND(#REF!,"AAAAACTei0A=")</f>
        <v>#REF!</v>
      </c>
      <c r="BN55" t="e">
        <f>AND(#REF!,"AAAAACTei0E=")</f>
        <v>#REF!</v>
      </c>
      <c r="BO55" t="e">
        <f>AND(#REF!,"AAAAACTei0I=")</f>
        <v>#REF!</v>
      </c>
      <c r="BP55" t="e">
        <f>AND(#REF!,"AAAAACTei0M=")</f>
        <v>#REF!</v>
      </c>
      <c r="BQ55" t="e">
        <f>AND(#REF!,"AAAAACTei0Q=")</f>
        <v>#REF!</v>
      </c>
      <c r="BR55" t="e">
        <f>AND(#REF!,"AAAAACTei0U=")</f>
        <v>#REF!</v>
      </c>
      <c r="BS55" t="e">
        <f>AND(#REF!,"AAAAACTei0Y=")</f>
        <v>#REF!</v>
      </c>
      <c r="BT55" t="e">
        <f>AND(#REF!,"AAAAACTei0c=")</f>
        <v>#REF!</v>
      </c>
      <c r="BU55" t="e">
        <f>AND(#REF!,"AAAAACTei0g=")</f>
        <v>#REF!</v>
      </c>
      <c r="BV55" t="e">
        <f>AND(#REF!,"AAAAACTei0k=")</f>
        <v>#REF!</v>
      </c>
      <c r="BW55" t="e">
        <f>AND(#REF!,"AAAAACTei0o=")</f>
        <v>#REF!</v>
      </c>
      <c r="BX55" t="e">
        <f>AND(#REF!,"AAAAACTei0s=")</f>
        <v>#REF!</v>
      </c>
      <c r="BY55" t="e">
        <f>AND(#REF!,"AAAAACTei0w=")</f>
        <v>#REF!</v>
      </c>
      <c r="BZ55" t="e">
        <f>AND(#REF!,"AAAAACTei00=")</f>
        <v>#REF!</v>
      </c>
      <c r="CA55" t="e">
        <f>AND(#REF!,"AAAAACTei04=")</f>
        <v>#REF!</v>
      </c>
      <c r="CB55" t="e">
        <f>AND(#REF!,"AAAAACTei08=")</f>
        <v>#REF!</v>
      </c>
      <c r="CC55" t="e">
        <f>AND(#REF!,"AAAAACTei1A=")</f>
        <v>#REF!</v>
      </c>
      <c r="CD55" t="e">
        <f>AND(#REF!,"AAAAACTei1E=")</f>
        <v>#REF!</v>
      </c>
      <c r="CE55" t="e">
        <f>AND(#REF!,"AAAAACTei1I=")</f>
        <v>#REF!</v>
      </c>
      <c r="CF55" t="e">
        <f>AND(#REF!,"AAAAACTei1M=")</f>
        <v>#REF!</v>
      </c>
      <c r="CG55" t="e">
        <f>AND(#REF!,"AAAAACTei1Q=")</f>
        <v>#REF!</v>
      </c>
      <c r="CH55" t="e">
        <f>AND(#REF!,"AAAAACTei1U=")</f>
        <v>#REF!</v>
      </c>
      <c r="CI55" t="e">
        <f>AND(#REF!,"AAAAACTei1Y=")</f>
        <v>#REF!</v>
      </c>
      <c r="CJ55" t="e">
        <f>AND(#REF!,"AAAAACTei1c=")</f>
        <v>#REF!</v>
      </c>
      <c r="CK55" t="e">
        <f>AND(#REF!,"AAAAACTei1g=")</f>
        <v>#REF!</v>
      </c>
      <c r="CL55" t="e">
        <f>AND(#REF!,"AAAAACTei1k=")</f>
        <v>#REF!</v>
      </c>
      <c r="CM55" t="e">
        <f>AND(#REF!,"AAAAACTei1o=")</f>
        <v>#REF!</v>
      </c>
      <c r="CN55" t="e">
        <f>AND(#REF!,"AAAAACTei1s=")</f>
        <v>#REF!</v>
      </c>
      <c r="CO55" t="e">
        <f>AND(#REF!,"AAAAACTei1w=")</f>
        <v>#REF!</v>
      </c>
      <c r="CP55" t="e">
        <f>AND(#REF!,"AAAAACTei10=")</f>
        <v>#REF!</v>
      </c>
      <c r="CQ55" t="e">
        <f>AND(#REF!,"AAAAACTei14=")</f>
        <v>#REF!</v>
      </c>
      <c r="CR55" t="e">
        <f>AND(#REF!,"AAAAACTei18=")</f>
        <v>#REF!</v>
      </c>
      <c r="CS55" t="e">
        <f>AND(#REF!,"AAAAACTei2A=")</f>
        <v>#REF!</v>
      </c>
      <c r="CT55" t="e">
        <f>AND(#REF!,"AAAAACTei2E=")</f>
        <v>#REF!</v>
      </c>
      <c r="CU55" t="e">
        <f>AND(#REF!,"AAAAACTei2I=")</f>
        <v>#REF!</v>
      </c>
      <c r="CV55" t="e">
        <f>AND(#REF!,"AAAAACTei2M=")</f>
        <v>#REF!</v>
      </c>
      <c r="CW55" t="e">
        <f>AND(#REF!,"AAAAACTei2Q=")</f>
        <v>#REF!</v>
      </c>
      <c r="CX55" t="e">
        <f>AND(#REF!,"AAAAACTei2U=")</f>
        <v>#REF!</v>
      </c>
      <c r="CY55" t="e">
        <f>AND(#REF!,"AAAAACTei2Y=")</f>
        <v>#REF!</v>
      </c>
      <c r="CZ55" t="e">
        <f>AND(#REF!,"AAAAACTei2c=")</f>
        <v>#REF!</v>
      </c>
      <c r="DA55" t="e">
        <f>IF(#REF!,"AAAAACTei2g=",0)</f>
        <v>#REF!</v>
      </c>
      <c r="DB55" t="e">
        <f>AND(#REF!,"AAAAACTei2k=")</f>
        <v>#REF!</v>
      </c>
      <c r="DC55" t="e">
        <f>AND(#REF!,"AAAAACTei2o=")</f>
        <v>#REF!</v>
      </c>
      <c r="DD55" t="e">
        <f>AND(#REF!,"AAAAACTei2s=")</f>
        <v>#REF!</v>
      </c>
      <c r="DE55" t="e">
        <f>AND(#REF!,"AAAAACTei2w=")</f>
        <v>#REF!</v>
      </c>
      <c r="DF55" t="e">
        <f>AND(#REF!,"AAAAACTei20=")</f>
        <v>#REF!</v>
      </c>
      <c r="DG55" t="e">
        <f>AND(#REF!,"AAAAACTei24=")</f>
        <v>#REF!</v>
      </c>
      <c r="DH55" t="e">
        <f>AND(#REF!,"AAAAACTei28=")</f>
        <v>#REF!</v>
      </c>
      <c r="DI55" t="e">
        <f>AND(#REF!,"AAAAACTei3A=")</f>
        <v>#REF!</v>
      </c>
      <c r="DJ55" t="e">
        <f>AND(#REF!,"AAAAACTei3E=")</f>
        <v>#REF!</v>
      </c>
      <c r="DK55" t="e">
        <f>AND(#REF!,"AAAAACTei3I=")</f>
        <v>#REF!</v>
      </c>
      <c r="DL55" t="e">
        <f>AND(#REF!,"AAAAACTei3M=")</f>
        <v>#REF!</v>
      </c>
      <c r="DM55" t="e">
        <f>AND(#REF!,"AAAAACTei3Q=")</f>
        <v>#REF!</v>
      </c>
      <c r="DN55" t="e">
        <f>AND(#REF!,"AAAAACTei3U=")</f>
        <v>#REF!</v>
      </c>
      <c r="DO55" t="e">
        <f>AND(#REF!,"AAAAACTei3Y=")</f>
        <v>#REF!</v>
      </c>
      <c r="DP55" t="e">
        <f>AND(#REF!,"AAAAACTei3c=")</f>
        <v>#REF!</v>
      </c>
      <c r="DQ55" t="e">
        <f>AND(#REF!,"AAAAACTei3g=")</f>
        <v>#REF!</v>
      </c>
      <c r="DR55" t="e">
        <f>AND(#REF!,"AAAAACTei3k=")</f>
        <v>#REF!</v>
      </c>
      <c r="DS55" t="e">
        <f>AND(#REF!,"AAAAACTei3o=")</f>
        <v>#REF!</v>
      </c>
      <c r="DT55" t="e">
        <f>AND(#REF!,"AAAAACTei3s=")</f>
        <v>#REF!</v>
      </c>
      <c r="DU55" t="e">
        <f>AND(#REF!,"AAAAACTei3w=")</f>
        <v>#REF!</v>
      </c>
      <c r="DV55" t="e">
        <f>AND(#REF!,"AAAAACTei30=")</f>
        <v>#REF!</v>
      </c>
      <c r="DW55" t="e">
        <f>AND(#REF!,"AAAAACTei34=")</f>
        <v>#REF!</v>
      </c>
      <c r="DX55" t="e">
        <f>AND(#REF!,"AAAAACTei38=")</f>
        <v>#REF!</v>
      </c>
      <c r="DY55" t="e">
        <f>AND(#REF!,"AAAAACTei4A=")</f>
        <v>#REF!</v>
      </c>
      <c r="DZ55" t="e">
        <f>AND(#REF!,"AAAAACTei4E=")</f>
        <v>#REF!</v>
      </c>
      <c r="EA55" t="e">
        <f>AND(#REF!,"AAAAACTei4I=")</f>
        <v>#REF!</v>
      </c>
      <c r="EB55" t="e">
        <f>AND(#REF!,"AAAAACTei4M=")</f>
        <v>#REF!</v>
      </c>
      <c r="EC55" t="e">
        <f>AND(#REF!,"AAAAACTei4Q=")</f>
        <v>#REF!</v>
      </c>
      <c r="ED55" t="e">
        <f>AND(#REF!,"AAAAACTei4U=")</f>
        <v>#REF!</v>
      </c>
      <c r="EE55" t="e">
        <f>AND(#REF!,"AAAAACTei4Y=")</f>
        <v>#REF!</v>
      </c>
      <c r="EF55" t="e">
        <f>AND(#REF!,"AAAAACTei4c=")</f>
        <v>#REF!</v>
      </c>
      <c r="EG55" t="e">
        <f>AND(#REF!,"AAAAACTei4g=")</f>
        <v>#REF!</v>
      </c>
      <c r="EH55" t="e">
        <f>AND(#REF!,"AAAAACTei4k=")</f>
        <v>#REF!</v>
      </c>
      <c r="EI55" t="e">
        <f>AND(#REF!,"AAAAACTei4o=")</f>
        <v>#REF!</v>
      </c>
      <c r="EJ55" t="e">
        <f>AND(#REF!,"AAAAACTei4s=")</f>
        <v>#REF!</v>
      </c>
      <c r="EK55" t="e">
        <f>AND(#REF!,"AAAAACTei4w=")</f>
        <v>#REF!</v>
      </c>
      <c r="EL55" t="e">
        <f>AND(#REF!,"AAAAACTei40=")</f>
        <v>#REF!</v>
      </c>
      <c r="EM55" t="e">
        <f>AND(#REF!,"AAAAACTei44=")</f>
        <v>#REF!</v>
      </c>
      <c r="EN55" t="e">
        <f>AND(#REF!,"AAAAACTei48=")</f>
        <v>#REF!</v>
      </c>
      <c r="EO55" t="e">
        <f>AND(#REF!,"AAAAACTei5A=")</f>
        <v>#REF!</v>
      </c>
      <c r="EP55" t="e">
        <f>AND(#REF!,"AAAAACTei5E=")</f>
        <v>#REF!</v>
      </c>
      <c r="EQ55" t="e">
        <f>AND(#REF!,"AAAAACTei5I=")</f>
        <v>#REF!</v>
      </c>
      <c r="ER55" t="e">
        <f>AND(#REF!,"AAAAACTei5M=")</f>
        <v>#REF!</v>
      </c>
      <c r="ES55" t="e">
        <f>AND(#REF!,"AAAAACTei5Q=")</f>
        <v>#REF!</v>
      </c>
      <c r="ET55" t="e">
        <f>AND(#REF!,"AAAAACTei5U=")</f>
        <v>#REF!</v>
      </c>
      <c r="EU55" t="e">
        <f>AND(#REF!,"AAAAACTei5Y=")</f>
        <v>#REF!</v>
      </c>
      <c r="EV55" t="e">
        <f>AND(#REF!,"AAAAACTei5c=")</f>
        <v>#REF!</v>
      </c>
      <c r="EW55" t="e">
        <f>AND(#REF!,"AAAAACTei5g=")</f>
        <v>#REF!</v>
      </c>
      <c r="EX55" t="e">
        <f>AND(#REF!,"AAAAACTei5k=")</f>
        <v>#REF!</v>
      </c>
      <c r="EY55" t="e">
        <f>AND(#REF!,"AAAAACTei5o=")</f>
        <v>#REF!</v>
      </c>
      <c r="EZ55" t="e">
        <f>AND(#REF!,"AAAAACTei5s=")</f>
        <v>#REF!</v>
      </c>
      <c r="FA55" t="e">
        <f>AND(#REF!,"AAAAACTei5w=")</f>
        <v>#REF!</v>
      </c>
      <c r="FB55" t="e">
        <f>AND(#REF!,"AAAAACTei50=")</f>
        <v>#REF!</v>
      </c>
      <c r="FC55" t="e">
        <f>AND(#REF!,"AAAAACTei54=")</f>
        <v>#REF!</v>
      </c>
      <c r="FD55" t="e">
        <f>AND(#REF!,"AAAAACTei58=")</f>
        <v>#REF!</v>
      </c>
      <c r="FE55" t="e">
        <f>AND(#REF!,"AAAAACTei6A=")</f>
        <v>#REF!</v>
      </c>
      <c r="FF55" t="e">
        <f>AND(#REF!,"AAAAACTei6E=")</f>
        <v>#REF!</v>
      </c>
      <c r="FG55" t="e">
        <f>AND(#REF!,"AAAAACTei6I=")</f>
        <v>#REF!</v>
      </c>
      <c r="FH55" t="e">
        <f>AND(#REF!,"AAAAACTei6M=")</f>
        <v>#REF!</v>
      </c>
      <c r="FI55" t="e">
        <f>AND(#REF!,"AAAAACTei6Q=")</f>
        <v>#REF!</v>
      </c>
      <c r="FJ55" t="e">
        <f>AND(#REF!,"AAAAACTei6U=")</f>
        <v>#REF!</v>
      </c>
      <c r="FK55" t="e">
        <f>AND(#REF!,"AAAAACTei6Y=")</f>
        <v>#REF!</v>
      </c>
      <c r="FL55" t="e">
        <f>AND(#REF!,"AAAAACTei6c=")</f>
        <v>#REF!</v>
      </c>
      <c r="FM55" t="e">
        <f>AND(#REF!,"AAAAACTei6g=")</f>
        <v>#REF!</v>
      </c>
      <c r="FN55" t="e">
        <f>AND(#REF!,"AAAAACTei6k=")</f>
        <v>#REF!</v>
      </c>
      <c r="FO55" t="e">
        <f>AND(#REF!,"AAAAACTei6o=")</f>
        <v>#REF!</v>
      </c>
      <c r="FP55" t="e">
        <f>AND(#REF!,"AAAAACTei6s=")</f>
        <v>#REF!</v>
      </c>
      <c r="FQ55" t="e">
        <f>AND(#REF!,"AAAAACTei6w=")</f>
        <v>#REF!</v>
      </c>
      <c r="FR55" t="e">
        <f>AND(#REF!,"AAAAACTei60=")</f>
        <v>#REF!</v>
      </c>
      <c r="FS55" t="e">
        <f>AND(#REF!,"AAAAACTei64=")</f>
        <v>#REF!</v>
      </c>
      <c r="FT55" t="e">
        <f>AND(#REF!,"AAAAACTei68=")</f>
        <v>#REF!</v>
      </c>
      <c r="FU55" t="e">
        <f>AND(#REF!,"AAAAACTei7A=")</f>
        <v>#REF!</v>
      </c>
      <c r="FV55" t="e">
        <f>AND(#REF!,"AAAAACTei7E=")</f>
        <v>#REF!</v>
      </c>
      <c r="FW55" t="e">
        <f>AND(#REF!,"AAAAACTei7I=")</f>
        <v>#REF!</v>
      </c>
      <c r="FX55" t="e">
        <f>AND(#REF!,"AAAAACTei7M=")</f>
        <v>#REF!</v>
      </c>
      <c r="FY55" t="e">
        <f>AND(#REF!,"AAAAACTei7Q=")</f>
        <v>#REF!</v>
      </c>
      <c r="FZ55" t="e">
        <f>AND(#REF!,"AAAAACTei7U=")</f>
        <v>#REF!</v>
      </c>
      <c r="GA55" t="e">
        <f>AND(#REF!,"AAAAACTei7Y=")</f>
        <v>#REF!</v>
      </c>
      <c r="GB55" t="e">
        <f>AND(#REF!,"AAAAACTei7c=")</f>
        <v>#REF!</v>
      </c>
      <c r="GC55" t="e">
        <f>AND(#REF!,"AAAAACTei7g=")</f>
        <v>#REF!</v>
      </c>
      <c r="GD55" t="e">
        <f>AND(#REF!,"AAAAACTei7k=")</f>
        <v>#REF!</v>
      </c>
      <c r="GE55" t="e">
        <f>AND(#REF!,"AAAAACTei7o=")</f>
        <v>#REF!</v>
      </c>
      <c r="GF55" t="e">
        <f>AND(#REF!,"AAAAACTei7s=")</f>
        <v>#REF!</v>
      </c>
      <c r="GG55" t="e">
        <f>AND(#REF!,"AAAAACTei7w=")</f>
        <v>#REF!</v>
      </c>
      <c r="GH55" t="e">
        <f>AND(#REF!,"AAAAACTei70=")</f>
        <v>#REF!</v>
      </c>
      <c r="GI55" t="e">
        <f>AND(#REF!,"AAAAACTei74=")</f>
        <v>#REF!</v>
      </c>
      <c r="GJ55" t="e">
        <f>AND(#REF!,"AAAAACTei78=")</f>
        <v>#REF!</v>
      </c>
      <c r="GK55" t="e">
        <f>AND(#REF!,"AAAAACTei8A=")</f>
        <v>#REF!</v>
      </c>
      <c r="GL55" t="e">
        <f>AND(#REF!,"AAAAACTei8E=")</f>
        <v>#REF!</v>
      </c>
      <c r="GM55" t="e">
        <f>AND(#REF!,"AAAAACTei8I=")</f>
        <v>#REF!</v>
      </c>
      <c r="GN55" t="e">
        <f>AND(#REF!,"AAAAACTei8M=")</f>
        <v>#REF!</v>
      </c>
      <c r="GO55" t="e">
        <f>AND(#REF!,"AAAAACTei8Q=")</f>
        <v>#REF!</v>
      </c>
      <c r="GP55" t="e">
        <f>AND(#REF!,"AAAAACTei8U=")</f>
        <v>#REF!</v>
      </c>
      <c r="GQ55" t="e">
        <f>AND(#REF!,"AAAAACTei8Y=")</f>
        <v>#REF!</v>
      </c>
      <c r="GR55" t="e">
        <f>AND(#REF!,"AAAAACTei8c=")</f>
        <v>#REF!</v>
      </c>
      <c r="GS55" t="e">
        <f>AND(#REF!,"AAAAACTei8g=")</f>
        <v>#REF!</v>
      </c>
      <c r="GT55" t="e">
        <f>AND(#REF!,"AAAAACTei8k=")</f>
        <v>#REF!</v>
      </c>
      <c r="GU55" t="e">
        <f>AND(#REF!,"AAAAACTei8o=")</f>
        <v>#REF!</v>
      </c>
      <c r="GV55" t="e">
        <f>AND(#REF!,"AAAAACTei8s=")</f>
        <v>#REF!</v>
      </c>
      <c r="GW55" t="e">
        <f>AND(#REF!,"AAAAACTei8w=")</f>
        <v>#REF!</v>
      </c>
      <c r="GX55" t="e">
        <f>AND(#REF!,"AAAAACTei80=")</f>
        <v>#REF!</v>
      </c>
      <c r="GY55" t="e">
        <f>AND(#REF!,"AAAAACTei84=")</f>
        <v>#REF!</v>
      </c>
      <c r="GZ55" t="e">
        <f>AND(#REF!,"AAAAACTei88=")</f>
        <v>#REF!</v>
      </c>
      <c r="HA55" t="e">
        <f>AND(#REF!,"AAAAACTei9A=")</f>
        <v>#REF!</v>
      </c>
      <c r="HB55" t="e">
        <f>AND(#REF!,"AAAAACTei9E=")</f>
        <v>#REF!</v>
      </c>
      <c r="HC55" t="e">
        <f>AND(#REF!,"AAAAACTei9I=")</f>
        <v>#REF!</v>
      </c>
      <c r="HD55" t="e">
        <f>AND(#REF!,"AAAAACTei9M=")</f>
        <v>#REF!</v>
      </c>
      <c r="HE55" t="e">
        <f>AND(#REF!,"AAAAACTei9Q=")</f>
        <v>#REF!</v>
      </c>
      <c r="HF55" t="e">
        <f>AND(#REF!,"AAAAACTei9U=")</f>
        <v>#REF!</v>
      </c>
      <c r="HG55" t="e">
        <f>AND(#REF!,"AAAAACTei9Y=")</f>
        <v>#REF!</v>
      </c>
      <c r="HH55" t="e">
        <f>AND(#REF!,"AAAAACTei9c=")</f>
        <v>#REF!</v>
      </c>
      <c r="HI55" t="e">
        <f>AND(#REF!,"AAAAACTei9g=")</f>
        <v>#REF!</v>
      </c>
      <c r="HJ55" t="e">
        <f>AND(#REF!,"AAAAACTei9k=")</f>
        <v>#REF!</v>
      </c>
      <c r="HK55" t="e">
        <f>AND(#REF!,"AAAAACTei9o=")</f>
        <v>#REF!</v>
      </c>
      <c r="HL55" t="e">
        <f>AND(#REF!,"AAAAACTei9s=")</f>
        <v>#REF!</v>
      </c>
      <c r="HM55" t="e">
        <f>AND(#REF!,"AAAAACTei9w=")</f>
        <v>#REF!</v>
      </c>
      <c r="HN55" t="e">
        <f>AND(#REF!,"AAAAACTei90=")</f>
        <v>#REF!</v>
      </c>
      <c r="HO55" t="e">
        <f>AND(#REF!,"AAAAACTei94=")</f>
        <v>#REF!</v>
      </c>
      <c r="HP55" t="e">
        <f>AND(#REF!,"AAAAACTei98=")</f>
        <v>#REF!</v>
      </c>
      <c r="HQ55" t="e">
        <f>AND(#REF!,"AAAAACTei+A=")</f>
        <v>#REF!</v>
      </c>
      <c r="HR55" t="e">
        <f>IF(#REF!,"AAAAACTei+E=",0)</f>
        <v>#REF!</v>
      </c>
      <c r="HS55" t="e">
        <f>AND(#REF!,"AAAAACTei+I=")</f>
        <v>#REF!</v>
      </c>
      <c r="HT55" t="e">
        <f>AND(#REF!,"AAAAACTei+M=")</f>
        <v>#REF!</v>
      </c>
      <c r="HU55" t="e">
        <f>AND(#REF!,"AAAAACTei+Q=")</f>
        <v>#REF!</v>
      </c>
      <c r="HV55" t="e">
        <f>AND(#REF!,"AAAAACTei+U=")</f>
        <v>#REF!</v>
      </c>
      <c r="HW55" t="e">
        <f>AND(#REF!,"AAAAACTei+Y=")</f>
        <v>#REF!</v>
      </c>
      <c r="HX55" t="e">
        <f>AND(#REF!,"AAAAACTei+c=")</f>
        <v>#REF!</v>
      </c>
      <c r="HY55" t="e">
        <f>AND(#REF!,"AAAAACTei+g=")</f>
        <v>#REF!</v>
      </c>
      <c r="HZ55" t="e">
        <f>AND(#REF!,"AAAAACTei+k=")</f>
        <v>#REF!</v>
      </c>
      <c r="IA55" t="e">
        <f>AND(#REF!,"AAAAACTei+o=")</f>
        <v>#REF!</v>
      </c>
      <c r="IB55" t="e">
        <f>AND(#REF!,"AAAAACTei+s=")</f>
        <v>#REF!</v>
      </c>
      <c r="IC55" t="e">
        <f>AND(#REF!,"AAAAACTei+w=")</f>
        <v>#REF!</v>
      </c>
      <c r="ID55" t="e">
        <f>AND(#REF!,"AAAAACTei+0=")</f>
        <v>#REF!</v>
      </c>
      <c r="IE55" t="e">
        <f>AND(#REF!,"AAAAACTei+4=")</f>
        <v>#REF!</v>
      </c>
      <c r="IF55" t="e">
        <f>AND(#REF!,"AAAAACTei+8=")</f>
        <v>#REF!</v>
      </c>
      <c r="IG55" t="e">
        <f>AND(#REF!,"AAAAACTei/A=")</f>
        <v>#REF!</v>
      </c>
      <c r="IH55" t="e">
        <f>AND(#REF!,"AAAAACTei/E=")</f>
        <v>#REF!</v>
      </c>
      <c r="II55" t="e">
        <f>AND(#REF!,"AAAAACTei/I=")</f>
        <v>#REF!</v>
      </c>
      <c r="IJ55" t="e">
        <f>AND(#REF!,"AAAAACTei/M=")</f>
        <v>#REF!</v>
      </c>
      <c r="IK55" t="e">
        <f>AND(#REF!,"AAAAACTei/Q=")</f>
        <v>#REF!</v>
      </c>
      <c r="IL55" t="e">
        <f>AND(#REF!,"AAAAACTei/U=")</f>
        <v>#REF!</v>
      </c>
      <c r="IM55" t="e">
        <f>AND(#REF!,"AAAAACTei/Y=")</f>
        <v>#REF!</v>
      </c>
      <c r="IN55" t="e">
        <f>AND(#REF!,"AAAAACTei/c=")</f>
        <v>#REF!</v>
      </c>
      <c r="IO55" t="e">
        <f>AND(#REF!,"AAAAACTei/g=")</f>
        <v>#REF!</v>
      </c>
      <c r="IP55" t="e">
        <f>AND(#REF!,"AAAAACTei/k=")</f>
        <v>#REF!</v>
      </c>
      <c r="IQ55" t="e">
        <f>AND(#REF!,"AAAAACTei/o=")</f>
        <v>#REF!</v>
      </c>
      <c r="IR55" t="e">
        <f>AND(#REF!,"AAAAACTei/s=")</f>
        <v>#REF!</v>
      </c>
      <c r="IS55" t="e">
        <f>AND(#REF!,"AAAAACTei/w=")</f>
        <v>#REF!</v>
      </c>
      <c r="IT55" t="e">
        <f>AND(#REF!,"AAAAACTei/0=")</f>
        <v>#REF!</v>
      </c>
      <c r="IU55" t="e">
        <f>AND(#REF!,"AAAAACTei/4=")</f>
        <v>#REF!</v>
      </c>
      <c r="IV55" t="e">
        <f>AND(#REF!,"AAAAACTei/8=")</f>
        <v>#REF!</v>
      </c>
    </row>
    <row r="56" spans="1:256">
      <c r="A56" t="e">
        <f>AND(#REF!,"AAAAAFZ5vwA=")</f>
        <v>#REF!</v>
      </c>
      <c r="B56" t="e">
        <f>AND(#REF!,"AAAAAFZ5vwE=")</f>
        <v>#REF!</v>
      </c>
      <c r="C56" t="e">
        <f>AND(#REF!,"AAAAAFZ5vwI=")</f>
        <v>#REF!</v>
      </c>
      <c r="D56" t="e">
        <f>AND(#REF!,"AAAAAFZ5vwM=")</f>
        <v>#REF!</v>
      </c>
      <c r="E56" t="e">
        <f>AND(#REF!,"AAAAAFZ5vwQ=")</f>
        <v>#REF!</v>
      </c>
      <c r="F56" t="e">
        <f>AND(#REF!,"AAAAAFZ5vwU=")</f>
        <v>#REF!</v>
      </c>
      <c r="G56" t="e">
        <f>AND(#REF!,"AAAAAFZ5vwY=")</f>
        <v>#REF!</v>
      </c>
      <c r="H56" t="e">
        <f>AND(#REF!,"AAAAAFZ5vwc=")</f>
        <v>#REF!</v>
      </c>
      <c r="I56" t="e">
        <f>AND(#REF!,"AAAAAFZ5vwg=")</f>
        <v>#REF!</v>
      </c>
      <c r="J56" t="e">
        <f>AND(#REF!,"AAAAAFZ5vwk=")</f>
        <v>#REF!</v>
      </c>
      <c r="K56" t="e">
        <f>AND(#REF!,"AAAAAFZ5vwo=")</f>
        <v>#REF!</v>
      </c>
      <c r="L56" t="e">
        <f>AND(#REF!,"AAAAAFZ5vws=")</f>
        <v>#REF!</v>
      </c>
      <c r="M56" t="e">
        <f>AND(#REF!,"AAAAAFZ5vww=")</f>
        <v>#REF!</v>
      </c>
      <c r="N56" t="e">
        <f>AND(#REF!,"AAAAAFZ5vw0=")</f>
        <v>#REF!</v>
      </c>
      <c r="O56" t="e">
        <f>AND(#REF!,"AAAAAFZ5vw4=")</f>
        <v>#REF!</v>
      </c>
      <c r="P56" t="e">
        <f>AND(#REF!,"AAAAAFZ5vw8=")</f>
        <v>#REF!</v>
      </c>
      <c r="Q56" t="e">
        <f>AND(#REF!,"AAAAAFZ5vxA=")</f>
        <v>#REF!</v>
      </c>
      <c r="R56" t="e">
        <f>AND(#REF!,"AAAAAFZ5vxE=")</f>
        <v>#REF!</v>
      </c>
      <c r="S56" t="e">
        <f>AND(#REF!,"AAAAAFZ5vxI=")</f>
        <v>#REF!</v>
      </c>
      <c r="T56" t="e">
        <f>AND(#REF!,"AAAAAFZ5vxM=")</f>
        <v>#REF!</v>
      </c>
      <c r="U56" t="e">
        <f>AND(#REF!,"AAAAAFZ5vxQ=")</f>
        <v>#REF!</v>
      </c>
      <c r="V56" t="e">
        <f>AND(#REF!,"AAAAAFZ5vxU=")</f>
        <v>#REF!</v>
      </c>
      <c r="W56" t="e">
        <f>AND(#REF!,"AAAAAFZ5vxY=")</f>
        <v>#REF!</v>
      </c>
      <c r="X56" t="e">
        <f>AND(#REF!,"AAAAAFZ5vxc=")</f>
        <v>#REF!</v>
      </c>
      <c r="Y56" t="e">
        <f>AND(#REF!,"AAAAAFZ5vxg=")</f>
        <v>#REF!</v>
      </c>
      <c r="Z56" t="e">
        <f>AND(#REF!,"AAAAAFZ5vxk=")</f>
        <v>#REF!</v>
      </c>
      <c r="AA56" t="e">
        <f>AND(#REF!,"AAAAAFZ5vxo=")</f>
        <v>#REF!</v>
      </c>
      <c r="AB56" t="e">
        <f>AND(#REF!,"AAAAAFZ5vxs=")</f>
        <v>#REF!</v>
      </c>
      <c r="AC56" t="e">
        <f>AND(#REF!,"AAAAAFZ5vxw=")</f>
        <v>#REF!</v>
      </c>
      <c r="AD56" t="e">
        <f>AND(#REF!,"AAAAAFZ5vx0=")</f>
        <v>#REF!</v>
      </c>
      <c r="AE56" t="e">
        <f>AND(#REF!,"AAAAAFZ5vx4=")</f>
        <v>#REF!</v>
      </c>
      <c r="AF56" t="e">
        <f>AND(#REF!,"AAAAAFZ5vx8=")</f>
        <v>#REF!</v>
      </c>
      <c r="AG56" t="e">
        <f>AND(#REF!,"AAAAAFZ5vyA=")</f>
        <v>#REF!</v>
      </c>
      <c r="AH56" t="e">
        <f>AND(#REF!,"AAAAAFZ5vyE=")</f>
        <v>#REF!</v>
      </c>
      <c r="AI56" t="e">
        <f>AND(#REF!,"AAAAAFZ5vyI=")</f>
        <v>#REF!</v>
      </c>
      <c r="AJ56" t="e">
        <f>AND(#REF!,"AAAAAFZ5vyM=")</f>
        <v>#REF!</v>
      </c>
      <c r="AK56" t="e">
        <f>AND(#REF!,"AAAAAFZ5vyQ=")</f>
        <v>#REF!</v>
      </c>
      <c r="AL56" t="e">
        <f>AND(#REF!,"AAAAAFZ5vyU=")</f>
        <v>#REF!</v>
      </c>
      <c r="AM56" t="e">
        <f>AND(#REF!,"AAAAAFZ5vyY=")</f>
        <v>#REF!</v>
      </c>
      <c r="AN56" t="e">
        <f>AND(#REF!,"AAAAAFZ5vyc=")</f>
        <v>#REF!</v>
      </c>
      <c r="AO56" t="e">
        <f>AND(#REF!,"AAAAAFZ5vyg=")</f>
        <v>#REF!</v>
      </c>
      <c r="AP56" t="e">
        <f>AND(#REF!,"AAAAAFZ5vyk=")</f>
        <v>#REF!</v>
      </c>
      <c r="AQ56" t="e">
        <f>AND(#REF!,"AAAAAFZ5vyo=")</f>
        <v>#REF!</v>
      </c>
      <c r="AR56" t="e">
        <f>AND(#REF!,"AAAAAFZ5vys=")</f>
        <v>#REF!</v>
      </c>
      <c r="AS56" t="e">
        <f>AND(#REF!,"AAAAAFZ5vyw=")</f>
        <v>#REF!</v>
      </c>
      <c r="AT56" t="e">
        <f>AND(#REF!,"AAAAAFZ5vy0=")</f>
        <v>#REF!</v>
      </c>
      <c r="AU56" t="e">
        <f>AND(#REF!,"AAAAAFZ5vy4=")</f>
        <v>#REF!</v>
      </c>
      <c r="AV56" t="e">
        <f>AND(#REF!,"AAAAAFZ5vy8=")</f>
        <v>#REF!</v>
      </c>
      <c r="AW56" t="e">
        <f>AND(#REF!,"AAAAAFZ5vzA=")</f>
        <v>#REF!</v>
      </c>
      <c r="AX56" t="e">
        <f>AND(#REF!,"AAAAAFZ5vzE=")</f>
        <v>#REF!</v>
      </c>
      <c r="AY56" t="e">
        <f>AND(#REF!,"AAAAAFZ5vzI=")</f>
        <v>#REF!</v>
      </c>
      <c r="AZ56" t="e">
        <f>AND(#REF!,"AAAAAFZ5vzM=")</f>
        <v>#REF!</v>
      </c>
      <c r="BA56" t="e">
        <f>AND(#REF!,"AAAAAFZ5vzQ=")</f>
        <v>#REF!</v>
      </c>
      <c r="BB56" t="e">
        <f>AND(#REF!,"AAAAAFZ5vzU=")</f>
        <v>#REF!</v>
      </c>
      <c r="BC56" t="e">
        <f>AND(#REF!,"AAAAAFZ5vzY=")</f>
        <v>#REF!</v>
      </c>
      <c r="BD56" t="e">
        <f>AND(#REF!,"AAAAAFZ5vzc=")</f>
        <v>#REF!</v>
      </c>
      <c r="BE56" t="e">
        <f>AND(#REF!,"AAAAAFZ5vzg=")</f>
        <v>#REF!</v>
      </c>
      <c r="BF56" t="e">
        <f>AND(#REF!,"AAAAAFZ5vzk=")</f>
        <v>#REF!</v>
      </c>
      <c r="BG56" t="e">
        <f>AND(#REF!,"AAAAAFZ5vzo=")</f>
        <v>#REF!</v>
      </c>
      <c r="BH56" t="e">
        <f>AND(#REF!,"AAAAAFZ5vzs=")</f>
        <v>#REF!</v>
      </c>
      <c r="BI56" t="e">
        <f>AND(#REF!,"AAAAAFZ5vzw=")</f>
        <v>#REF!</v>
      </c>
      <c r="BJ56" t="e">
        <f>AND(#REF!,"AAAAAFZ5vz0=")</f>
        <v>#REF!</v>
      </c>
      <c r="BK56" t="e">
        <f>AND(#REF!,"AAAAAFZ5vz4=")</f>
        <v>#REF!</v>
      </c>
      <c r="BL56" t="e">
        <f>AND(#REF!,"AAAAAFZ5vz8=")</f>
        <v>#REF!</v>
      </c>
      <c r="BM56" t="e">
        <f>AND(#REF!,"AAAAAFZ5v0A=")</f>
        <v>#REF!</v>
      </c>
      <c r="BN56" t="e">
        <f>AND(#REF!,"AAAAAFZ5v0E=")</f>
        <v>#REF!</v>
      </c>
      <c r="BO56" t="e">
        <f>AND(#REF!,"AAAAAFZ5v0I=")</f>
        <v>#REF!</v>
      </c>
      <c r="BP56" t="e">
        <f>AND(#REF!,"AAAAAFZ5v0M=")</f>
        <v>#REF!</v>
      </c>
      <c r="BQ56" t="e">
        <f>AND(#REF!,"AAAAAFZ5v0Q=")</f>
        <v>#REF!</v>
      </c>
      <c r="BR56" t="e">
        <f>AND(#REF!,"AAAAAFZ5v0U=")</f>
        <v>#REF!</v>
      </c>
      <c r="BS56" t="e">
        <f>AND(#REF!,"AAAAAFZ5v0Y=")</f>
        <v>#REF!</v>
      </c>
      <c r="BT56" t="e">
        <f>AND(#REF!,"AAAAAFZ5v0c=")</f>
        <v>#REF!</v>
      </c>
      <c r="BU56" t="e">
        <f>AND(#REF!,"AAAAAFZ5v0g=")</f>
        <v>#REF!</v>
      </c>
      <c r="BV56" t="e">
        <f>AND(#REF!,"AAAAAFZ5v0k=")</f>
        <v>#REF!</v>
      </c>
      <c r="BW56" t="e">
        <f>AND(#REF!,"AAAAAFZ5v0o=")</f>
        <v>#REF!</v>
      </c>
      <c r="BX56" t="e">
        <f>AND(#REF!,"AAAAAFZ5v0s=")</f>
        <v>#REF!</v>
      </c>
      <c r="BY56" t="e">
        <f>AND(#REF!,"AAAAAFZ5v0w=")</f>
        <v>#REF!</v>
      </c>
      <c r="BZ56" t="e">
        <f>AND(#REF!,"AAAAAFZ5v00=")</f>
        <v>#REF!</v>
      </c>
      <c r="CA56" t="e">
        <f>AND(#REF!,"AAAAAFZ5v04=")</f>
        <v>#REF!</v>
      </c>
      <c r="CB56" t="e">
        <f>AND(#REF!,"AAAAAFZ5v08=")</f>
        <v>#REF!</v>
      </c>
      <c r="CC56" t="e">
        <f>AND(#REF!,"AAAAAFZ5v1A=")</f>
        <v>#REF!</v>
      </c>
      <c r="CD56" t="e">
        <f>AND(#REF!,"AAAAAFZ5v1E=")</f>
        <v>#REF!</v>
      </c>
      <c r="CE56" t="e">
        <f>AND(#REF!,"AAAAAFZ5v1I=")</f>
        <v>#REF!</v>
      </c>
      <c r="CF56" t="e">
        <f>AND(#REF!,"AAAAAFZ5v1M=")</f>
        <v>#REF!</v>
      </c>
      <c r="CG56" t="e">
        <f>AND(#REF!,"AAAAAFZ5v1Q=")</f>
        <v>#REF!</v>
      </c>
      <c r="CH56" t="e">
        <f>AND(#REF!,"AAAAAFZ5v1U=")</f>
        <v>#REF!</v>
      </c>
      <c r="CI56" t="e">
        <f>AND(#REF!,"AAAAAFZ5v1Y=")</f>
        <v>#REF!</v>
      </c>
      <c r="CJ56" t="e">
        <f>AND(#REF!,"AAAAAFZ5v1c=")</f>
        <v>#REF!</v>
      </c>
      <c r="CK56" t="e">
        <f>AND(#REF!,"AAAAAFZ5v1g=")</f>
        <v>#REF!</v>
      </c>
      <c r="CL56" t="e">
        <f>AND(#REF!,"AAAAAFZ5v1k=")</f>
        <v>#REF!</v>
      </c>
      <c r="CM56" t="e">
        <f>IF(#REF!,"AAAAAFZ5v1o=",0)</f>
        <v>#REF!</v>
      </c>
      <c r="CN56" t="e">
        <f>AND(#REF!,"AAAAAFZ5v1s=")</f>
        <v>#REF!</v>
      </c>
      <c r="CO56" t="e">
        <f>AND(#REF!,"AAAAAFZ5v1w=")</f>
        <v>#REF!</v>
      </c>
      <c r="CP56" t="e">
        <f>AND(#REF!,"AAAAAFZ5v10=")</f>
        <v>#REF!</v>
      </c>
      <c r="CQ56" t="e">
        <f>AND(#REF!,"AAAAAFZ5v14=")</f>
        <v>#REF!</v>
      </c>
      <c r="CR56" t="e">
        <f>AND(#REF!,"AAAAAFZ5v18=")</f>
        <v>#REF!</v>
      </c>
      <c r="CS56" t="e">
        <f>AND(#REF!,"AAAAAFZ5v2A=")</f>
        <v>#REF!</v>
      </c>
      <c r="CT56" t="e">
        <f>AND(#REF!,"AAAAAFZ5v2E=")</f>
        <v>#REF!</v>
      </c>
      <c r="CU56" t="e">
        <f>AND(#REF!,"AAAAAFZ5v2I=")</f>
        <v>#REF!</v>
      </c>
      <c r="CV56" t="e">
        <f>AND(#REF!,"AAAAAFZ5v2M=")</f>
        <v>#REF!</v>
      </c>
      <c r="CW56" t="e">
        <f>AND(#REF!,"AAAAAFZ5v2Q=")</f>
        <v>#REF!</v>
      </c>
      <c r="CX56" t="e">
        <f>AND(#REF!,"AAAAAFZ5v2U=")</f>
        <v>#REF!</v>
      </c>
      <c r="CY56" t="e">
        <f>AND(#REF!,"AAAAAFZ5v2Y=")</f>
        <v>#REF!</v>
      </c>
      <c r="CZ56" t="e">
        <f>AND(#REF!,"AAAAAFZ5v2c=")</f>
        <v>#REF!</v>
      </c>
      <c r="DA56" t="e">
        <f>AND(#REF!,"AAAAAFZ5v2g=")</f>
        <v>#REF!</v>
      </c>
      <c r="DB56" t="e">
        <f>AND(#REF!,"AAAAAFZ5v2k=")</f>
        <v>#REF!</v>
      </c>
      <c r="DC56" t="e">
        <f>AND(#REF!,"AAAAAFZ5v2o=")</f>
        <v>#REF!</v>
      </c>
      <c r="DD56" t="e">
        <f>AND(#REF!,"AAAAAFZ5v2s=")</f>
        <v>#REF!</v>
      </c>
      <c r="DE56" t="e">
        <f>AND(#REF!,"AAAAAFZ5v2w=")</f>
        <v>#REF!</v>
      </c>
      <c r="DF56" t="e">
        <f>AND(#REF!,"AAAAAFZ5v20=")</f>
        <v>#REF!</v>
      </c>
      <c r="DG56" t="e">
        <f>AND(#REF!,"AAAAAFZ5v24=")</f>
        <v>#REF!</v>
      </c>
      <c r="DH56" t="e">
        <f>AND(#REF!,"AAAAAFZ5v28=")</f>
        <v>#REF!</v>
      </c>
      <c r="DI56" t="e">
        <f>AND(#REF!,"AAAAAFZ5v3A=")</f>
        <v>#REF!</v>
      </c>
      <c r="DJ56" t="e">
        <f>AND(#REF!,"AAAAAFZ5v3E=")</f>
        <v>#REF!</v>
      </c>
      <c r="DK56" t="e">
        <f>AND(#REF!,"AAAAAFZ5v3I=")</f>
        <v>#REF!</v>
      </c>
      <c r="DL56" t="e">
        <f>AND(#REF!,"AAAAAFZ5v3M=")</f>
        <v>#REF!</v>
      </c>
      <c r="DM56" t="e">
        <f>AND(#REF!,"AAAAAFZ5v3Q=")</f>
        <v>#REF!</v>
      </c>
      <c r="DN56" t="e">
        <f>AND(#REF!,"AAAAAFZ5v3U=")</f>
        <v>#REF!</v>
      </c>
      <c r="DO56" t="e">
        <f>AND(#REF!,"AAAAAFZ5v3Y=")</f>
        <v>#REF!</v>
      </c>
      <c r="DP56" t="e">
        <f>AND(#REF!,"AAAAAFZ5v3c=")</f>
        <v>#REF!</v>
      </c>
      <c r="DQ56" t="e">
        <f>AND(#REF!,"AAAAAFZ5v3g=")</f>
        <v>#REF!</v>
      </c>
      <c r="DR56" t="e">
        <f>AND(#REF!,"AAAAAFZ5v3k=")</f>
        <v>#REF!</v>
      </c>
      <c r="DS56" t="e">
        <f>AND(#REF!,"AAAAAFZ5v3o=")</f>
        <v>#REF!</v>
      </c>
      <c r="DT56" t="e">
        <f>AND(#REF!,"AAAAAFZ5v3s=")</f>
        <v>#REF!</v>
      </c>
      <c r="DU56" t="e">
        <f>AND(#REF!,"AAAAAFZ5v3w=")</f>
        <v>#REF!</v>
      </c>
      <c r="DV56" t="e">
        <f>AND(#REF!,"AAAAAFZ5v30=")</f>
        <v>#REF!</v>
      </c>
      <c r="DW56" t="e">
        <f>AND(#REF!,"AAAAAFZ5v34=")</f>
        <v>#REF!</v>
      </c>
      <c r="DX56" t="e">
        <f>AND(#REF!,"AAAAAFZ5v38=")</f>
        <v>#REF!</v>
      </c>
      <c r="DY56" t="e">
        <f>AND(#REF!,"AAAAAFZ5v4A=")</f>
        <v>#REF!</v>
      </c>
      <c r="DZ56" t="e">
        <f>AND(#REF!,"AAAAAFZ5v4E=")</f>
        <v>#REF!</v>
      </c>
      <c r="EA56" t="e">
        <f>AND(#REF!,"AAAAAFZ5v4I=")</f>
        <v>#REF!</v>
      </c>
      <c r="EB56" t="e">
        <f>AND(#REF!,"AAAAAFZ5v4M=")</f>
        <v>#REF!</v>
      </c>
      <c r="EC56" t="e">
        <f>AND(#REF!,"AAAAAFZ5v4Q=")</f>
        <v>#REF!</v>
      </c>
      <c r="ED56" t="e">
        <f>AND(#REF!,"AAAAAFZ5v4U=")</f>
        <v>#REF!</v>
      </c>
      <c r="EE56" t="e">
        <f>AND(#REF!,"AAAAAFZ5v4Y=")</f>
        <v>#REF!</v>
      </c>
      <c r="EF56" t="e">
        <f>AND(#REF!,"AAAAAFZ5v4c=")</f>
        <v>#REF!</v>
      </c>
      <c r="EG56" t="e">
        <f>AND(#REF!,"AAAAAFZ5v4g=")</f>
        <v>#REF!</v>
      </c>
      <c r="EH56" t="e">
        <f>AND(#REF!,"AAAAAFZ5v4k=")</f>
        <v>#REF!</v>
      </c>
      <c r="EI56" t="e">
        <f>AND(#REF!,"AAAAAFZ5v4o=")</f>
        <v>#REF!</v>
      </c>
      <c r="EJ56" t="e">
        <f>AND(#REF!,"AAAAAFZ5v4s=")</f>
        <v>#REF!</v>
      </c>
      <c r="EK56" t="e">
        <f>AND(#REF!,"AAAAAFZ5v4w=")</f>
        <v>#REF!</v>
      </c>
      <c r="EL56" t="e">
        <f>AND(#REF!,"AAAAAFZ5v40=")</f>
        <v>#REF!</v>
      </c>
      <c r="EM56" t="e">
        <f>AND(#REF!,"AAAAAFZ5v44=")</f>
        <v>#REF!</v>
      </c>
      <c r="EN56" t="e">
        <f>AND(#REF!,"AAAAAFZ5v48=")</f>
        <v>#REF!</v>
      </c>
      <c r="EO56" t="e">
        <f>AND(#REF!,"AAAAAFZ5v5A=")</f>
        <v>#REF!</v>
      </c>
      <c r="EP56" t="e">
        <f>AND(#REF!,"AAAAAFZ5v5E=")</f>
        <v>#REF!</v>
      </c>
      <c r="EQ56" t="e">
        <f>AND(#REF!,"AAAAAFZ5v5I=")</f>
        <v>#REF!</v>
      </c>
      <c r="ER56" t="e">
        <f>AND(#REF!,"AAAAAFZ5v5M=")</f>
        <v>#REF!</v>
      </c>
      <c r="ES56" t="e">
        <f>AND(#REF!,"AAAAAFZ5v5Q=")</f>
        <v>#REF!</v>
      </c>
      <c r="ET56" t="e">
        <f>AND(#REF!,"AAAAAFZ5v5U=")</f>
        <v>#REF!</v>
      </c>
      <c r="EU56" t="e">
        <f>AND(#REF!,"AAAAAFZ5v5Y=")</f>
        <v>#REF!</v>
      </c>
      <c r="EV56" t="e">
        <f>AND(#REF!,"AAAAAFZ5v5c=")</f>
        <v>#REF!</v>
      </c>
      <c r="EW56" t="e">
        <f>AND(#REF!,"AAAAAFZ5v5g=")</f>
        <v>#REF!</v>
      </c>
      <c r="EX56" t="e">
        <f>AND(#REF!,"AAAAAFZ5v5k=")</f>
        <v>#REF!</v>
      </c>
      <c r="EY56" t="e">
        <f>AND(#REF!,"AAAAAFZ5v5o=")</f>
        <v>#REF!</v>
      </c>
      <c r="EZ56" t="e">
        <f>AND(#REF!,"AAAAAFZ5v5s=")</f>
        <v>#REF!</v>
      </c>
      <c r="FA56" t="e">
        <f>AND(#REF!,"AAAAAFZ5v5w=")</f>
        <v>#REF!</v>
      </c>
      <c r="FB56" t="e">
        <f>AND(#REF!,"AAAAAFZ5v50=")</f>
        <v>#REF!</v>
      </c>
      <c r="FC56" t="e">
        <f>AND(#REF!,"AAAAAFZ5v54=")</f>
        <v>#REF!</v>
      </c>
      <c r="FD56" t="e">
        <f>AND(#REF!,"AAAAAFZ5v58=")</f>
        <v>#REF!</v>
      </c>
      <c r="FE56" t="e">
        <f>AND(#REF!,"AAAAAFZ5v6A=")</f>
        <v>#REF!</v>
      </c>
      <c r="FF56" t="e">
        <f>AND(#REF!,"AAAAAFZ5v6E=")</f>
        <v>#REF!</v>
      </c>
      <c r="FG56" t="e">
        <f>AND(#REF!,"AAAAAFZ5v6I=")</f>
        <v>#REF!</v>
      </c>
      <c r="FH56" t="e">
        <f>AND(#REF!,"AAAAAFZ5v6M=")</f>
        <v>#REF!</v>
      </c>
      <c r="FI56" t="e">
        <f>AND(#REF!,"AAAAAFZ5v6Q=")</f>
        <v>#REF!</v>
      </c>
      <c r="FJ56" t="e">
        <f>AND(#REF!,"AAAAAFZ5v6U=")</f>
        <v>#REF!</v>
      </c>
      <c r="FK56" t="e">
        <f>AND(#REF!,"AAAAAFZ5v6Y=")</f>
        <v>#REF!</v>
      </c>
      <c r="FL56" t="e">
        <f>AND(#REF!,"AAAAAFZ5v6c=")</f>
        <v>#REF!</v>
      </c>
      <c r="FM56" t="e">
        <f>AND(#REF!,"AAAAAFZ5v6g=")</f>
        <v>#REF!</v>
      </c>
      <c r="FN56" t="e">
        <f>AND(#REF!,"AAAAAFZ5v6k=")</f>
        <v>#REF!</v>
      </c>
      <c r="FO56" t="e">
        <f>AND(#REF!,"AAAAAFZ5v6o=")</f>
        <v>#REF!</v>
      </c>
      <c r="FP56" t="e">
        <f>AND(#REF!,"AAAAAFZ5v6s=")</f>
        <v>#REF!</v>
      </c>
      <c r="FQ56" t="e">
        <f>AND(#REF!,"AAAAAFZ5v6w=")</f>
        <v>#REF!</v>
      </c>
      <c r="FR56" t="e">
        <f>AND(#REF!,"AAAAAFZ5v60=")</f>
        <v>#REF!</v>
      </c>
      <c r="FS56" t="e">
        <f>AND(#REF!,"AAAAAFZ5v64=")</f>
        <v>#REF!</v>
      </c>
      <c r="FT56" t="e">
        <f>AND(#REF!,"AAAAAFZ5v68=")</f>
        <v>#REF!</v>
      </c>
      <c r="FU56" t="e">
        <f>AND(#REF!,"AAAAAFZ5v7A=")</f>
        <v>#REF!</v>
      </c>
      <c r="FV56" t="e">
        <f>AND(#REF!,"AAAAAFZ5v7E=")</f>
        <v>#REF!</v>
      </c>
      <c r="FW56" t="e">
        <f>AND(#REF!,"AAAAAFZ5v7I=")</f>
        <v>#REF!</v>
      </c>
      <c r="FX56" t="e">
        <f>AND(#REF!,"AAAAAFZ5v7M=")</f>
        <v>#REF!</v>
      </c>
      <c r="FY56" t="e">
        <f>AND(#REF!,"AAAAAFZ5v7Q=")</f>
        <v>#REF!</v>
      </c>
      <c r="FZ56" t="e">
        <f>AND(#REF!,"AAAAAFZ5v7U=")</f>
        <v>#REF!</v>
      </c>
      <c r="GA56" t="e">
        <f>AND(#REF!,"AAAAAFZ5v7Y=")</f>
        <v>#REF!</v>
      </c>
      <c r="GB56" t="e">
        <f>AND(#REF!,"AAAAAFZ5v7c=")</f>
        <v>#REF!</v>
      </c>
      <c r="GC56" t="e">
        <f>AND(#REF!,"AAAAAFZ5v7g=")</f>
        <v>#REF!</v>
      </c>
      <c r="GD56" t="e">
        <f>AND(#REF!,"AAAAAFZ5v7k=")</f>
        <v>#REF!</v>
      </c>
      <c r="GE56" t="e">
        <f>AND(#REF!,"AAAAAFZ5v7o=")</f>
        <v>#REF!</v>
      </c>
      <c r="GF56" t="e">
        <f>AND(#REF!,"AAAAAFZ5v7s=")</f>
        <v>#REF!</v>
      </c>
      <c r="GG56" t="e">
        <f>AND(#REF!,"AAAAAFZ5v7w=")</f>
        <v>#REF!</v>
      </c>
      <c r="GH56" t="e">
        <f>AND(#REF!,"AAAAAFZ5v70=")</f>
        <v>#REF!</v>
      </c>
      <c r="GI56" t="e">
        <f>AND(#REF!,"AAAAAFZ5v74=")</f>
        <v>#REF!</v>
      </c>
      <c r="GJ56" t="e">
        <f>AND(#REF!,"AAAAAFZ5v78=")</f>
        <v>#REF!</v>
      </c>
      <c r="GK56" t="e">
        <f>AND(#REF!,"AAAAAFZ5v8A=")</f>
        <v>#REF!</v>
      </c>
      <c r="GL56" t="e">
        <f>AND(#REF!,"AAAAAFZ5v8E=")</f>
        <v>#REF!</v>
      </c>
      <c r="GM56" t="e">
        <f>AND(#REF!,"AAAAAFZ5v8I=")</f>
        <v>#REF!</v>
      </c>
      <c r="GN56" t="e">
        <f>AND(#REF!,"AAAAAFZ5v8M=")</f>
        <v>#REF!</v>
      </c>
      <c r="GO56" t="e">
        <f>AND(#REF!,"AAAAAFZ5v8Q=")</f>
        <v>#REF!</v>
      </c>
      <c r="GP56" t="e">
        <f>AND(#REF!,"AAAAAFZ5v8U=")</f>
        <v>#REF!</v>
      </c>
      <c r="GQ56" t="e">
        <f>AND(#REF!,"AAAAAFZ5v8Y=")</f>
        <v>#REF!</v>
      </c>
      <c r="GR56" t="e">
        <f>AND(#REF!,"AAAAAFZ5v8c=")</f>
        <v>#REF!</v>
      </c>
      <c r="GS56" t="e">
        <f>AND(#REF!,"AAAAAFZ5v8g=")</f>
        <v>#REF!</v>
      </c>
      <c r="GT56" t="e">
        <f>AND(#REF!,"AAAAAFZ5v8k=")</f>
        <v>#REF!</v>
      </c>
      <c r="GU56" t="e">
        <f>AND(#REF!,"AAAAAFZ5v8o=")</f>
        <v>#REF!</v>
      </c>
      <c r="GV56" t="e">
        <f>AND(#REF!,"AAAAAFZ5v8s=")</f>
        <v>#REF!</v>
      </c>
      <c r="GW56" t="e">
        <f>AND(#REF!,"AAAAAFZ5v8w=")</f>
        <v>#REF!</v>
      </c>
      <c r="GX56" t="e">
        <f>AND(#REF!,"AAAAAFZ5v80=")</f>
        <v>#REF!</v>
      </c>
      <c r="GY56" t="e">
        <f>AND(#REF!,"AAAAAFZ5v84=")</f>
        <v>#REF!</v>
      </c>
      <c r="GZ56" t="e">
        <f>AND(#REF!,"AAAAAFZ5v88=")</f>
        <v>#REF!</v>
      </c>
      <c r="HA56" t="e">
        <f>AND(#REF!,"AAAAAFZ5v9A=")</f>
        <v>#REF!</v>
      </c>
      <c r="HB56" t="e">
        <f>AND(#REF!,"AAAAAFZ5v9E=")</f>
        <v>#REF!</v>
      </c>
      <c r="HC56" t="e">
        <f>AND(#REF!,"AAAAAFZ5v9I=")</f>
        <v>#REF!</v>
      </c>
      <c r="HD56" t="e">
        <f>IF(#REF!,"AAAAAFZ5v9M=",0)</f>
        <v>#REF!</v>
      </c>
      <c r="HE56" t="e">
        <f>AND(#REF!,"AAAAAFZ5v9Q=")</f>
        <v>#REF!</v>
      </c>
      <c r="HF56" t="e">
        <f>AND(#REF!,"AAAAAFZ5v9U=")</f>
        <v>#REF!</v>
      </c>
      <c r="HG56" t="e">
        <f>AND(#REF!,"AAAAAFZ5v9Y=")</f>
        <v>#REF!</v>
      </c>
      <c r="HH56" t="e">
        <f>AND(#REF!,"AAAAAFZ5v9c=")</f>
        <v>#REF!</v>
      </c>
      <c r="HI56" t="e">
        <f>AND(#REF!,"AAAAAFZ5v9g=")</f>
        <v>#REF!</v>
      </c>
      <c r="HJ56" t="e">
        <f>AND(#REF!,"AAAAAFZ5v9k=")</f>
        <v>#REF!</v>
      </c>
      <c r="HK56" t="e">
        <f>AND(#REF!,"AAAAAFZ5v9o=")</f>
        <v>#REF!</v>
      </c>
      <c r="HL56" t="e">
        <f>AND(#REF!,"AAAAAFZ5v9s=")</f>
        <v>#REF!</v>
      </c>
      <c r="HM56" t="e">
        <f>AND(#REF!,"AAAAAFZ5v9w=")</f>
        <v>#REF!</v>
      </c>
      <c r="HN56" t="e">
        <f>AND(#REF!,"AAAAAFZ5v90=")</f>
        <v>#REF!</v>
      </c>
      <c r="HO56" t="e">
        <f>AND(#REF!,"AAAAAFZ5v94=")</f>
        <v>#REF!</v>
      </c>
      <c r="HP56" t="e">
        <f>AND(#REF!,"AAAAAFZ5v98=")</f>
        <v>#REF!</v>
      </c>
      <c r="HQ56" t="e">
        <f>AND(#REF!,"AAAAAFZ5v+A=")</f>
        <v>#REF!</v>
      </c>
      <c r="HR56" t="e">
        <f>AND(#REF!,"AAAAAFZ5v+E=")</f>
        <v>#REF!</v>
      </c>
      <c r="HS56" t="e">
        <f>AND(#REF!,"AAAAAFZ5v+I=")</f>
        <v>#REF!</v>
      </c>
      <c r="HT56" t="e">
        <f>AND(#REF!,"AAAAAFZ5v+M=")</f>
        <v>#REF!</v>
      </c>
      <c r="HU56" t="e">
        <f>AND(#REF!,"AAAAAFZ5v+Q=")</f>
        <v>#REF!</v>
      </c>
      <c r="HV56" t="e">
        <f>AND(#REF!,"AAAAAFZ5v+U=")</f>
        <v>#REF!</v>
      </c>
      <c r="HW56" t="e">
        <f>AND(#REF!,"AAAAAFZ5v+Y=")</f>
        <v>#REF!</v>
      </c>
      <c r="HX56" t="e">
        <f>AND(#REF!,"AAAAAFZ5v+c=")</f>
        <v>#REF!</v>
      </c>
      <c r="HY56" t="e">
        <f>AND(#REF!,"AAAAAFZ5v+g=")</f>
        <v>#REF!</v>
      </c>
      <c r="HZ56" t="e">
        <f>AND(#REF!,"AAAAAFZ5v+k=")</f>
        <v>#REF!</v>
      </c>
      <c r="IA56" t="e">
        <f>AND(#REF!,"AAAAAFZ5v+o=")</f>
        <v>#REF!</v>
      </c>
      <c r="IB56" t="e">
        <f>AND(#REF!,"AAAAAFZ5v+s=")</f>
        <v>#REF!</v>
      </c>
      <c r="IC56" t="e">
        <f>AND(#REF!,"AAAAAFZ5v+w=")</f>
        <v>#REF!</v>
      </c>
      <c r="ID56" t="e">
        <f>AND(#REF!,"AAAAAFZ5v+0=")</f>
        <v>#REF!</v>
      </c>
      <c r="IE56" t="e">
        <f>AND(#REF!,"AAAAAFZ5v+4=")</f>
        <v>#REF!</v>
      </c>
      <c r="IF56" t="e">
        <f>AND(#REF!,"AAAAAFZ5v+8=")</f>
        <v>#REF!</v>
      </c>
      <c r="IG56" t="e">
        <f>AND(#REF!,"AAAAAFZ5v/A=")</f>
        <v>#REF!</v>
      </c>
      <c r="IH56" t="e">
        <f>AND(#REF!,"AAAAAFZ5v/E=")</f>
        <v>#REF!</v>
      </c>
      <c r="II56" t="e">
        <f>AND(#REF!,"AAAAAFZ5v/I=")</f>
        <v>#REF!</v>
      </c>
      <c r="IJ56" t="e">
        <f>AND(#REF!,"AAAAAFZ5v/M=")</f>
        <v>#REF!</v>
      </c>
      <c r="IK56" t="e">
        <f>AND(#REF!,"AAAAAFZ5v/Q=")</f>
        <v>#REF!</v>
      </c>
      <c r="IL56" t="e">
        <f>AND(#REF!,"AAAAAFZ5v/U=")</f>
        <v>#REF!</v>
      </c>
      <c r="IM56" t="e">
        <f>AND(#REF!,"AAAAAFZ5v/Y=")</f>
        <v>#REF!</v>
      </c>
      <c r="IN56" t="e">
        <f>AND(#REF!,"AAAAAFZ5v/c=")</f>
        <v>#REF!</v>
      </c>
      <c r="IO56" t="e">
        <f>AND(#REF!,"AAAAAFZ5v/g=")</f>
        <v>#REF!</v>
      </c>
      <c r="IP56" t="e">
        <f>AND(#REF!,"AAAAAFZ5v/k=")</f>
        <v>#REF!</v>
      </c>
      <c r="IQ56" t="e">
        <f>AND(#REF!,"AAAAAFZ5v/o=")</f>
        <v>#REF!</v>
      </c>
      <c r="IR56" t="e">
        <f>AND(#REF!,"AAAAAFZ5v/s=")</f>
        <v>#REF!</v>
      </c>
      <c r="IS56" t="e">
        <f>AND(#REF!,"AAAAAFZ5v/w=")</f>
        <v>#REF!</v>
      </c>
      <c r="IT56" t="e">
        <f>AND(#REF!,"AAAAAFZ5v/0=")</f>
        <v>#REF!</v>
      </c>
      <c r="IU56" t="e">
        <f>AND(#REF!,"AAAAAFZ5v/4=")</f>
        <v>#REF!</v>
      </c>
      <c r="IV56" t="e">
        <f>AND(#REF!,"AAAAAFZ5v/8=")</f>
        <v>#REF!</v>
      </c>
    </row>
    <row r="57" spans="1:256">
      <c r="A57" t="e">
        <f>AND(#REF!,"AAAAAG9fzwA=")</f>
        <v>#REF!</v>
      </c>
      <c r="B57" t="e">
        <f>AND(#REF!,"AAAAAG9fzwE=")</f>
        <v>#REF!</v>
      </c>
      <c r="C57" t="e">
        <f>AND(#REF!,"AAAAAG9fzwI=")</f>
        <v>#REF!</v>
      </c>
      <c r="D57" t="e">
        <f>AND(#REF!,"AAAAAG9fzwM=")</f>
        <v>#REF!</v>
      </c>
      <c r="E57" t="e">
        <f>AND(#REF!,"AAAAAG9fzwQ=")</f>
        <v>#REF!</v>
      </c>
      <c r="F57" t="e">
        <f>AND(#REF!,"AAAAAG9fzwU=")</f>
        <v>#REF!</v>
      </c>
      <c r="G57" t="e">
        <f>AND(#REF!,"AAAAAG9fzwY=")</f>
        <v>#REF!</v>
      </c>
      <c r="H57" t="e">
        <f>AND(#REF!,"AAAAAG9fzwc=")</f>
        <v>#REF!</v>
      </c>
      <c r="I57" t="e">
        <f>AND(#REF!,"AAAAAG9fzwg=")</f>
        <v>#REF!</v>
      </c>
      <c r="J57" t="e">
        <f>AND(#REF!,"AAAAAG9fzwk=")</f>
        <v>#REF!</v>
      </c>
      <c r="K57" t="e">
        <f>AND(#REF!,"AAAAAG9fzwo=")</f>
        <v>#REF!</v>
      </c>
      <c r="L57" t="e">
        <f>AND(#REF!,"AAAAAG9fzws=")</f>
        <v>#REF!</v>
      </c>
      <c r="M57" t="e">
        <f>AND(#REF!,"AAAAAG9fzww=")</f>
        <v>#REF!</v>
      </c>
      <c r="N57" t="e">
        <f>AND(#REF!,"AAAAAG9fzw0=")</f>
        <v>#REF!</v>
      </c>
      <c r="O57" t="e">
        <f>AND(#REF!,"AAAAAG9fzw4=")</f>
        <v>#REF!</v>
      </c>
      <c r="P57" t="e">
        <f>AND(#REF!,"AAAAAG9fzw8=")</f>
        <v>#REF!</v>
      </c>
      <c r="Q57" t="e">
        <f>AND(#REF!,"AAAAAG9fzxA=")</f>
        <v>#REF!</v>
      </c>
      <c r="R57" t="e">
        <f>AND(#REF!,"AAAAAG9fzxE=")</f>
        <v>#REF!</v>
      </c>
      <c r="S57" t="e">
        <f>AND(#REF!,"AAAAAG9fzxI=")</f>
        <v>#REF!</v>
      </c>
      <c r="T57" t="e">
        <f>AND(#REF!,"AAAAAG9fzxM=")</f>
        <v>#REF!</v>
      </c>
      <c r="U57" t="e">
        <f>AND(#REF!,"AAAAAG9fzxQ=")</f>
        <v>#REF!</v>
      </c>
      <c r="V57" t="e">
        <f>AND(#REF!,"AAAAAG9fzxU=")</f>
        <v>#REF!</v>
      </c>
      <c r="W57" t="e">
        <f>AND(#REF!,"AAAAAG9fzxY=")</f>
        <v>#REF!</v>
      </c>
      <c r="X57" t="e">
        <f>AND(#REF!,"AAAAAG9fzxc=")</f>
        <v>#REF!</v>
      </c>
      <c r="Y57" t="e">
        <f>AND(#REF!,"AAAAAG9fzxg=")</f>
        <v>#REF!</v>
      </c>
      <c r="Z57" t="e">
        <f>AND(#REF!,"AAAAAG9fzxk=")</f>
        <v>#REF!</v>
      </c>
      <c r="AA57" t="e">
        <f>AND(#REF!,"AAAAAG9fzxo=")</f>
        <v>#REF!</v>
      </c>
      <c r="AB57" t="e">
        <f>AND(#REF!,"AAAAAG9fzxs=")</f>
        <v>#REF!</v>
      </c>
      <c r="AC57" t="e">
        <f>AND(#REF!,"AAAAAG9fzxw=")</f>
        <v>#REF!</v>
      </c>
      <c r="AD57" t="e">
        <f>AND(#REF!,"AAAAAG9fzx0=")</f>
        <v>#REF!</v>
      </c>
      <c r="AE57" t="e">
        <f>AND(#REF!,"AAAAAG9fzx4=")</f>
        <v>#REF!</v>
      </c>
      <c r="AF57" t="e">
        <f>AND(#REF!,"AAAAAG9fzx8=")</f>
        <v>#REF!</v>
      </c>
      <c r="AG57" t="e">
        <f>AND(#REF!,"AAAAAG9fzyA=")</f>
        <v>#REF!</v>
      </c>
      <c r="AH57" t="e">
        <f>AND(#REF!,"AAAAAG9fzyE=")</f>
        <v>#REF!</v>
      </c>
      <c r="AI57" t="e">
        <f>AND(#REF!,"AAAAAG9fzyI=")</f>
        <v>#REF!</v>
      </c>
      <c r="AJ57" t="e">
        <f>AND(#REF!,"AAAAAG9fzyM=")</f>
        <v>#REF!</v>
      </c>
      <c r="AK57" t="e">
        <f>AND(#REF!,"AAAAAG9fzyQ=")</f>
        <v>#REF!</v>
      </c>
      <c r="AL57" t="e">
        <f>AND(#REF!,"AAAAAG9fzyU=")</f>
        <v>#REF!</v>
      </c>
      <c r="AM57" t="e">
        <f>AND(#REF!,"AAAAAG9fzyY=")</f>
        <v>#REF!</v>
      </c>
      <c r="AN57" t="e">
        <f>AND(#REF!,"AAAAAG9fzyc=")</f>
        <v>#REF!</v>
      </c>
      <c r="AO57" t="e">
        <f>AND(#REF!,"AAAAAG9fzyg=")</f>
        <v>#REF!</v>
      </c>
      <c r="AP57" t="e">
        <f>AND(#REF!,"AAAAAG9fzyk=")</f>
        <v>#REF!</v>
      </c>
      <c r="AQ57" t="e">
        <f>AND(#REF!,"AAAAAG9fzyo=")</f>
        <v>#REF!</v>
      </c>
      <c r="AR57" t="e">
        <f>AND(#REF!,"AAAAAG9fzys=")</f>
        <v>#REF!</v>
      </c>
      <c r="AS57" t="e">
        <f>AND(#REF!,"AAAAAG9fzyw=")</f>
        <v>#REF!</v>
      </c>
      <c r="AT57" t="e">
        <f>AND(#REF!,"AAAAAG9fzy0=")</f>
        <v>#REF!</v>
      </c>
      <c r="AU57" t="e">
        <f>AND(#REF!,"AAAAAG9fzy4=")</f>
        <v>#REF!</v>
      </c>
      <c r="AV57" t="e">
        <f>AND(#REF!,"AAAAAG9fzy8=")</f>
        <v>#REF!</v>
      </c>
      <c r="AW57" t="e">
        <f>AND(#REF!,"AAAAAG9fzzA=")</f>
        <v>#REF!</v>
      </c>
      <c r="AX57" t="e">
        <f>AND(#REF!,"AAAAAG9fzzE=")</f>
        <v>#REF!</v>
      </c>
      <c r="AY57" t="e">
        <f>AND(#REF!,"AAAAAG9fzzI=")</f>
        <v>#REF!</v>
      </c>
      <c r="AZ57" t="e">
        <f>AND(#REF!,"AAAAAG9fzzM=")</f>
        <v>#REF!</v>
      </c>
      <c r="BA57" t="e">
        <f>AND(#REF!,"AAAAAG9fzzQ=")</f>
        <v>#REF!</v>
      </c>
      <c r="BB57" t="e">
        <f>AND(#REF!,"AAAAAG9fzzU=")</f>
        <v>#REF!</v>
      </c>
      <c r="BC57" t="e">
        <f>AND(#REF!,"AAAAAG9fzzY=")</f>
        <v>#REF!</v>
      </c>
      <c r="BD57" t="e">
        <f>AND(#REF!,"AAAAAG9fzzc=")</f>
        <v>#REF!</v>
      </c>
      <c r="BE57" t="e">
        <f>AND(#REF!,"AAAAAG9fzzg=")</f>
        <v>#REF!</v>
      </c>
      <c r="BF57" t="e">
        <f>AND(#REF!,"AAAAAG9fzzk=")</f>
        <v>#REF!</v>
      </c>
      <c r="BG57" t="e">
        <f>AND(#REF!,"AAAAAG9fzzo=")</f>
        <v>#REF!</v>
      </c>
      <c r="BH57" t="e">
        <f>AND(#REF!,"AAAAAG9fzzs=")</f>
        <v>#REF!</v>
      </c>
      <c r="BI57" t="e">
        <f>AND(#REF!,"AAAAAG9fzzw=")</f>
        <v>#REF!</v>
      </c>
      <c r="BJ57" t="e">
        <f>AND(#REF!,"AAAAAG9fzz0=")</f>
        <v>#REF!</v>
      </c>
      <c r="BK57" t="e">
        <f>AND(#REF!,"AAAAAG9fzz4=")</f>
        <v>#REF!</v>
      </c>
      <c r="BL57" t="e">
        <f>AND(#REF!,"AAAAAG9fzz8=")</f>
        <v>#REF!</v>
      </c>
      <c r="BM57" t="e">
        <f>AND(#REF!,"AAAAAG9fz0A=")</f>
        <v>#REF!</v>
      </c>
      <c r="BN57" t="e">
        <f>AND(#REF!,"AAAAAG9fz0E=")</f>
        <v>#REF!</v>
      </c>
      <c r="BO57" t="e">
        <f>AND(#REF!,"AAAAAG9fz0I=")</f>
        <v>#REF!</v>
      </c>
      <c r="BP57" t="e">
        <f>AND(#REF!,"AAAAAG9fz0M=")</f>
        <v>#REF!</v>
      </c>
      <c r="BQ57" t="e">
        <f>AND(#REF!,"AAAAAG9fz0Q=")</f>
        <v>#REF!</v>
      </c>
      <c r="BR57" t="e">
        <f>AND(#REF!,"AAAAAG9fz0U=")</f>
        <v>#REF!</v>
      </c>
      <c r="BS57" t="e">
        <f>AND(#REF!,"AAAAAG9fz0Y=")</f>
        <v>#REF!</v>
      </c>
      <c r="BT57" t="e">
        <f>AND(#REF!,"AAAAAG9fz0c=")</f>
        <v>#REF!</v>
      </c>
      <c r="BU57" t="e">
        <f>AND(#REF!,"AAAAAG9fz0g=")</f>
        <v>#REF!</v>
      </c>
      <c r="BV57" t="e">
        <f>AND(#REF!,"AAAAAG9fz0k=")</f>
        <v>#REF!</v>
      </c>
      <c r="BW57" t="e">
        <f>AND(#REF!,"AAAAAG9fz0o=")</f>
        <v>#REF!</v>
      </c>
      <c r="BX57" t="e">
        <f>AND(#REF!,"AAAAAG9fz0s=")</f>
        <v>#REF!</v>
      </c>
      <c r="BY57" t="e">
        <f>IF(#REF!,"AAAAAG9fz0w=",0)</f>
        <v>#REF!</v>
      </c>
      <c r="BZ57" t="e">
        <f>AND(#REF!,"AAAAAG9fz00=")</f>
        <v>#REF!</v>
      </c>
      <c r="CA57" t="e">
        <f>AND(#REF!,"AAAAAG9fz04=")</f>
        <v>#REF!</v>
      </c>
      <c r="CB57" t="e">
        <f>AND(#REF!,"AAAAAG9fz08=")</f>
        <v>#REF!</v>
      </c>
      <c r="CC57" t="e">
        <f>AND(#REF!,"AAAAAG9fz1A=")</f>
        <v>#REF!</v>
      </c>
      <c r="CD57" t="e">
        <f>AND(#REF!,"AAAAAG9fz1E=")</f>
        <v>#REF!</v>
      </c>
      <c r="CE57" t="e">
        <f>AND(#REF!,"AAAAAG9fz1I=")</f>
        <v>#REF!</v>
      </c>
      <c r="CF57" t="e">
        <f>AND(#REF!,"AAAAAG9fz1M=")</f>
        <v>#REF!</v>
      </c>
      <c r="CG57" t="e">
        <f>AND(#REF!,"AAAAAG9fz1Q=")</f>
        <v>#REF!</v>
      </c>
      <c r="CH57" t="e">
        <f>AND(#REF!,"AAAAAG9fz1U=")</f>
        <v>#REF!</v>
      </c>
      <c r="CI57" t="e">
        <f>AND(#REF!,"AAAAAG9fz1Y=")</f>
        <v>#REF!</v>
      </c>
      <c r="CJ57" t="e">
        <f>AND(#REF!,"AAAAAG9fz1c=")</f>
        <v>#REF!</v>
      </c>
      <c r="CK57" t="e">
        <f>AND(#REF!,"AAAAAG9fz1g=")</f>
        <v>#REF!</v>
      </c>
      <c r="CL57" t="e">
        <f>AND(#REF!,"AAAAAG9fz1k=")</f>
        <v>#REF!</v>
      </c>
      <c r="CM57" t="e">
        <f>AND(#REF!,"AAAAAG9fz1o=")</f>
        <v>#REF!</v>
      </c>
      <c r="CN57" t="e">
        <f>AND(#REF!,"AAAAAG9fz1s=")</f>
        <v>#REF!</v>
      </c>
      <c r="CO57" t="e">
        <f>AND(#REF!,"AAAAAG9fz1w=")</f>
        <v>#REF!</v>
      </c>
      <c r="CP57" t="e">
        <f>AND(#REF!,"AAAAAG9fz10=")</f>
        <v>#REF!</v>
      </c>
      <c r="CQ57" t="e">
        <f>AND(#REF!,"AAAAAG9fz14=")</f>
        <v>#REF!</v>
      </c>
      <c r="CR57" t="e">
        <f>AND(#REF!,"AAAAAG9fz18=")</f>
        <v>#REF!</v>
      </c>
      <c r="CS57" t="e">
        <f>AND(#REF!,"AAAAAG9fz2A=")</f>
        <v>#REF!</v>
      </c>
      <c r="CT57" t="e">
        <f>AND(#REF!,"AAAAAG9fz2E=")</f>
        <v>#REF!</v>
      </c>
      <c r="CU57" t="e">
        <f>AND(#REF!,"AAAAAG9fz2I=")</f>
        <v>#REF!</v>
      </c>
      <c r="CV57" t="e">
        <f>AND(#REF!,"AAAAAG9fz2M=")</f>
        <v>#REF!</v>
      </c>
      <c r="CW57" t="e">
        <f>AND(#REF!,"AAAAAG9fz2Q=")</f>
        <v>#REF!</v>
      </c>
      <c r="CX57" t="e">
        <f>AND(#REF!,"AAAAAG9fz2U=")</f>
        <v>#REF!</v>
      </c>
      <c r="CY57" t="e">
        <f>AND(#REF!,"AAAAAG9fz2Y=")</f>
        <v>#REF!</v>
      </c>
      <c r="CZ57" t="e">
        <f>AND(#REF!,"AAAAAG9fz2c=")</f>
        <v>#REF!</v>
      </c>
      <c r="DA57" t="e">
        <f>AND(#REF!,"AAAAAG9fz2g=")</f>
        <v>#REF!</v>
      </c>
      <c r="DB57" t="e">
        <f>AND(#REF!,"AAAAAG9fz2k=")</f>
        <v>#REF!</v>
      </c>
      <c r="DC57" t="e">
        <f>AND(#REF!,"AAAAAG9fz2o=")</f>
        <v>#REF!</v>
      </c>
      <c r="DD57" t="e">
        <f>AND(#REF!,"AAAAAG9fz2s=")</f>
        <v>#REF!</v>
      </c>
      <c r="DE57" t="e">
        <f>AND(#REF!,"AAAAAG9fz2w=")</f>
        <v>#REF!</v>
      </c>
      <c r="DF57" t="e">
        <f>AND(#REF!,"AAAAAG9fz20=")</f>
        <v>#REF!</v>
      </c>
      <c r="DG57" t="e">
        <f>AND(#REF!,"AAAAAG9fz24=")</f>
        <v>#REF!</v>
      </c>
      <c r="DH57" t="e">
        <f>AND(#REF!,"AAAAAG9fz28=")</f>
        <v>#REF!</v>
      </c>
      <c r="DI57" t="e">
        <f>AND(#REF!,"AAAAAG9fz3A=")</f>
        <v>#REF!</v>
      </c>
      <c r="DJ57" t="e">
        <f>AND(#REF!,"AAAAAG9fz3E=")</f>
        <v>#REF!</v>
      </c>
      <c r="DK57" t="e">
        <f>AND(#REF!,"AAAAAG9fz3I=")</f>
        <v>#REF!</v>
      </c>
      <c r="DL57" t="e">
        <f>AND(#REF!,"AAAAAG9fz3M=")</f>
        <v>#REF!</v>
      </c>
      <c r="DM57" t="e">
        <f>AND(#REF!,"AAAAAG9fz3Q=")</f>
        <v>#REF!</v>
      </c>
      <c r="DN57" t="e">
        <f>AND(#REF!,"AAAAAG9fz3U=")</f>
        <v>#REF!</v>
      </c>
      <c r="DO57" t="e">
        <f>AND(#REF!,"AAAAAG9fz3Y=")</f>
        <v>#REF!</v>
      </c>
      <c r="DP57" t="e">
        <f>AND(#REF!,"AAAAAG9fz3c=")</f>
        <v>#REF!</v>
      </c>
      <c r="DQ57" t="e">
        <f>AND(#REF!,"AAAAAG9fz3g=")</f>
        <v>#REF!</v>
      </c>
      <c r="DR57" t="e">
        <f>AND(#REF!,"AAAAAG9fz3k=")</f>
        <v>#REF!</v>
      </c>
      <c r="DS57" t="e">
        <f>AND(#REF!,"AAAAAG9fz3o=")</f>
        <v>#REF!</v>
      </c>
      <c r="DT57" t="e">
        <f>AND(#REF!,"AAAAAG9fz3s=")</f>
        <v>#REF!</v>
      </c>
      <c r="DU57" t="e">
        <f>AND(#REF!,"AAAAAG9fz3w=")</f>
        <v>#REF!</v>
      </c>
      <c r="DV57" t="e">
        <f>AND(#REF!,"AAAAAG9fz30=")</f>
        <v>#REF!</v>
      </c>
      <c r="DW57" t="e">
        <f>AND(#REF!,"AAAAAG9fz34=")</f>
        <v>#REF!</v>
      </c>
      <c r="DX57" t="e">
        <f>AND(#REF!,"AAAAAG9fz38=")</f>
        <v>#REF!</v>
      </c>
      <c r="DY57" t="e">
        <f>AND(#REF!,"AAAAAG9fz4A=")</f>
        <v>#REF!</v>
      </c>
      <c r="DZ57" t="e">
        <f>AND(#REF!,"AAAAAG9fz4E=")</f>
        <v>#REF!</v>
      </c>
      <c r="EA57" t="e">
        <f>AND(#REF!,"AAAAAG9fz4I=")</f>
        <v>#REF!</v>
      </c>
      <c r="EB57" t="e">
        <f>AND(#REF!,"AAAAAG9fz4M=")</f>
        <v>#REF!</v>
      </c>
      <c r="EC57" t="e">
        <f>AND(#REF!,"AAAAAG9fz4Q=")</f>
        <v>#REF!</v>
      </c>
      <c r="ED57" t="e">
        <f>AND(#REF!,"AAAAAG9fz4U=")</f>
        <v>#REF!</v>
      </c>
      <c r="EE57" t="e">
        <f>AND(#REF!,"AAAAAG9fz4Y=")</f>
        <v>#REF!</v>
      </c>
      <c r="EF57" t="e">
        <f>AND(#REF!,"AAAAAG9fz4c=")</f>
        <v>#REF!</v>
      </c>
      <c r="EG57" t="e">
        <f>AND(#REF!,"AAAAAG9fz4g=")</f>
        <v>#REF!</v>
      </c>
      <c r="EH57" t="e">
        <f>AND(#REF!,"AAAAAG9fz4k=")</f>
        <v>#REF!</v>
      </c>
      <c r="EI57" t="e">
        <f>AND(#REF!,"AAAAAG9fz4o=")</f>
        <v>#REF!</v>
      </c>
      <c r="EJ57" t="e">
        <f>AND(#REF!,"AAAAAG9fz4s=")</f>
        <v>#REF!</v>
      </c>
      <c r="EK57" t="e">
        <f>AND(#REF!,"AAAAAG9fz4w=")</f>
        <v>#REF!</v>
      </c>
      <c r="EL57" t="e">
        <f>AND(#REF!,"AAAAAG9fz40=")</f>
        <v>#REF!</v>
      </c>
      <c r="EM57" t="e">
        <f>AND(#REF!,"AAAAAG9fz44=")</f>
        <v>#REF!</v>
      </c>
      <c r="EN57" t="e">
        <f>AND(#REF!,"AAAAAG9fz48=")</f>
        <v>#REF!</v>
      </c>
      <c r="EO57" t="e">
        <f>AND(#REF!,"AAAAAG9fz5A=")</f>
        <v>#REF!</v>
      </c>
      <c r="EP57" t="e">
        <f>AND(#REF!,"AAAAAG9fz5E=")</f>
        <v>#REF!</v>
      </c>
      <c r="EQ57" t="e">
        <f>AND(#REF!,"AAAAAG9fz5I=")</f>
        <v>#REF!</v>
      </c>
      <c r="ER57" t="e">
        <f>AND(#REF!,"AAAAAG9fz5M=")</f>
        <v>#REF!</v>
      </c>
      <c r="ES57" t="e">
        <f>AND(#REF!,"AAAAAG9fz5Q=")</f>
        <v>#REF!</v>
      </c>
      <c r="ET57" t="e">
        <f>AND(#REF!,"AAAAAG9fz5U=")</f>
        <v>#REF!</v>
      </c>
      <c r="EU57" t="e">
        <f>AND(#REF!,"AAAAAG9fz5Y=")</f>
        <v>#REF!</v>
      </c>
      <c r="EV57" t="e">
        <f>AND(#REF!,"AAAAAG9fz5c=")</f>
        <v>#REF!</v>
      </c>
      <c r="EW57" t="e">
        <f>AND(#REF!,"AAAAAG9fz5g=")</f>
        <v>#REF!</v>
      </c>
      <c r="EX57" t="e">
        <f>AND(#REF!,"AAAAAG9fz5k=")</f>
        <v>#REF!</v>
      </c>
      <c r="EY57" t="e">
        <f>AND(#REF!,"AAAAAG9fz5o=")</f>
        <v>#REF!</v>
      </c>
      <c r="EZ57" t="e">
        <f>AND(#REF!,"AAAAAG9fz5s=")</f>
        <v>#REF!</v>
      </c>
      <c r="FA57" t="e">
        <f>AND(#REF!,"AAAAAG9fz5w=")</f>
        <v>#REF!</v>
      </c>
      <c r="FB57" t="e">
        <f>AND(#REF!,"AAAAAG9fz50=")</f>
        <v>#REF!</v>
      </c>
      <c r="FC57" t="e">
        <f>AND(#REF!,"AAAAAG9fz54=")</f>
        <v>#REF!</v>
      </c>
      <c r="FD57" t="e">
        <f>AND(#REF!,"AAAAAG9fz58=")</f>
        <v>#REF!</v>
      </c>
      <c r="FE57" t="e">
        <f>AND(#REF!,"AAAAAG9fz6A=")</f>
        <v>#REF!</v>
      </c>
      <c r="FF57" t="e">
        <f>AND(#REF!,"AAAAAG9fz6E=")</f>
        <v>#REF!</v>
      </c>
      <c r="FG57" t="e">
        <f>AND(#REF!,"AAAAAG9fz6I=")</f>
        <v>#REF!</v>
      </c>
      <c r="FH57" t="e">
        <f>AND(#REF!,"AAAAAG9fz6M=")</f>
        <v>#REF!</v>
      </c>
      <c r="FI57" t="e">
        <f>AND(#REF!,"AAAAAG9fz6Q=")</f>
        <v>#REF!</v>
      </c>
      <c r="FJ57" t="e">
        <f>AND(#REF!,"AAAAAG9fz6U=")</f>
        <v>#REF!</v>
      </c>
      <c r="FK57" t="e">
        <f>AND(#REF!,"AAAAAG9fz6Y=")</f>
        <v>#REF!</v>
      </c>
      <c r="FL57" t="e">
        <f>AND(#REF!,"AAAAAG9fz6c=")</f>
        <v>#REF!</v>
      </c>
      <c r="FM57" t="e">
        <f>AND(#REF!,"AAAAAG9fz6g=")</f>
        <v>#REF!</v>
      </c>
      <c r="FN57" t="e">
        <f>AND(#REF!,"AAAAAG9fz6k=")</f>
        <v>#REF!</v>
      </c>
      <c r="FO57" t="e">
        <f>AND(#REF!,"AAAAAG9fz6o=")</f>
        <v>#REF!</v>
      </c>
      <c r="FP57" t="e">
        <f>AND(#REF!,"AAAAAG9fz6s=")</f>
        <v>#REF!</v>
      </c>
      <c r="FQ57" t="e">
        <f>AND(#REF!,"AAAAAG9fz6w=")</f>
        <v>#REF!</v>
      </c>
      <c r="FR57" t="e">
        <f>AND(#REF!,"AAAAAG9fz60=")</f>
        <v>#REF!</v>
      </c>
      <c r="FS57" t="e">
        <f>AND(#REF!,"AAAAAG9fz64=")</f>
        <v>#REF!</v>
      </c>
      <c r="FT57" t="e">
        <f>AND(#REF!,"AAAAAG9fz68=")</f>
        <v>#REF!</v>
      </c>
      <c r="FU57" t="e">
        <f>AND(#REF!,"AAAAAG9fz7A=")</f>
        <v>#REF!</v>
      </c>
      <c r="FV57" t="e">
        <f>AND(#REF!,"AAAAAG9fz7E=")</f>
        <v>#REF!</v>
      </c>
      <c r="FW57" t="e">
        <f>AND(#REF!,"AAAAAG9fz7I=")</f>
        <v>#REF!</v>
      </c>
      <c r="FX57" t="e">
        <f>AND(#REF!,"AAAAAG9fz7M=")</f>
        <v>#REF!</v>
      </c>
      <c r="FY57" t="e">
        <f>AND(#REF!,"AAAAAG9fz7Q=")</f>
        <v>#REF!</v>
      </c>
      <c r="FZ57" t="e">
        <f>AND(#REF!,"AAAAAG9fz7U=")</f>
        <v>#REF!</v>
      </c>
      <c r="GA57" t="e">
        <f>AND(#REF!,"AAAAAG9fz7Y=")</f>
        <v>#REF!</v>
      </c>
      <c r="GB57" t="e">
        <f>AND(#REF!,"AAAAAG9fz7c=")</f>
        <v>#REF!</v>
      </c>
      <c r="GC57" t="e">
        <f>AND(#REF!,"AAAAAG9fz7g=")</f>
        <v>#REF!</v>
      </c>
      <c r="GD57" t="e">
        <f>AND(#REF!,"AAAAAG9fz7k=")</f>
        <v>#REF!</v>
      </c>
      <c r="GE57" t="e">
        <f>AND(#REF!,"AAAAAG9fz7o=")</f>
        <v>#REF!</v>
      </c>
      <c r="GF57" t="e">
        <f>AND(#REF!,"AAAAAG9fz7s=")</f>
        <v>#REF!</v>
      </c>
      <c r="GG57" t="e">
        <f>AND(#REF!,"AAAAAG9fz7w=")</f>
        <v>#REF!</v>
      </c>
      <c r="GH57" t="e">
        <f>AND(#REF!,"AAAAAG9fz70=")</f>
        <v>#REF!</v>
      </c>
      <c r="GI57" t="e">
        <f>AND(#REF!,"AAAAAG9fz74=")</f>
        <v>#REF!</v>
      </c>
      <c r="GJ57" t="e">
        <f>AND(#REF!,"AAAAAG9fz78=")</f>
        <v>#REF!</v>
      </c>
      <c r="GK57" t="e">
        <f>AND(#REF!,"AAAAAG9fz8A=")</f>
        <v>#REF!</v>
      </c>
      <c r="GL57" t="e">
        <f>AND(#REF!,"AAAAAG9fz8E=")</f>
        <v>#REF!</v>
      </c>
      <c r="GM57" t="e">
        <f>AND(#REF!,"AAAAAG9fz8I=")</f>
        <v>#REF!</v>
      </c>
      <c r="GN57" t="e">
        <f>AND(#REF!,"AAAAAG9fz8M=")</f>
        <v>#REF!</v>
      </c>
      <c r="GO57" t="e">
        <f>AND(#REF!,"AAAAAG9fz8Q=")</f>
        <v>#REF!</v>
      </c>
      <c r="GP57" t="e">
        <f>IF(#REF!,"AAAAAG9fz8U=",0)</f>
        <v>#REF!</v>
      </c>
      <c r="GQ57" t="e">
        <f>AND(#REF!,"AAAAAG9fz8Y=")</f>
        <v>#REF!</v>
      </c>
      <c r="GR57" t="e">
        <f>AND(#REF!,"AAAAAG9fz8c=")</f>
        <v>#REF!</v>
      </c>
      <c r="GS57" t="e">
        <f>AND(#REF!,"AAAAAG9fz8g=")</f>
        <v>#REF!</v>
      </c>
      <c r="GT57" t="e">
        <f>AND(#REF!,"AAAAAG9fz8k=")</f>
        <v>#REF!</v>
      </c>
      <c r="GU57" t="e">
        <f>AND(#REF!,"AAAAAG9fz8o=")</f>
        <v>#REF!</v>
      </c>
      <c r="GV57" t="e">
        <f>AND(#REF!,"AAAAAG9fz8s=")</f>
        <v>#REF!</v>
      </c>
      <c r="GW57" t="e">
        <f>AND(#REF!,"AAAAAG9fz8w=")</f>
        <v>#REF!</v>
      </c>
      <c r="GX57" t="e">
        <f>AND(#REF!,"AAAAAG9fz80=")</f>
        <v>#REF!</v>
      </c>
      <c r="GY57" t="e">
        <f>AND(#REF!,"AAAAAG9fz84=")</f>
        <v>#REF!</v>
      </c>
      <c r="GZ57" t="e">
        <f>AND(#REF!,"AAAAAG9fz88=")</f>
        <v>#REF!</v>
      </c>
      <c r="HA57" t="e">
        <f>AND(#REF!,"AAAAAG9fz9A=")</f>
        <v>#REF!</v>
      </c>
      <c r="HB57" t="e">
        <f>AND(#REF!,"AAAAAG9fz9E=")</f>
        <v>#REF!</v>
      </c>
      <c r="HC57" t="e">
        <f>AND(#REF!,"AAAAAG9fz9I=")</f>
        <v>#REF!</v>
      </c>
      <c r="HD57" t="e">
        <f>AND(#REF!,"AAAAAG9fz9M=")</f>
        <v>#REF!</v>
      </c>
      <c r="HE57" t="e">
        <f>AND(#REF!,"AAAAAG9fz9Q=")</f>
        <v>#REF!</v>
      </c>
      <c r="HF57" t="e">
        <f>AND(#REF!,"AAAAAG9fz9U=")</f>
        <v>#REF!</v>
      </c>
      <c r="HG57" t="e">
        <f>AND(#REF!,"AAAAAG9fz9Y=")</f>
        <v>#REF!</v>
      </c>
      <c r="HH57" t="e">
        <f>AND(#REF!,"AAAAAG9fz9c=")</f>
        <v>#REF!</v>
      </c>
      <c r="HI57" t="e">
        <f>AND(#REF!,"AAAAAG9fz9g=")</f>
        <v>#REF!</v>
      </c>
      <c r="HJ57" t="e">
        <f>AND(#REF!,"AAAAAG9fz9k=")</f>
        <v>#REF!</v>
      </c>
      <c r="HK57" t="e">
        <f>AND(#REF!,"AAAAAG9fz9o=")</f>
        <v>#REF!</v>
      </c>
      <c r="HL57" t="e">
        <f>AND(#REF!,"AAAAAG9fz9s=")</f>
        <v>#REF!</v>
      </c>
      <c r="HM57" t="e">
        <f>AND(#REF!,"AAAAAG9fz9w=")</f>
        <v>#REF!</v>
      </c>
      <c r="HN57" t="e">
        <f>AND(#REF!,"AAAAAG9fz90=")</f>
        <v>#REF!</v>
      </c>
      <c r="HO57" t="e">
        <f>AND(#REF!,"AAAAAG9fz94=")</f>
        <v>#REF!</v>
      </c>
      <c r="HP57" t="e">
        <f>AND(#REF!,"AAAAAG9fz98=")</f>
        <v>#REF!</v>
      </c>
      <c r="HQ57" t="e">
        <f>AND(#REF!,"AAAAAG9fz+A=")</f>
        <v>#REF!</v>
      </c>
      <c r="HR57" t="e">
        <f>AND(#REF!,"AAAAAG9fz+E=")</f>
        <v>#REF!</v>
      </c>
      <c r="HS57" t="e">
        <f>AND(#REF!,"AAAAAG9fz+I=")</f>
        <v>#REF!</v>
      </c>
      <c r="HT57" t="e">
        <f>AND(#REF!,"AAAAAG9fz+M=")</f>
        <v>#REF!</v>
      </c>
      <c r="HU57" t="e">
        <f>AND(#REF!,"AAAAAG9fz+Q=")</f>
        <v>#REF!</v>
      </c>
      <c r="HV57" t="e">
        <f>AND(#REF!,"AAAAAG9fz+U=")</f>
        <v>#REF!</v>
      </c>
      <c r="HW57" t="e">
        <f>AND(#REF!,"AAAAAG9fz+Y=")</f>
        <v>#REF!</v>
      </c>
      <c r="HX57" t="e">
        <f>AND(#REF!,"AAAAAG9fz+c=")</f>
        <v>#REF!</v>
      </c>
      <c r="HY57" t="e">
        <f>AND(#REF!,"AAAAAG9fz+g=")</f>
        <v>#REF!</v>
      </c>
      <c r="HZ57" t="e">
        <f>AND(#REF!,"AAAAAG9fz+k=")</f>
        <v>#REF!</v>
      </c>
      <c r="IA57" t="e">
        <f>AND(#REF!,"AAAAAG9fz+o=")</f>
        <v>#REF!</v>
      </c>
      <c r="IB57" t="e">
        <f>AND(#REF!,"AAAAAG9fz+s=")</f>
        <v>#REF!</v>
      </c>
      <c r="IC57" t="e">
        <f>AND(#REF!,"AAAAAG9fz+w=")</f>
        <v>#REF!</v>
      </c>
      <c r="ID57" t="e">
        <f>AND(#REF!,"AAAAAG9fz+0=")</f>
        <v>#REF!</v>
      </c>
      <c r="IE57" t="e">
        <f>AND(#REF!,"AAAAAG9fz+4=")</f>
        <v>#REF!</v>
      </c>
      <c r="IF57" t="e">
        <f>AND(#REF!,"AAAAAG9fz+8=")</f>
        <v>#REF!</v>
      </c>
      <c r="IG57" t="e">
        <f>AND(#REF!,"AAAAAG9fz/A=")</f>
        <v>#REF!</v>
      </c>
      <c r="IH57" t="e">
        <f>AND(#REF!,"AAAAAG9fz/E=")</f>
        <v>#REF!</v>
      </c>
      <c r="II57" t="e">
        <f>AND(#REF!,"AAAAAG9fz/I=")</f>
        <v>#REF!</v>
      </c>
      <c r="IJ57" t="e">
        <f>AND(#REF!,"AAAAAG9fz/M=")</f>
        <v>#REF!</v>
      </c>
      <c r="IK57" t="e">
        <f>AND(#REF!,"AAAAAG9fz/Q=")</f>
        <v>#REF!</v>
      </c>
      <c r="IL57" t="e">
        <f>AND(#REF!,"AAAAAG9fz/U=")</f>
        <v>#REF!</v>
      </c>
      <c r="IM57" t="e">
        <f>AND(#REF!,"AAAAAG9fz/Y=")</f>
        <v>#REF!</v>
      </c>
      <c r="IN57" t="e">
        <f>AND(#REF!,"AAAAAG9fz/c=")</f>
        <v>#REF!</v>
      </c>
      <c r="IO57" t="e">
        <f>AND(#REF!,"AAAAAG9fz/g=")</f>
        <v>#REF!</v>
      </c>
      <c r="IP57" t="e">
        <f>AND(#REF!,"AAAAAG9fz/k=")</f>
        <v>#REF!</v>
      </c>
      <c r="IQ57" t="e">
        <f>AND(#REF!,"AAAAAG9fz/o=")</f>
        <v>#REF!</v>
      </c>
      <c r="IR57" t="e">
        <f>AND(#REF!,"AAAAAG9fz/s=")</f>
        <v>#REF!</v>
      </c>
      <c r="IS57" t="e">
        <f>AND(#REF!,"AAAAAG9fz/w=")</f>
        <v>#REF!</v>
      </c>
      <c r="IT57" t="e">
        <f>AND(#REF!,"AAAAAG9fz/0=")</f>
        <v>#REF!</v>
      </c>
      <c r="IU57" t="e">
        <f>AND(#REF!,"AAAAAG9fz/4=")</f>
        <v>#REF!</v>
      </c>
      <c r="IV57" t="e">
        <f>AND(#REF!,"AAAAAG9fz/8=")</f>
        <v>#REF!</v>
      </c>
    </row>
    <row r="58" spans="1:256">
      <c r="A58" t="e">
        <f>AND(#REF!,"AAAAAGzefwA=")</f>
        <v>#REF!</v>
      </c>
      <c r="B58" t="e">
        <f>AND(#REF!,"AAAAAGzefwE=")</f>
        <v>#REF!</v>
      </c>
      <c r="C58" t="e">
        <f>AND(#REF!,"AAAAAGzefwI=")</f>
        <v>#REF!</v>
      </c>
      <c r="D58" t="e">
        <f>AND(#REF!,"AAAAAGzefwM=")</f>
        <v>#REF!</v>
      </c>
      <c r="E58" t="e">
        <f>AND(#REF!,"AAAAAGzefwQ=")</f>
        <v>#REF!</v>
      </c>
      <c r="F58" t="e">
        <f>AND(#REF!,"AAAAAGzefwU=")</f>
        <v>#REF!</v>
      </c>
      <c r="G58" t="e">
        <f>AND(#REF!,"AAAAAGzefwY=")</f>
        <v>#REF!</v>
      </c>
      <c r="H58" t="e">
        <f>AND(#REF!,"AAAAAGzefwc=")</f>
        <v>#REF!</v>
      </c>
      <c r="I58" t="e">
        <f>AND(#REF!,"AAAAAGzefwg=")</f>
        <v>#REF!</v>
      </c>
      <c r="J58" t="e">
        <f>AND(#REF!,"AAAAAGzefwk=")</f>
        <v>#REF!</v>
      </c>
      <c r="K58" t="e">
        <f>AND(#REF!,"AAAAAGzefwo=")</f>
        <v>#REF!</v>
      </c>
      <c r="L58" t="e">
        <f>AND(#REF!,"AAAAAGzefws=")</f>
        <v>#REF!</v>
      </c>
      <c r="M58" t="e">
        <f>AND(#REF!,"AAAAAGzefww=")</f>
        <v>#REF!</v>
      </c>
      <c r="N58" t="e">
        <f>AND(#REF!,"AAAAAGzefw0=")</f>
        <v>#REF!</v>
      </c>
      <c r="O58" t="e">
        <f>AND(#REF!,"AAAAAGzefw4=")</f>
        <v>#REF!</v>
      </c>
      <c r="P58" t="e">
        <f>AND(#REF!,"AAAAAGzefw8=")</f>
        <v>#REF!</v>
      </c>
      <c r="Q58" t="e">
        <f>AND(#REF!,"AAAAAGzefxA=")</f>
        <v>#REF!</v>
      </c>
      <c r="R58" t="e">
        <f>AND(#REF!,"AAAAAGzefxE=")</f>
        <v>#REF!</v>
      </c>
      <c r="S58" t="e">
        <f>AND(#REF!,"AAAAAGzefxI=")</f>
        <v>#REF!</v>
      </c>
      <c r="T58" t="e">
        <f>AND(#REF!,"AAAAAGzefxM=")</f>
        <v>#REF!</v>
      </c>
      <c r="U58" t="e">
        <f>AND(#REF!,"AAAAAGzefxQ=")</f>
        <v>#REF!</v>
      </c>
      <c r="V58" t="e">
        <f>AND(#REF!,"AAAAAGzefxU=")</f>
        <v>#REF!</v>
      </c>
      <c r="W58" t="e">
        <f>AND(#REF!,"AAAAAGzefxY=")</f>
        <v>#REF!</v>
      </c>
      <c r="X58" t="e">
        <f>AND(#REF!,"AAAAAGzefxc=")</f>
        <v>#REF!</v>
      </c>
      <c r="Y58" t="e">
        <f>AND(#REF!,"AAAAAGzefxg=")</f>
        <v>#REF!</v>
      </c>
      <c r="Z58" t="e">
        <f>AND(#REF!,"AAAAAGzefxk=")</f>
        <v>#REF!</v>
      </c>
      <c r="AA58" t="e">
        <f>AND(#REF!,"AAAAAGzefxo=")</f>
        <v>#REF!</v>
      </c>
      <c r="AB58" t="e">
        <f>AND(#REF!,"AAAAAGzefxs=")</f>
        <v>#REF!</v>
      </c>
      <c r="AC58" t="e">
        <f>AND(#REF!,"AAAAAGzefxw=")</f>
        <v>#REF!</v>
      </c>
      <c r="AD58" t="e">
        <f>AND(#REF!,"AAAAAGzefx0=")</f>
        <v>#REF!</v>
      </c>
      <c r="AE58" t="e">
        <f>AND(#REF!,"AAAAAGzefx4=")</f>
        <v>#REF!</v>
      </c>
      <c r="AF58" t="e">
        <f>AND(#REF!,"AAAAAGzefx8=")</f>
        <v>#REF!</v>
      </c>
      <c r="AG58" t="e">
        <f>AND(#REF!,"AAAAAGzefyA=")</f>
        <v>#REF!</v>
      </c>
      <c r="AH58" t="e">
        <f>AND(#REF!,"AAAAAGzefyE=")</f>
        <v>#REF!</v>
      </c>
      <c r="AI58" t="e">
        <f>AND(#REF!,"AAAAAGzefyI=")</f>
        <v>#REF!</v>
      </c>
      <c r="AJ58" t="e">
        <f>AND(#REF!,"AAAAAGzefyM=")</f>
        <v>#REF!</v>
      </c>
      <c r="AK58" t="e">
        <f>AND(#REF!,"AAAAAGzefyQ=")</f>
        <v>#REF!</v>
      </c>
      <c r="AL58" t="e">
        <f>AND(#REF!,"AAAAAGzefyU=")</f>
        <v>#REF!</v>
      </c>
      <c r="AM58" t="e">
        <f>AND(#REF!,"AAAAAGzefyY=")</f>
        <v>#REF!</v>
      </c>
      <c r="AN58" t="e">
        <f>AND(#REF!,"AAAAAGzefyc=")</f>
        <v>#REF!</v>
      </c>
      <c r="AO58" t="e">
        <f>AND(#REF!,"AAAAAGzefyg=")</f>
        <v>#REF!</v>
      </c>
      <c r="AP58" t="e">
        <f>AND(#REF!,"AAAAAGzefyk=")</f>
        <v>#REF!</v>
      </c>
      <c r="AQ58" t="e">
        <f>AND(#REF!,"AAAAAGzefyo=")</f>
        <v>#REF!</v>
      </c>
      <c r="AR58" t="e">
        <f>AND(#REF!,"AAAAAGzefys=")</f>
        <v>#REF!</v>
      </c>
      <c r="AS58" t="e">
        <f>AND(#REF!,"AAAAAGzefyw=")</f>
        <v>#REF!</v>
      </c>
      <c r="AT58" t="e">
        <f>AND(#REF!,"AAAAAGzefy0=")</f>
        <v>#REF!</v>
      </c>
      <c r="AU58" t="e">
        <f>AND(#REF!,"AAAAAGzefy4=")</f>
        <v>#REF!</v>
      </c>
      <c r="AV58" t="e">
        <f>AND(#REF!,"AAAAAGzefy8=")</f>
        <v>#REF!</v>
      </c>
      <c r="AW58" t="e">
        <f>AND(#REF!,"AAAAAGzefzA=")</f>
        <v>#REF!</v>
      </c>
      <c r="AX58" t="e">
        <f>AND(#REF!,"AAAAAGzefzE=")</f>
        <v>#REF!</v>
      </c>
      <c r="AY58" t="e">
        <f>AND(#REF!,"AAAAAGzefzI=")</f>
        <v>#REF!</v>
      </c>
      <c r="AZ58" t="e">
        <f>AND(#REF!,"AAAAAGzefzM=")</f>
        <v>#REF!</v>
      </c>
      <c r="BA58" t="e">
        <f>AND(#REF!,"AAAAAGzefzQ=")</f>
        <v>#REF!</v>
      </c>
      <c r="BB58" t="e">
        <f>AND(#REF!,"AAAAAGzefzU=")</f>
        <v>#REF!</v>
      </c>
      <c r="BC58" t="e">
        <f>AND(#REF!,"AAAAAGzefzY=")</f>
        <v>#REF!</v>
      </c>
      <c r="BD58" t="e">
        <f>AND(#REF!,"AAAAAGzefzc=")</f>
        <v>#REF!</v>
      </c>
      <c r="BE58" t="e">
        <f>AND(#REF!,"AAAAAGzefzg=")</f>
        <v>#REF!</v>
      </c>
      <c r="BF58" t="e">
        <f>AND(#REF!,"AAAAAGzefzk=")</f>
        <v>#REF!</v>
      </c>
      <c r="BG58" t="e">
        <f>AND(#REF!,"AAAAAGzefzo=")</f>
        <v>#REF!</v>
      </c>
      <c r="BH58" t="e">
        <f>AND(#REF!,"AAAAAGzefzs=")</f>
        <v>#REF!</v>
      </c>
      <c r="BI58" t="e">
        <f>AND(#REF!,"AAAAAGzefzw=")</f>
        <v>#REF!</v>
      </c>
      <c r="BJ58" t="e">
        <f>AND(#REF!,"AAAAAGzefz0=")</f>
        <v>#REF!</v>
      </c>
      <c r="BK58" t="e">
        <f>IF(#REF!,"AAAAAGzefz4=",0)</f>
        <v>#REF!</v>
      </c>
      <c r="BL58" t="e">
        <f>AND(#REF!,"AAAAAGzefz8=")</f>
        <v>#REF!</v>
      </c>
      <c r="BM58" t="e">
        <f>AND(#REF!,"AAAAAGzef0A=")</f>
        <v>#REF!</v>
      </c>
      <c r="BN58" t="e">
        <f>AND(#REF!,"AAAAAGzef0E=")</f>
        <v>#REF!</v>
      </c>
      <c r="BO58" t="e">
        <f>AND(#REF!,"AAAAAGzef0I=")</f>
        <v>#REF!</v>
      </c>
      <c r="BP58" t="e">
        <f>AND(#REF!,"AAAAAGzef0M=")</f>
        <v>#REF!</v>
      </c>
      <c r="BQ58" t="e">
        <f>AND(#REF!,"AAAAAGzef0Q=")</f>
        <v>#REF!</v>
      </c>
      <c r="BR58" t="e">
        <f>AND(#REF!,"AAAAAGzef0U=")</f>
        <v>#REF!</v>
      </c>
      <c r="BS58" t="e">
        <f>AND(#REF!,"AAAAAGzef0Y=")</f>
        <v>#REF!</v>
      </c>
      <c r="BT58" t="e">
        <f>AND(#REF!,"AAAAAGzef0c=")</f>
        <v>#REF!</v>
      </c>
      <c r="BU58" t="e">
        <f>AND(#REF!,"AAAAAGzef0g=")</f>
        <v>#REF!</v>
      </c>
      <c r="BV58" t="e">
        <f>AND(#REF!,"AAAAAGzef0k=")</f>
        <v>#REF!</v>
      </c>
      <c r="BW58" t="e">
        <f>AND(#REF!,"AAAAAGzef0o=")</f>
        <v>#REF!</v>
      </c>
      <c r="BX58" t="e">
        <f>AND(#REF!,"AAAAAGzef0s=")</f>
        <v>#REF!</v>
      </c>
      <c r="BY58" t="e">
        <f>AND(#REF!,"AAAAAGzef0w=")</f>
        <v>#REF!</v>
      </c>
      <c r="BZ58" t="e">
        <f>AND(#REF!,"AAAAAGzef00=")</f>
        <v>#REF!</v>
      </c>
      <c r="CA58" t="e">
        <f>AND(#REF!,"AAAAAGzef04=")</f>
        <v>#REF!</v>
      </c>
      <c r="CB58" t="e">
        <f>AND(#REF!,"AAAAAGzef08=")</f>
        <v>#REF!</v>
      </c>
      <c r="CC58" t="e">
        <f>AND(#REF!,"AAAAAGzef1A=")</f>
        <v>#REF!</v>
      </c>
      <c r="CD58" t="e">
        <f>AND(#REF!,"AAAAAGzef1E=")</f>
        <v>#REF!</v>
      </c>
      <c r="CE58" t="e">
        <f>AND(#REF!,"AAAAAGzef1I=")</f>
        <v>#REF!</v>
      </c>
      <c r="CF58" t="e">
        <f>AND(#REF!,"AAAAAGzef1M=")</f>
        <v>#REF!</v>
      </c>
      <c r="CG58" t="e">
        <f>AND(#REF!,"AAAAAGzef1Q=")</f>
        <v>#REF!</v>
      </c>
      <c r="CH58" t="e">
        <f>AND(#REF!,"AAAAAGzef1U=")</f>
        <v>#REF!</v>
      </c>
      <c r="CI58" t="e">
        <f>AND(#REF!,"AAAAAGzef1Y=")</f>
        <v>#REF!</v>
      </c>
      <c r="CJ58" t="e">
        <f>AND(#REF!,"AAAAAGzef1c=")</f>
        <v>#REF!</v>
      </c>
      <c r="CK58" t="e">
        <f>AND(#REF!,"AAAAAGzef1g=")</f>
        <v>#REF!</v>
      </c>
      <c r="CL58" t="e">
        <f>AND(#REF!,"AAAAAGzef1k=")</f>
        <v>#REF!</v>
      </c>
      <c r="CM58" t="e">
        <f>AND(#REF!,"AAAAAGzef1o=")</f>
        <v>#REF!</v>
      </c>
      <c r="CN58" t="e">
        <f>AND(#REF!,"AAAAAGzef1s=")</f>
        <v>#REF!</v>
      </c>
      <c r="CO58" t="e">
        <f>AND(#REF!,"AAAAAGzef1w=")</f>
        <v>#REF!</v>
      </c>
      <c r="CP58" t="e">
        <f>AND(#REF!,"AAAAAGzef10=")</f>
        <v>#REF!</v>
      </c>
      <c r="CQ58" t="e">
        <f>AND(#REF!,"AAAAAGzef14=")</f>
        <v>#REF!</v>
      </c>
      <c r="CR58" t="e">
        <f>AND(#REF!,"AAAAAGzef18=")</f>
        <v>#REF!</v>
      </c>
      <c r="CS58" t="e">
        <f>AND(#REF!,"AAAAAGzef2A=")</f>
        <v>#REF!</v>
      </c>
      <c r="CT58" t="e">
        <f>AND(#REF!,"AAAAAGzef2E=")</f>
        <v>#REF!</v>
      </c>
      <c r="CU58" t="e">
        <f>AND(#REF!,"AAAAAGzef2I=")</f>
        <v>#REF!</v>
      </c>
      <c r="CV58" t="e">
        <f>AND(#REF!,"AAAAAGzef2M=")</f>
        <v>#REF!</v>
      </c>
      <c r="CW58" t="e">
        <f>AND(#REF!,"AAAAAGzef2Q=")</f>
        <v>#REF!</v>
      </c>
      <c r="CX58" t="e">
        <f>AND(#REF!,"AAAAAGzef2U=")</f>
        <v>#REF!</v>
      </c>
      <c r="CY58" t="e">
        <f>AND(#REF!,"AAAAAGzef2Y=")</f>
        <v>#REF!</v>
      </c>
      <c r="CZ58" t="e">
        <f>AND(#REF!,"AAAAAGzef2c=")</f>
        <v>#REF!</v>
      </c>
      <c r="DA58" t="e">
        <f>AND(#REF!,"AAAAAGzef2g=")</f>
        <v>#REF!</v>
      </c>
      <c r="DB58" t="e">
        <f>AND(#REF!,"AAAAAGzef2k=")</f>
        <v>#REF!</v>
      </c>
      <c r="DC58" t="e">
        <f>AND(#REF!,"AAAAAGzef2o=")</f>
        <v>#REF!</v>
      </c>
      <c r="DD58" t="e">
        <f>AND(#REF!,"AAAAAGzef2s=")</f>
        <v>#REF!</v>
      </c>
      <c r="DE58" t="e">
        <f>AND(#REF!,"AAAAAGzef2w=")</f>
        <v>#REF!</v>
      </c>
      <c r="DF58" t="e">
        <f>AND(#REF!,"AAAAAGzef20=")</f>
        <v>#REF!</v>
      </c>
      <c r="DG58" t="e">
        <f>AND(#REF!,"AAAAAGzef24=")</f>
        <v>#REF!</v>
      </c>
      <c r="DH58" t="e">
        <f>AND(#REF!,"AAAAAGzef28=")</f>
        <v>#REF!</v>
      </c>
      <c r="DI58" t="e">
        <f>AND(#REF!,"AAAAAGzef3A=")</f>
        <v>#REF!</v>
      </c>
      <c r="DJ58" t="e">
        <f>AND(#REF!,"AAAAAGzef3E=")</f>
        <v>#REF!</v>
      </c>
      <c r="DK58" t="e">
        <f>AND(#REF!,"AAAAAGzef3I=")</f>
        <v>#REF!</v>
      </c>
      <c r="DL58" t="e">
        <f>AND(#REF!,"AAAAAGzef3M=")</f>
        <v>#REF!</v>
      </c>
      <c r="DM58" t="e">
        <f>AND(#REF!,"AAAAAGzef3Q=")</f>
        <v>#REF!</v>
      </c>
      <c r="DN58" t="e">
        <f>AND(#REF!,"AAAAAGzef3U=")</f>
        <v>#REF!</v>
      </c>
      <c r="DO58" t="e">
        <f>AND(#REF!,"AAAAAGzef3Y=")</f>
        <v>#REF!</v>
      </c>
      <c r="DP58" t="e">
        <f>AND(#REF!,"AAAAAGzef3c=")</f>
        <v>#REF!</v>
      </c>
      <c r="DQ58" t="e">
        <f>AND(#REF!,"AAAAAGzef3g=")</f>
        <v>#REF!</v>
      </c>
      <c r="DR58" t="e">
        <f>AND(#REF!,"AAAAAGzef3k=")</f>
        <v>#REF!</v>
      </c>
      <c r="DS58" t="e">
        <f>AND(#REF!,"AAAAAGzef3o=")</f>
        <v>#REF!</v>
      </c>
      <c r="DT58" t="e">
        <f>AND(#REF!,"AAAAAGzef3s=")</f>
        <v>#REF!</v>
      </c>
      <c r="DU58" t="e">
        <f>AND(#REF!,"AAAAAGzef3w=")</f>
        <v>#REF!</v>
      </c>
      <c r="DV58" t="e">
        <f>AND(#REF!,"AAAAAGzef30=")</f>
        <v>#REF!</v>
      </c>
      <c r="DW58" t="e">
        <f>AND(#REF!,"AAAAAGzef34=")</f>
        <v>#REF!</v>
      </c>
      <c r="DX58" t="e">
        <f>AND(#REF!,"AAAAAGzef38=")</f>
        <v>#REF!</v>
      </c>
      <c r="DY58" t="e">
        <f>AND(#REF!,"AAAAAGzef4A=")</f>
        <v>#REF!</v>
      </c>
      <c r="DZ58" t="e">
        <f>AND(#REF!,"AAAAAGzef4E=")</f>
        <v>#REF!</v>
      </c>
      <c r="EA58" t="e">
        <f>AND(#REF!,"AAAAAGzef4I=")</f>
        <v>#REF!</v>
      </c>
      <c r="EB58" t="e">
        <f>AND(#REF!,"AAAAAGzef4M=")</f>
        <v>#REF!</v>
      </c>
      <c r="EC58" t="e">
        <f>AND(#REF!,"AAAAAGzef4Q=")</f>
        <v>#REF!</v>
      </c>
      <c r="ED58" t="e">
        <f>AND(#REF!,"AAAAAGzef4U=")</f>
        <v>#REF!</v>
      </c>
      <c r="EE58" t="e">
        <f>AND(#REF!,"AAAAAGzef4Y=")</f>
        <v>#REF!</v>
      </c>
      <c r="EF58" t="e">
        <f>AND(#REF!,"AAAAAGzef4c=")</f>
        <v>#REF!</v>
      </c>
      <c r="EG58" t="e">
        <f>AND(#REF!,"AAAAAGzef4g=")</f>
        <v>#REF!</v>
      </c>
      <c r="EH58" t="e">
        <f>AND(#REF!,"AAAAAGzef4k=")</f>
        <v>#REF!</v>
      </c>
      <c r="EI58" t="e">
        <f>AND(#REF!,"AAAAAGzef4o=")</f>
        <v>#REF!</v>
      </c>
      <c r="EJ58" t="e">
        <f>AND(#REF!,"AAAAAGzef4s=")</f>
        <v>#REF!</v>
      </c>
      <c r="EK58" t="e">
        <f>AND(#REF!,"AAAAAGzef4w=")</f>
        <v>#REF!</v>
      </c>
      <c r="EL58" t="e">
        <f>AND(#REF!,"AAAAAGzef40=")</f>
        <v>#REF!</v>
      </c>
      <c r="EM58" t="e">
        <f>AND(#REF!,"AAAAAGzef44=")</f>
        <v>#REF!</v>
      </c>
      <c r="EN58" t="e">
        <f>AND(#REF!,"AAAAAGzef48=")</f>
        <v>#REF!</v>
      </c>
      <c r="EO58" t="e">
        <f>AND(#REF!,"AAAAAGzef5A=")</f>
        <v>#REF!</v>
      </c>
      <c r="EP58" t="e">
        <f>AND(#REF!,"AAAAAGzef5E=")</f>
        <v>#REF!</v>
      </c>
      <c r="EQ58" t="e">
        <f>AND(#REF!,"AAAAAGzef5I=")</f>
        <v>#REF!</v>
      </c>
      <c r="ER58" t="e">
        <f>AND(#REF!,"AAAAAGzef5M=")</f>
        <v>#REF!</v>
      </c>
      <c r="ES58" t="e">
        <f>AND(#REF!,"AAAAAGzef5Q=")</f>
        <v>#REF!</v>
      </c>
      <c r="ET58" t="e">
        <f>AND(#REF!,"AAAAAGzef5U=")</f>
        <v>#REF!</v>
      </c>
      <c r="EU58" t="e">
        <f>AND(#REF!,"AAAAAGzef5Y=")</f>
        <v>#REF!</v>
      </c>
      <c r="EV58" t="e">
        <f>AND(#REF!,"AAAAAGzef5c=")</f>
        <v>#REF!</v>
      </c>
      <c r="EW58" t="e">
        <f>AND(#REF!,"AAAAAGzef5g=")</f>
        <v>#REF!</v>
      </c>
      <c r="EX58" t="e">
        <f>AND(#REF!,"AAAAAGzef5k=")</f>
        <v>#REF!</v>
      </c>
      <c r="EY58" t="e">
        <f>AND(#REF!,"AAAAAGzef5o=")</f>
        <v>#REF!</v>
      </c>
      <c r="EZ58" t="e">
        <f>AND(#REF!,"AAAAAGzef5s=")</f>
        <v>#REF!</v>
      </c>
      <c r="FA58" t="e">
        <f>AND(#REF!,"AAAAAGzef5w=")</f>
        <v>#REF!</v>
      </c>
      <c r="FB58" t="e">
        <f>AND(#REF!,"AAAAAGzef50=")</f>
        <v>#REF!</v>
      </c>
      <c r="FC58" t="e">
        <f>AND(#REF!,"AAAAAGzef54=")</f>
        <v>#REF!</v>
      </c>
      <c r="FD58" t="e">
        <f>AND(#REF!,"AAAAAGzef58=")</f>
        <v>#REF!</v>
      </c>
      <c r="FE58" t="e">
        <f>AND(#REF!,"AAAAAGzef6A=")</f>
        <v>#REF!</v>
      </c>
      <c r="FF58" t="e">
        <f>AND(#REF!,"AAAAAGzef6E=")</f>
        <v>#REF!</v>
      </c>
      <c r="FG58" t="e">
        <f>AND(#REF!,"AAAAAGzef6I=")</f>
        <v>#REF!</v>
      </c>
      <c r="FH58" t="e">
        <f>AND(#REF!,"AAAAAGzef6M=")</f>
        <v>#REF!</v>
      </c>
      <c r="FI58" t="e">
        <f>AND(#REF!,"AAAAAGzef6Q=")</f>
        <v>#REF!</v>
      </c>
      <c r="FJ58" t="e">
        <f>AND(#REF!,"AAAAAGzef6U=")</f>
        <v>#REF!</v>
      </c>
      <c r="FK58" t="e">
        <f>AND(#REF!,"AAAAAGzef6Y=")</f>
        <v>#REF!</v>
      </c>
      <c r="FL58" t="e">
        <f>AND(#REF!,"AAAAAGzef6c=")</f>
        <v>#REF!</v>
      </c>
      <c r="FM58" t="e">
        <f>AND(#REF!,"AAAAAGzef6g=")</f>
        <v>#REF!</v>
      </c>
      <c r="FN58" t="e">
        <f>AND(#REF!,"AAAAAGzef6k=")</f>
        <v>#REF!</v>
      </c>
      <c r="FO58" t="e">
        <f>AND(#REF!,"AAAAAGzef6o=")</f>
        <v>#REF!</v>
      </c>
      <c r="FP58" t="e">
        <f>AND(#REF!,"AAAAAGzef6s=")</f>
        <v>#REF!</v>
      </c>
      <c r="FQ58" t="e">
        <f>AND(#REF!,"AAAAAGzef6w=")</f>
        <v>#REF!</v>
      </c>
      <c r="FR58" t="e">
        <f>AND(#REF!,"AAAAAGzef60=")</f>
        <v>#REF!</v>
      </c>
      <c r="FS58" t="e">
        <f>AND(#REF!,"AAAAAGzef64=")</f>
        <v>#REF!</v>
      </c>
      <c r="FT58" t="e">
        <f>AND(#REF!,"AAAAAGzef68=")</f>
        <v>#REF!</v>
      </c>
      <c r="FU58" t="e">
        <f>AND(#REF!,"AAAAAGzef7A=")</f>
        <v>#REF!</v>
      </c>
      <c r="FV58" t="e">
        <f>AND(#REF!,"AAAAAGzef7E=")</f>
        <v>#REF!</v>
      </c>
      <c r="FW58" t="e">
        <f>AND(#REF!,"AAAAAGzef7I=")</f>
        <v>#REF!</v>
      </c>
      <c r="FX58" t="e">
        <f>AND(#REF!,"AAAAAGzef7M=")</f>
        <v>#REF!</v>
      </c>
      <c r="FY58" t="e">
        <f>AND(#REF!,"AAAAAGzef7Q=")</f>
        <v>#REF!</v>
      </c>
      <c r="FZ58" t="e">
        <f>AND(#REF!,"AAAAAGzef7U=")</f>
        <v>#REF!</v>
      </c>
      <c r="GA58" t="e">
        <f>AND(#REF!,"AAAAAGzef7Y=")</f>
        <v>#REF!</v>
      </c>
      <c r="GB58" t="e">
        <f>IF(#REF!,"AAAAAGzef7c=",0)</f>
        <v>#REF!</v>
      </c>
      <c r="GC58" t="e">
        <f>AND(#REF!,"AAAAAGzef7g=")</f>
        <v>#REF!</v>
      </c>
      <c r="GD58" t="e">
        <f>AND(#REF!,"AAAAAGzef7k=")</f>
        <v>#REF!</v>
      </c>
      <c r="GE58" t="e">
        <f>AND(#REF!,"AAAAAGzef7o=")</f>
        <v>#REF!</v>
      </c>
      <c r="GF58" t="e">
        <f>AND(#REF!,"AAAAAGzef7s=")</f>
        <v>#REF!</v>
      </c>
      <c r="GG58" t="e">
        <f>AND(#REF!,"AAAAAGzef7w=")</f>
        <v>#REF!</v>
      </c>
      <c r="GH58" t="e">
        <f>AND(#REF!,"AAAAAGzef70=")</f>
        <v>#REF!</v>
      </c>
      <c r="GI58" t="e">
        <f>AND(#REF!,"AAAAAGzef74=")</f>
        <v>#REF!</v>
      </c>
      <c r="GJ58" t="e">
        <f>AND(#REF!,"AAAAAGzef78=")</f>
        <v>#REF!</v>
      </c>
      <c r="GK58" t="e">
        <f>AND(#REF!,"AAAAAGzef8A=")</f>
        <v>#REF!</v>
      </c>
      <c r="GL58" t="e">
        <f>AND(#REF!,"AAAAAGzef8E=")</f>
        <v>#REF!</v>
      </c>
      <c r="GM58" t="e">
        <f>AND(#REF!,"AAAAAGzef8I=")</f>
        <v>#REF!</v>
      </c>
      <c r="GN58" t="e">
        <f>AND(#REF!,"AAAAAGzef8M=")</f>
        <v>#REF!</v>
      </c>
      <c r="GO58" t="e">
        <f>AND(#REF!,"AAAAAGzef8Q=")</f>
        <v>#REF!</v>
      </c>
      <c r="GP58" t="e">
        <f>AND(#REF!,"AAAAAGzef8U=")</f>
        <v>#REF!</v>
      </c>
      <c r="GQ58" t="e">
        <f>AND(#REF!,"AAAAAGzef8Y=")</f>
        <v>#REF!</v>
      </c>
      <c r="GR58" t="e">
        <f>AND(#REF!,"AAAAAGzef8c=")</f>
        <v>#REF!</v>
      </c>
      <c r="GS58" t="e">
        <f>AND(#REF!,"AAAAAGzef8g=")</f>
        <v>#REF!</v>
      </c>
      <c r="GT58" t="e">
        <f>AND(#REF!,"AAAAAGzef8k=")</f>
        <v>#REF!</v>
      </c>
      <c r="GU58" t="e">
        <f>AND(#REF!,"AAAAAGzef8o=")</f>
        <v>#REF!</v>
      </c>
      <c r="GV58" t="e">
        <f>AND(#REF!,"AAAAAGzef8s=")</f>
        <v>#REF!</v>
      </c>
      <c r="GW58" t="e">
        <f>AND(#REF!,"AAAAAGzef8w=")</f>
        <v>#REF!</v>
      </c>
      <c r="GX58" t="e">
        <f>AND(#REF!,"AAAAAGzef80=")</f>
        <v>#REF!</v>
      </c>
      <c r="GY58" t="e">
        <f>AND(#REF!,"AAAAAGzef84=")</f>
        <v>#REF!</v>
      </c>
      <c r="GZ58" t="e">
        <f>AND(#REF!,"AAAAAGzef88=")</f>
        <v>#REF!</v>
      </c>
      <c r="HA58" t="e">
        <f>AND(#REF!,"AAAAAGzef9A=")</f>
        <v>#REF!</v>
      </c>
      <c r="HB58" t="e">
        <f>AND(#REF!,"AAAAAGzef9E=")</f>
        <v>#REF!</v>
      </c>
      <c r="HC58" t="e">
        <f>AND(#REF!,"AAAAAGzef9I=")</f>
        <v>#REF!</v>
      </c>
      <c r="HD58" t="e">
        <f>AND(#REF!,"AAAAAGzef9M=")</f>
        <v>#REF!</v>
      </c>
      <c r="HE58" t="e">
        <f>AND(#REF!,"AAAAAGzef9Q=")</f>
        <v>#REF!</v>
      </c>
      <c r="HF58" t="e">
        <f>AND(#REF!,"AAAAAGzef9U=")</f>
        <v>#REF!</v>
      </c>
      <c r="HG58" t="e">
        <f>AND(#REF!,"AAAAAGzef9Y=")</f>
        <v>#REF!</v>
      </c>
      <c r="HH58" t="e">
        <f>AND(#REF!,"AAAAAGzef9c=")</f>
        <v>#REF!</v>
      </c>
      <c r="HI58" t="e">
        <f>AND(#REF!,"AAAAAGzef9g=")</f>
        <v>#REF!</v>
      </c>
      <c r="HJ58" t="e">
        <f>AND(#REF!,"AAAAAGzef9k=")</f>
        <v>#REF!</v>
      </c>
      <c r="HK58" t="e">
        <f>AND(#REF!,"AAAAAGzef9o=")</f>
        <v>#REF!</v>
      </c>
      <c r="HL58" t="e">
        <f>AND(#REF!,"AAAAAGzef9s=")</f>
        <v>#REF!</v>
      </c>
      <c r="HM58" t="e">
        <f>AND(#REF!,"AAAAAGzef9w=")</f>
        <v>#REF!</v>
      </c>
      <c r="HN58" t="e">
        <f>AND(#REF!,"AAAAAGzef90=")</f>
        <v>#REF!</v>
      </c>
      <c r="HO58" t="e">
        <f>AND(#REF!,"AAAAAGzef94=")</f>
        <v>#REF!</v>
      </c>
      <c r="HP58" t="e">
        <f>AND(#REF!,"AAAAAGzef98=")</f>
        <v>#REF!</v>
      </c>
      <c r="HQ58" t="e">
        <f>AND(#REF!,"AAAAAGzef+A=")</f>
        <v>#REF!</v>
      </c>
      <c r="HR58" t="e">
        <f>AND(#REF!,"AAAAAGzef+E=")</f>
        <v>#REF!</v>
      </c>
      <c r="HS58" t="e">
        <f>AND(#REF!,"AAAAAGzef+I=")</f>
        <v>#REF!</v>
      </c>
      <c r="HT58" t="e">
        <f>AND(#REF!,"AAAAAGzef+M=")</f>
        <v>#REF!</v>
      </c>
      <c r="HU58" t="e">
        <f>AND(#REF!,"AAAAAGzef+Q=")</f>
        <v>#REF!</v>
      </c>
      <c r="HV58" t="e">
        <f>AND(#REF!,"AAAAAGzef+U=")</f>
        <v>#REF!</v>
      </c>
      <c r="HW58" t="e">
        <f>AND(#REF!,"AAAAAGzef+Y=")</f>
        <v>#REF!</v>
      </c>
      <c r="HX58" t="e">
        <f>AND(#REF!,"AAAAAGzef+c=")</f>
        <v>#REF!</v>
      </c>
      <c r="HY58" t="e">
        <f>AND(#REF!,"AAAAAGzef+g=")</f>
        <v>#REF!</v>
      </c>
      <c r="HZ58" t="e">
        <f>AND(#REF!,"AAAAAGzef+k=")</f>
        <v>#REF!</v>
      </c>
      <c r="IA58" t="e">
        <f>AND(#REF!,"AAAAAGzef+o=")</f>
        <v>#REF!</v>
      </c>
      <c r="IB58" t="e">
        <f>AND(#REF!,"AAAAAGzef+s=")</f>
        <v>#REF!</v>
      </c>
      <c r="IC58" t="e">
        <f>AND(#REF!,"AAAAAGzef+w=")</f>
        <v>#REF!</v>
      </c>
      <c r="ID58" t="e">
        <f>AND(#REF!,"AAAAAGzef+0=")</f>
        <v>#REF!</v>
      </c>
      <c r="IE58" t="e">
        <f>AND(#REF!,"AAAAAGzef+4=")</f>
        <v>#REF!</v>
      </c>
      <c r="IF58" t="e">
        <f>AND(#REF!,"AAAAAGzef+8=")</f>
        <v>#REF!</v>
      </c>
      <c r="IG58" t="e">
        <f>AND(#REF!,"AAAAAGzef/A=")</f>
        <v>#REF!</v>
      </c>
      <c r="IH58" t="e">
        <f>AND(#REF!,"AAAAAGzef/E=")</f>
        <v>#REF!</v>
      </c>
      <c r="II58" t="e">
        <f>AND(#REF!,"AAAAAGzef/I=")</f>
        <v>#REF!</v>
      </c>
      <c r="IJ58" t="e">
        <f>AND(#REF!,"AAAAAGzef/M=")</f>
        <v>#REF!</v>
      </c>
      <c r="IK58" t="e">
        <f>AND(#REF!,"AAAAAGzef/Q=")</f>
        <v>#REF!</v>
      </c>
      <c r="IL58" t="e">
        <f>AND(#REF!,"AAAAAGzef/U=")</f>
        <v>#REF!</v>
      </c>
      <c r="IM58" t="e">
        <f>AND(#REF!,"AAAAAGzef/Y=")</f>
        <v>#REF!</v>
      </c>
      <c r="IN58" t="e">
        <f>AND(#REF!,"AAAAAGzef/c=")</f>
        <v>#REF!</v>
      </c>
      <c r="IO58" t="e">
        <f>AND(#REF!,"AAAAAGzef/g=")</f>
        <v>#REF!</v>
      </c>
      <c r="IP58" t="e">
        <f>AND(#REF!,"AAAAAGzef/k=")</f>
        <v>#REF!</v>
      </c>
      <c r="IQ58" t="e">
        <f>AND(#REF!,"AAAAAGzef/o=")</f>
        <v>#REF!</v>
      </c>
      <c r="IR58" t="e">
        <f>AND(#REF!,"AAAAAGzef/s=")</f>
        <v>#REF!</v>
      </c>
      <c r="IS58" t="e">
        <f>AND(#REF!,"AAAAAGzef/w=")</f>
        <v>#REF!</v>
      </c>
      <c r="IT58" t="e">
        <f>AND(#REF!,"AAAAAGzef/0=")</f>
        <v>#REF!</v>
      </c>
      <c r="IU58" t="e">
        <f>AND(#REF!,"AAAAAGzef/4=")</f>
        <v>#REF!</v>
      </c>
      <c r="IV58" t="e">
        <f>AND(#REF!,"AAAAAGzef/8=")</f>
        <v>#REF!</v>
      </c>
    </row>
    <row r="59" spans="1:256">
      <c r="A59" t="e">
        <f>AND(#REF!,"AAAAAC73rwA=")</f>
        <v>#REF!</v>
      </c>
      <c r="B59" t="e">
        <f>AND(#REF!,"AAAAAC73rwE=")</f>
        <v>#REF!</v>
      </c>
      <c r="C59" t="e">
        <f>AND(#REF!,"AAAAAC73rwI=")</f>
        <v>#REF!</v>
      </c>
      <c r="D59" t="e">
        <f>AND(#REF!,"AAAAAC73rwM=")</f>
        <v>#REF!</v>
      </c>
      <c r="E59" t="e">
        <f>AND(#REF!,"AAAAAC73rwQ=")</f>
        <v>#REF!</v>
      </c>
      <c r="F59" t="e">
        <f>AND(#REF!,"AAAAAC73rwU=")</f>
        <v>#REF!</v>
      </c>
      <c r="G59" t="e">
        <f>AND(#REF!,"AAAAAC73rwY=")</f>
        <v>#REF!</v>
      </c>
      <c r="H59" t="e">
        <f>AND(#REF!,"AAAAAC73rwc=")</f>
        <v>#REF!</v>
      </c>
      <c r="I59" t="e">
        <f>AND(#REF!,"AAAAAC73rwg=")</f>
        <v>#REF!</v>
      </c>
      <c r="J59" t="e">
        <f>AND(#REF!,"AAAAAC73rwk=")</f>
        <v>#REF!</v>
      </c>
      <c r="K59" t="e">
        <f>AND(#REF!,"AAAAAC73rwo=")</f>
        <v>#REF!</v>
      </c>
      <c r="L59" t="e">
        <f>AND(#REF!,"AAAAAC73rws=")</f>
        <v>#REF!</v>
      </c>
      <c r="M59" t="e">
        <f>AND(#REF!,"AAAAAC73rww=")</f>
        <v>#REF!</v>
      </c>
      <c r="N59" t="e">
        <f>AND(#REF!,"AAAAAC73rw0=")</f>
        <v>#REF!</v>
      </c>
      <c r="O59" t="e">
        <f>AND(#REF!,"AAAAAC73rw4=")</f>
        <v>#REF!</v>
      </c>
      <c r="P59" t="e">
        <f>AND(#REF!,"AAAAAC73rw8=")</f>
        <v>#REF!</v>
      </c>
      <c r="Q59" t="e">
        <f>AND(#REF!,"AAAAAC73rxA=")</f>
        <v>#REF!</v>
      </c>
      <c r="R59" t="e">
        <f>AND(#REF!,"AAAAAC73rxE=")</f>
        <v>#REF!</v>
      </c>
      <c r="S59" t="e">
        <f>AND(#REF!,"AAAAAC73rxI=")</f>
        <v>#REF!</v>
      </c>
      <c r="T59" t="e">
        <f>AND(#REF!,"AAAAAC73rxM=")</f>
        <v>#REF!</v>
      </c>
      <c r="U59" t="e">
        <f>AND(#REF!,"AAAAAC73rxQ=")</f>
        <v>#REF!</v>
      </c>
      <c r="V59" t="e">
        <f>AND(#REF!,"AAAAAC73rxU=")</f>
        <v>#REF!</v>
      </c>
      <c r="W59" t="e">
        <f>AND(#REF!,"AAAAAC73rxY=")</f>
        <v>#REF!</v>
      </c>
      <c r="X59" t="e">
        <f>AND(#REF!,"AAAAAC73rxc=")</f>
        <v>#REF!</v>
      </c>
      <c r="Y59" t="e">
        <f>AND(#REF!,"AAAAAC73rxg=")</f>
        <v>#REF!</v>
      </c>
      <c r="Z59" t="e">
        <f>AND(#REF!,"AAAAAC73rxk=")</f>
        <v>#REF!</v>
      </c>
      <c r="AA59" t="e">
        <f>AND(#REF!,"AAAAAC73rxo=")</f>
        <v>#REF!</v>
      </c>
      <c r="AB59" t="e">
        <f>AND(#REF!,"AAAAAC73rxs=")</f>
        <v>#REF!</v>
      </c>
      <c r="AC59" t="e">
        <f>AND(#REF!,"AAAAAC73rxw=")</f>
        <v>#REF!</v>
      </c>
      <c r="AD59" t="e">
        <f>AND(#REF!,"AAAAAC73rx0=")</f>
        <v>#REF!</v>
      </c>
      <c r="AE59" t="e">
        <f>AND(#REF!,"AAAAAC73rx4=")</f>
        <v>#REF!</v>
      </c>
      <c r="AF59" t="e">
        <f>AND(#REF!,"AAAAAC73rx8=")</f>
        <v>#REF!</v>
      </c>
      <c r="AG59" t="e">
        <f>AND(#REF!,"AAAAAC73ryA=")</f>
        <v>#REF!</v>
      </c>
      <c r="AH59" t="e">
        <f>AND(#REF!,"AAAAAC73ryE=")</f>
        <v>#REF!</v>
      </c>
      <c r="AI59" t="e">
        <f>AND(#REF!,"AAAAAC73ryI=")</f>
        <v>#REF!</v>
      </c>
      <c r="AJ59" t="e">
        <f>AND(#REF!,"AAAAAC73ryM=")</f>
        <v>#REF!</v>
      </c>
      <c r="AK59" t="e">
        <f>AND(#REF!,"AAAAAC73ryQ=")</f>
        <v>#REF!</v>
      </c>
      <c r="AL59" t="e">
        <f>AND(#REF!,"AAAAAC73ryU=")</f>
        <v>#REF!</v>
      </c>
      <c r="AM59" t="e">
        <f>AND(#REF!,"AAAAAC73ryY=")</f>
        <v>#REF!</v>
      </c>
      <c r="AN59" t="e">
        <f>AND(#REF!,"AAAAAC73ryc=")</f>
        <v>#REF!</v>
      </c>
      <c r="AO59" t="e">
        <f>AND(#REF!,"AAAAAC73ryg=")</f>
        <v>#REF!</v>
      </c>
      <c r="AP59" t="e">
        <f>AND(#REF!,"AAAAAC73ryk=")</f>
        <v>#REF!</v>
      </c>
      <c r="AQ59" t="e">
        <f>AND(#REF!,"AAAAAC73ryo=")</f>
        <v>#REF!</v>
      </c>
      <c r="AR59" t="e">
        <f>AND(#REF!,"AAAAAC73rys=")</f>
        <v>#REF!</v>
      </c>
      <c r="AS59" t="e">
        <f>AND(#REF!,"AAAAAC73ryw=")</f>
        <v>#REF!</v>
      </c>
      <c r="AT59" t="e">
        <f>AND(#REF!,"AAAAAC73ry0=")</f>
        <v>#REF!</v>
      </c>
      <c r="AU59" t="e">
        <f>AND(#REF!,"AAAAAC73ry4=")</f>
        <v>#REF!</v>
      </c>
      <c r="AV59" t="e">
        <f>AND(#REF!,"AAAAAC73ry8=")</f>
        <v>#REF!</v>
      </c>
      <c r="AW59" t="e">
        <f>IF(#REF!,"AAAAAC73rzA=",0)</f>
        <v>#REF!</v>
      </c>
      <c r="AX59" t="e">
        <f>AND(#REF!,"AAAAAC73rzE=")</f>
        <v>#REF!</v>
      </c>
      <c r="AY59" t="e">
        <f>AND(#REF!,"AAAAAC73rzI=")</f>
        <v>#REF!</v>
      </c>
      <c r="AZ59" t="e">
        <f>AND(#REF!,"AAAAAC73rzM=")</f>
        <v>#REF!</v>
      </c>
      <c r="BA59" t="e">
        <f>AND(#REF!,"AAAAAC73rzQ=")</f>
        <v>#REF!</v>
      </c>
      <c r="BB59" t="e">
        <f>AND(#REF!,"AAAAAC73rzU=")</f>
        <v>#REF!</v>
      </c>
      <c r="BC59" t="e">
        <f>AND(#REF!,"AAAAAC73rzY=")</f>
        <v>#REF!</v>
      </c>
      <c r="BD59" t="e">
        <f>AND(#REF!,"AAAAAC73rzc=")</f>
        <v>#REF!</v>
      </c>
      <c r="BE59" t="e">
        <f>AND(#REF!,"AAAAAC73rzg=")</f>
        <v>#REF!</v>
      </c>
      <c r="BF59" t="e">
        <f>AND(#REF!,"AAAAAC73rzk=")</f>
        <v>#REF!</v>
      </c>
      <c r="BG59" t="e">
        <f>AND(#REF!,"AAAAAC73rzo=")</f>
        <v>#REF!</v>
      </c>
      <c r="BH59" t="e">
        <f>AND(#REF!,"AAAAAC73rzs=")</f>
        <v>#REF!</v>
      </c>
      <c r="BI59" t="e">
        <f>AND(#REF!,"AAAAAC73rzw=")</f>
        <v>#REF!</v>
      </c>
      <c r="BJ59" t="e">
        <f>AND(#REF!,"AAAAAC73rz0=")</f>
        <v>#REF!</v>
      </c>
      <c r="BK59" t="e">
        <f>AND(#REF!,"AAAAAC73rz4=")</f>
        <v>#REF!</v>
      </c>
      <c r="BL59" t="e">
        <f>AND(#REF!,"AAAAAC73rz8=")</f>
        <v>#REF!</v>
      </c>
      <c r="BM59" t="e">
        <f>AND(#REF!,"AAAAAC73r0A=")</f>
        <v>#REF!</v>
      </c>
      <c r="BN59" t="e">
        <f>AND(#REF!,"AAAAAC73r0E=")</f>
        <v>#REF!</v>
      </c>
      <c r="BO59" t="e">
        <f>AND(#REF!,"AAAAAC73r0I=")</f>
        <v>#REF!</v>
      </c>
      <c r="BP59" t="e">
        <f>AND(#REF!,"AAAAAC73r0M=")</f>
        <v>#REF!</v>
      </c>
      <c r="BQ59" t="e">
        <f>AND(#REF!,"AAAAAC73r0Q=")</f>
        <v>#REF!</v>
      </c>
      <c r="BR59" t="e">
        <f>AND(#REF!,"AAAAAC73r0U=")</f>
        <v>#REF!</v>
      </c>
      <c r="BS59" t="e">
        <f>AND(#REF!,"AAAAAC73r0Y=")</f>
        <v>#REF!</v>
      </c>
      <c r="BT59" t="e">
        <f>AND(#REF!,"AAAAAC73r0c=")</f>
        <v>#REF!</v>
      </c>
      <c r="BU59" t="e">
        <f>AND(#REF!,"AAAAAC73r0g=")</f>
        <v>#REF!</v>
      </c>
      <c r="BV59" t="e">
        <f>AND(#REF!,"AAAAAC73r0k=")</f>
        <v>#REF!</v>
      </c>
      <c r="BW59" t="e">
        <f>AND(#REF!,"AAAAAC73r0o=")</f>
        <v>#REF!</v>
      </c>
      <c r="BX59" t="e">
        <f>AND(#REF!,"AAAAAC73r0s=")</f>
        <v>#REF!</v>
      </c>
      <c r="BY59" t="e">
        <f>AND(#REF!,"AAAAAC73r0w=")</f>
        <v>#REF!</v>
      </c>
      <c r="BZ59" t="e">
        <f>AND(#REF!,"AAAAAC73r00=")</f>
        <v>#REF!</v>
      </c>
      <c r="CA59" t="e">
        <f>AND(#REF!,"AAAAAC73r04=")</f>
        <v>#REF!</v>
      </c>
      <c r="CB59" t="e">
        <f>AND(#REF!,"AAAAAC73r08=")</f>
        <v>#REF!</v>
      </c>
      <c r="CC59" t="e">
        <f>AND(#REF!,"AAAAAC73r1A=")</f>
        <v>#REF!</v>
      </c>
      <c r="CD59" t="e">
        <f>AND(#REF!,"AAAAAC73r1E=")</f>
        <v>#REF!</v>
      </c>
      <c r="CE59" t="e">
        <f>AND(#REF!,"AAAAAC73r1I=")</f>
        <v>#REF!</v>
      </c>
      <c r="CF59" t="e">
        <f>AND(#REF!,"AAAAAC73r1M=")</f>
        <v>#REF!</v>
      </c>
      <c r="CG59" t="e">
        <f>AND(#REF!,"AAAAAC73r1Q=")</f>
        <v>#REF!</v>
      </c>
      <c r="CH59" t="e">
        <f>AND(#REF!,"AAAAAC73r1U=")</f>
        <v>#REF!</v>
      </c>
      <c r="CI59" t="e">
        <f>AND(#REF!,"AAAAAC73r1Y=")</f>
        <v>#REF!</v>
      </c>
      <c r="CJ59" t="e">
        <f>AND(#REF!,"AAAAAC73r1c=")</f>
        <v>#REF!</v>
      </c>
      <c r="CK59" t="e">
        <f>AND(#REF!,"AAAAAC73r1g=")</f>
        <v>#REF!</v>
      </c>
      <c r="CL59" t="e">
        <f>AND(#REF!,"AAAAAC73r1k=")</f>
        <v>#REF!</v>
      </c>
      <c r="CM59" t="e">
        <f>AND(#REF!,"AAAAAC73r1o=")</f>
        <v>#REF!</v>
      </c>
      <c r="CN59" t="e">
        <f>AND(#REF!,"AAAAAC73r1s=")</f>
        <v>#REF!</v>
      </c>
      <c r="CO59" t="e">
        <f>AND(#REF!,"AAAAAC73r1w=")</f>
        <v>#REF!</v>
      </c>
      <c r="CP59" t="e">
        <f>AND(#REF!,"AAAAAC73r10=")</f>
        <v>#REF!</v>
      </c>
      <c r="CQ59" t="e">
        <f>AND(#REF!,"AAAAAC73r14=")</f>
        <v>#REF!</v>
      </c>
      <c r="CR59" t="e">
        <f>AND(#REF!,"AAAAAC73r18=")</f>
        <v>#REF!</v>
      </c>
      <c r="CS59" t="e">
        <f>AND(#REF!,"AAAAAC73r2A=")</f>
        <v>#REF!</v>
      </c>
      <c r="CT59" t="e">
        <f>AND(#REF!,"AAAAAC73r2E=")</f>
        <v>#REF!</v>
      </c>
      <c r="CU59" t="e">
        <f>AND(#REF!,"AAAAAC73r2I=")</f>
        <v>#REF!</v>
      </c>
      <c r="CV59" t="e">
        <f>AND(#REF!,"AAAAAC73r2M=")</f>
        <v>#REF!</v>
      </c>
      <c r="CW59" t="e">
        <f>AND(#REF!,"AAAAAC73r2Q=")</f>
        <v>#REF!</v>
      </c>
      <c r="CX59" t="e">
        <f>AND(#REF!,"AAAAAC73r2U=")</f>
        <v>#REF!</v>
      </c>
      <c r="CY59" t="e">
        <f>AND(#REF!,"AAAAAC73r2Y=")</f>
        <v>#REF!</v>
      </c>
      <c r="CZ59" t="e">
        <f>AND(#REF!,"AAAAAC73r2c=")</f>
        <v>#REF!</v>
      </c>
      <c r="DA59" t="e">
        <f>AND(#REF!,"AAAAAC73r2g=")</f>
        <v>#REF!</v>
      </c>
      <c r="DB59" t="e">
        <f>AND(#REF!,"AAAAAC73r2k=")</f>
        <v>#REF!</v>
      </c>
      <c r="DC59" t="e">
        <f>AND(#REF!,"AAAAAC73r2o=")</f>
        <v>#REF!</v>
      </c>
      <c r="DD59" t="e">
        <f>AND(#REF!,"AAAAAC73r2s=")</f>
        <v>#REF!</v>
      </c>
      <c r="DE59" t="e">
        <f>AND(#REF!,"AAAAAC73r2w=")</f>
        <v>#REF!</v>
      </c>
      <c r="DF59" t="e">
        <f>AND(#REF!,"AAAAAC73r20=")</f>
        <v>#REF!</v>
      </c>
      <c r="DG59" t="e">
        <f>AND(#REF!,"AAAAAC73r24=")</f>
        <v>#REF!</v>
      </c>
      <c r="DH59" t="e">
        <f>AND(#REF!,"AAAAAC73r28=")</f>
        <v>#REF!</v>
      </c>
      <c r="DI59" t="e">
        <f>AND(#REF!,"AAAAAC73r3A=")</f>
        <v>#REF!</v>
      </c>
      <c r="DJ59" t="e">
        <f>AND(#REF!,"AAAAAC73r3E=")</f>
        <v>#REF!</v>
      </c>
      <c r="DK59" t="e">
        <f>AND(#REF!,"AAAAAC73r3I=")</f>
        <v>#REF!</v>
      </c>
      <c r="DL59" t="e">
        <f>AND(#REF!,"AAAAAC73r3M=")</f>
        <v>#REF!</v>
      </c>
      <c r="DM59" t="e">
        <f>AND(#REF!,"AAAAAC73r3Q=")</f>
        <v>#REF!</v>
      </c>
      <c r="DN59" t="e">
        <f>AND(#REF!,"AAAAAC73r3U=")</f>
        <v>#REF!</v>
      </c>
      <c r="DO59" t="e">
        <f>AND(#REF!,"AAAAAC73r3Y=")</f>
        <v>#REF!</v>
      </c>
      <c r="DP59" t="e">
        <f>AND(#REF!,"AAAAAC73r3c=")</f>
        <v>#REF!</v>
      </c>
      <c r="DQ59" t="e">
        <f>AND(#REF!,"AAAAAC73r3g=")</f>
        <v>#REF!</v>
      </c>
      <c r="DR59" t="e">
        <f>AND(#REF!,"AAAAAC73r3k=")</f>
        <v>#REF!</v>
      </c>
      <c r="DS59" t="e">
        <f>AND(#REF!,"AAAAAC73r3o=")</f>
        <v>#REF!</v>
      </c>
      <c r="DT59" t="e">
        <f>AND(#REF!,"AAAAAC73r3s=")</f>
        <v>#REF!</v>
      </c>
      <c r="DU59" t="e">
        <f>AND(#REF!,"AAAAAC73r3w=")</f>
        <v>#REF!</v>
      </c>
      <c r="DV59" t="e">
        <f>AND(#REF!,"AAAAAC73r30=")</f>
        <v>#REF!</v>
      </c>
      <c r="DW59" t="e">
        <f>AND(#REF!,"AAAAAC73r34=")</f>
        <v>#REF!</v>
      </c>
      <c r="DX59" t="e">
        <f>AND(#REF!,"AAAAAC73r38=")</f>
        <v>#REF!</v>
      </c>
      <c r="DY59" t="e">
        <f>AND(#REF!,"AAAAAC73r4A=")</f>
        <v>#REF!</v>
      </c>
      <c r="DZ59" t="e">
        <f>AND(#REF!,"AAAAAC73r4E=")</f>
        <v>#REF!</v>
      </c>
      <c r="EA59" t="e">
        <f>AND(#REF!,"AAAAAC73r4I=")</f>
        <v>#REF!</v>
      </c>
      <c r="EB59" t="e">
        <f>AND(#REF!,"AAAAAC73r4M=")</f>
        <v>#REF!</v>
      </c>
      <c r="EC59" t="e">
        <f>AND(#REF!,"AAAAAC73r4Q=")</f>
        <v>#REF!</v>
      </c>
      <c r="ED59" t="e">
        <f>AND(#REF!,"AAAAAC73r4U=")</f>
        <v>#REF!</v>
      </c>
      <c r="EE59" t="e">
        <f>AND(#REF!,"AAAAAC73r4Y=")</f>
        <v>#REF!</v>
      </c>
      <c r="EF59" t="e">
        <f>AND(#REF!,"AAAAAC73r4c=")</f>
        <v>#REF!</v>
      </c>
      <c r="EG59" t="e">
        <f>AND(#REF!,"AAAAAC73r4g=")</f>
        <v>#REF!</v>
      </c>
      <c r="EH59" t="e">
        <f>AND(#REF!,"AAAAAC73r4k=")</f>
        <v>#REF!</v>
      </c>
      <c r="EI59" t="e">
        <f>AND(#REF!,"AAAAAC73r4o=")</f>
        <v>#REF!</v>
      </c>
      <c r="EJ59" t="e">
        <f>AND(#REF!,"AAAAAC73r4s=")</f>
        <v>#REF!</v>
      </c>
      <c r="EK59" t="e">
        <f>AND(#REF!,"AAAAAC73r4w=")</f>
        <v>#REF!</v>
      </c>
      <c r="EL59" t="e">
        <f>AND(#REF!,"AAAAAC73r40=")</f>
        <v>#REF!</v>
      </c>
      <c r="EM59" t="e">
        <f>AND(#REF!,"AAAAAC73r44=")</f>
        <v>#REF!</v>
      </c>
      <c r="EN59" t="e">
        <f>AND(#REF!,"AAAAAC73r48=")</f>
        <v>#REF!</v>
      </c>
      <c r="EO59" t="e">
        <f>AND(#REF!,"AAAAAC73r5A=")</f>
        <v>#REF!</v>
      </c>
      <c r="EP59" t="e">
        <f>AND(#REF!,"AAAAAC73r5E=")</f>
        <v>#REF!</v>
      </c>
      <c r="EQ59" t="e">
        <f>AND(#REF!,"AAAAAC73r5I=")</f>
        <v>#REF!</v>
      </c>
      <c r="ER59" t="e">
        <f>AND(#REF!,"AAAAAC73r5M=")</f>
        <v>#REF!</v>
      </c>
      <c r="ES59" t="e">
        <f>AND(#REF!,"AAAAAC73r5Q=")</f>
        <v>#REF!</v>
      </c>
      <c r="ET59" t="e">
        <f>AND(#REF!,"AAAAAC73r5U=")</f>
        <v>#REF!</v>
      </c>
      <c r="EU59" t="e">
        <f>AND(#REF!,"AAAAAC73r5Y=")</f>
        <v>#REF!</v>
      </c>
      <c r="EV59" t="e">
        <f>AND(#REF!,"AAAAAC73r5c=")</f>
        <v>#REF!</v>
      </c>
      <c r="EW59" t="e">
        <f>AND(#REF!,"AAAAAC73r5g=")</f>
        <v>#REF!</v>
      </c>
      <c r="EX59" t="e">
        <f>AND(#REF!,"AAAAAC73r5k=")</f>
        <v>#REF!</v>
      </c>
      <c r="EY59" t="e">
        <f>AND(#REF!,"AAAAAC73r5o=")</f>
        <v>#REF!</v>
      </c>
      <c r="EZ59" t="e">
        <f>AND(#REF!,"AAAAAC73r5s=")</f>
        <v>#REF!</v>
      </c>
      <c r="FA59" t="e">
        <f>AND(#REF!,"AAAAAC73r5w=")</f>
        <v>#REF!</v>
      </c>
      <c r="FB59" t="e">
        <f>AND(#REF!,"AAAAAC73r50=")</f>
        <v>#REF!</v>
      </c>
      <c r="FC59" t="e">
        <f>AND(#REF!,"AAAAAC73r54=")</f>
        <v>#REF!</v>
      </c>
      <c r="FD59" t="e">
        <f>AND(#REF!,"AAAAAC73r58=")</f>
        <v>#REF!</v>
      </c>
      <c r="FE59" t="e">
        <f>AND(#REF!,"AAAAAC73r6A=")</f>
        <v>#REF!</v>
      </c>
      <c r="FF59" t="e">
        <f>AND(#REF!,"AAAAAC73r6E=")</f>
        <v>#REF!</v>
      </c>
      <c r="FG59" t="e">
        <f>AND(#REF!,"AAAAAC73r6I=")</f>
        <v>#REF!</v>
      </c>
      <c r="FH59" t="e">
        <f>AND(#REF!,"AAAAAC73r6M=")</f>
        <v>#REF!</v>
      </c>
      <c r="FI59" t="e">
        <f>AND(#REF!,"AAAAAC73r6Q=")</f>
        <v>#REF!</v>
      </c>
      <c r="FJ59" t="e">
        <f>AND(#REF!,"AAAAAC73r6U=")</f>
        <v>#REF!</v>
      </c>
      <c r="FK59" t="e">
        <f>AND(#REF!,"AAAAAC73r6Y=")</f>
        <v>#REF!</v>
      </c>
      <c r="FL59" t="e">
        <f>AND(#REF!,"AAAAAC73r6c=")</f>
        <v>#REF!</v>
      </c>
      <c r="FM59" t="e">
        <f>AND(#REF!,"AAAAAC73r6g=")</f>
        <v>#REF!</v>
      </c>
      <c r="FN59" t="e">
        <f>IF(#REF!,"AAAAAC73r6k=",0)</f>
        <v>#REF!</v>
      </c>
      <c r="FO59" t="e">
        <f>AND(#REF!,"AAAAAC73r6o=")</f>
        <v>#REF!</v>
      </c>
      <c r="FP59" t="e">
        <f>AND(#REF!,"AAAAAC73r6s=")</f>
        <v>#REF!</v>
      </c>
      <c r="FQ59" t="e">
        <f>AND(#REF!,"AAAAAC73r6w=")</f>
        <v>#REF!</v>
      </c>
      <c r="FR59" t="e">
        <f>AND(#REF!,"AAAAAC73r60=")</f>
        <v>#REF!</v>
      </c>
      <c r="FS59" t="e">
        <f>AND(#REF!,"AAAAAC73r64=")</f>
        <v>#REF!</v>
      </c>
      <c r="FT59" t="e">
        <f>AND(#REF!,"AAAAAC73r68=")</f>
        <v>#REF!</v>
      </c>
      <c r="FU59" t="e">
        <f>AND(#REF!,"AAAAAC73r7A=")</f>
        <v>#REF!</v>
      </c>
      <c r="FV59" t="e">
        <f>AND(#REF!,"AAAAAC73r7E=")</f>
        <v>#REF!</v>
      </c>
      <c r="FW59" t="e">
        <f>AND(#REF!,"AAAAAC73r7I=")</f>
        <v>#REF!</v>
      </c>
      <c r="FX59" t="e">
        <f>AND(#REF!,"AAAAAC73r7M=")</f>
        <v>#REF!</v>
      </c>
      <c r="FY59" t="e">
        <f>AND(#REF!,"AAAAAC73r7Q=")</f>
        <v>#REF!</v>
      </c>
      <c r="FZ59" t="e">
        <f>AND(#REF!,"AAAAAC73r7U=")</f>
        <v>#REF!</v>
      </c>
      <c r="GA59" t="e">
        <f>AND(#REF!,"AAAAAC73r7Y=")</f>
        <v>#REF!</v>
      </c>
      <c r="GB59" t="e">
        <f>AND(#REF!,"AAAAAC73r7c=")</f>
        <v>#REF!</v>
      </c>
      <c r="GC59" t="e">
        <f>AND(#REF!,"AAAAAC73r7g=")</f>
        <v>#REF!</v>
      </c>
      <c r="GD59" t="e">
        <f>AND(#REF!,"AAAAAC73r7k=")</f>
        <v>#REF!</v>
      </c>
      <c r="GE59" t="e">
        <f>AND(#REF!,"AAAAAC73r7o=")</f>
        <v>#REF!</v>
      </c>
      <c r="GF59" t="e">
        <f>AND(#REF!,"AAAAAC73r7s=")</f>
        <v>#REF!</v>
      </c>
      <c r="GG59" t="e">
        <f>AND(#REF!,"AAAAAC73r7w=")</f>
        <v>#REF!</v>
      </c>
      <c r="GH59" t="e">
        <f>AND(#REF!,"AAAAAC73r70=")</f>
        <v>#REF!</v>
      </c>
      <c r="GI59" t="e">
        <f>AND(#REF!,"AAAAAC73r74=")</f>
        <v>#REF!</v>
      </c>
      <c r="GJ59" t="e">
        <f>AND(#REF!,"AAAAAC73r78=")</f>
        <v>#REF!</v>
      </c>
      <c r="GK59" t="e">
        <f>AND(#REF!,"AAAAAC73r8A=")</f>
        <v>#REF!</v>
      </c>
      <c r="GL59" t="e">
        <f>AND(#REF!,"AAAAAC73r8E=")</f>
        <v>#REF!</v>
      </c>
      <c r="GM59" t="e">
        <f>AND(#REF!,"AAAAAC73r8I=")</f>
        <v>#REF!</v>
      </c>
      <c r="GN59" t="e">
        <f>AND(#REF!,"AAAAAC73r8M=")</f>
        <v>#REF!</v>
      </c>
      <c r="GO59" t="e">
        <f>AND(#REF!,"AAAAAC73r8Q=")</f>
        <v>#REF!</v>
      </c>
      <c r="GP59" t="e">
        <f>AND(#REF!,"AAAAAC73r8U=")</f>
        <v>#REF!</v>
      </c>
      <c r="GQ59" t="e">
        <f>AND(#REF!,"AAAAAC73r8Y=")</f>
        <v>#REF!</v>
      </c>
      <c r="GR59" t="e">
        <f>AND(#REF!,"AAAAAC73r8c=")</f>
        <v>#REF!</v>
      </c>
      <c r="GS59" t="e">
        <f>AND(#REF!,"AAAAAC73r8g=")</f>
        <v>#REF!</v>
      </c>
      <c r="GT59" t="e">
        <f>AND(#REF!,"AAAAAC73r8k=")</f>
        <v>#REF!</v>
      </c>
      <c r="GU59" t="e">
        <f>AND(#REF!,"AAAAAC73r8o=")</f>
        <v>#REF!</v>
      </c>
      <c r="GV59" t="e">
        <f>AND(#REF!,"AAAAAC73r8s=")</f>
        <v>#REF!</v>
      </c>
      <c r="GW59" t="e">
        <f>AND(#REF!,"AAAAAC73r8w=")</f>
        <v>#REF!</v>
      </c>
      <c r="GX59" t="e">
        <f>AND(#REF!,"AAAAAC73r80=")</f>
        <v>#REF!</v>
      </c>
      <c r="GY59" t="e">
        <f>AND(#REF!,"AAAAAC73r84=")</f>
        <v>#REF!</v>
      </c>
      <c r="GZ59" t="e">
        <f>AND(#REF!,"AAAAAC73r88=")</f>
        <v>#REF!</v>
      </c>
      <c r="HA59" t="e">
        <f>AND(#REF!,"AAAAAC73r9A=")</f>
        <v>#REF!</v>
      </c>
      <c r="HB59" t="e">
        <f>AND(#REF!,"AAAAAC73r9E=")</f>
        <v>#REF!</v>
      </c>
      <c r="HC59" t="e">
        <f>AND(#REF!,"AAAAAC73r9I=")</f>
        <v>#REF!</v>
      </c>
      <c r="HD59" t="e">
        <f>AND(#REF!,"AAAAAC73r9M=")</f>
        <v>#REF!</v>
      </c>
      <c r="HE59" t="e">
        <f>AND(#REF!,"AAAAAC73r9Q=")</f>
        <v>#REF!</v>
      </c>
      <c r="HF59" t="e">
        <f>AND(#REF!,"AAAAAC73r9U=")</f>
        <v>#REF!</v>
      </c>
      <c r="HG59" t="e">
        <f>AND(#REF!,"AAAAAC73r9Y=")</f>
        <v>#REF!</v>
      </c>
      <c r="HH59" t="e">
        <f>AND(#REF!,"AAAAAC73r9c=")</f>
        <v>#REF!</v>
      </c>
      <c r="HI59" t="e">
        <f>AND(#REF!,"AAAAAC73r9g=")</f>
        <v>#REF!</v>
      </c>
      <c r="HJ59" t="e">
        <f>AND(#REF!,"AAAAAC73r9k=")</f>
        <v>#REF!</v>
      </c>
      <c r="HK59" t="e">
        <f>AND(#REF!,"AAAAAC73r9o=")</f>
        <v>#REF!</v>
      </c>
      <c r="HL59" t="e">
        <f>AND(#REF!,"AAAAAC73r9s=")</f>
        <v>#REF!</v>
      </c>
      <c r="HM59" t="e">
        <f>AND(#REF!,"AAAAAC73r9w=")</f>
        <v>#REF!</v>
      </c>
      <c r="HN59" t="e">
        <f>AND(#REF!,"AAAAAC73r90=")</f>
        <v>#REF!</v>
      </c>
      <c r="HO59" t="e">
        <f>AND(#REF!,"AAAAAC73r94=")</f>
        <v>#REF!</v>
      </c>
      <c r="HP59" t="e">
        <f>AND(#REF!,"AAAAAC73r98=")</f>
        <v>#REF!</v>
      </c>
      <c r="HQ59" t="e">
        <f>AND(#REF!,"AAAAAC73r+A=")</f>
        <v>#REF!</v>
      </c>
      <c r="HR59" t="e">
        <f>AND(#REF!,"AAAAAC73r+E=")</f>
        <v>#REF!</v>
      </c>
      <c r="HS59" t="e">
        <f>AND(#REF!,"AAAAAC73r+I=")</f>
        <v>#REF!</v>
      </c>
      <c r="HT59" t="e">
        <f>AND(#REF!,"AAAAAC73r+M=")</f>
        <v>#REF!</v>
      </c>
      <c r="HU59" t="e">
        <f>AND(#REF!,"AAAAAC73r+Q=")</f>
        <v>#REF!</v>
      </c>
      <c r="HV59" t="e">
        <f>AND(#REF!,"AAAAAC73r+U=")</f>
        <v>#REF!</v>
      </c>
      <c r="HW59" t="e">
        <f>AND(#REF!,"AAAAAC73r+Y=")</f>
        <v>#REF!</v>
      </c>
      <c r="HX59" t="e">
        <f>AND(#REF!,"AAAAAC73r+c=")</f>
        <v>#REF!</v>
      </c>
      <c r="HY59" t="e">
        <f>AND(#REF!,"AAAAAC73r+g=")</f>
        <v>#REF!</v>
      </c>
      <c r="HZ59" t="e">
        <f>AND(#REF!,"AAAAAC73r+k=")</f>
        <v>#REF!</v>
      </c>
      <c r="IA59" t="e">
        <f>AND(#REF!,"AAAAAC73r+o=")</f>
        <v>#REF!</v>
      </c>
      <c r="IB59" t="e">
        <f>AND(#REF!,"AAAAAC73r+s=")</f>
        <v>#REF!</v>
      </c>
      <c r="IC59" t="e">
        <f>AND(#REF!,"AAAAAC73r+w=")</f>
        <v>#REF!</v>
      </c>
      <c r="ID59" t="e">
        <f>AND(#REF!,"AAAAAC73r+0=")</f>
        <v>#REF!</v>
      </c>
      <c r="IE59" t="e">
        <f>AND(#REF!,"AAAAAC73r+4=")</f>
        <v>#REF!</v>
      </c>
      <c r="IF59" t="e">
        <f>AND(#REF!,"AAAAAC73r+8=")</f>
        <v>#REF!</v>
      </c>
      <c r="IG59" t="e">
        <f>AND(#REF!,"AAAAAC73r/A=")</f>
        <v>#REF!</v>
      </c>
      <c r="IH59" t="e">
        <f>AND(#REF!,"AAAAAC73r/E=")</f>
        <v>#REF!</v>
      </c>
      <c r="II59" t="e">
        <f>AND(#REF!,"AAAAAC73r/I=")</f>
        <v>#REF!</v>
      </c>
      <c r="IJ59" t="e">
        <f>AND(#REF!,"AAAAAC73r/M=")</f>
        <v>#REF!</v>
      </c>
      <c r="IK59" t="e">
        <f>AND(#REF!,"AAAAAC73r/Q=")</f>
        <v>#REF!</v>
      </c>
      <c r="IL59" t="e">
        <f>AND(#REF!,"AAAAAC73r/U=")</f>
        <v>#REF!</v>
      </c>
      <c r="IM59" t="e">
        <f>AND(#REF!,"AAAAAC73r/Y=")</f>
        <v>#REF!</v>
      </c>
      <c r="IN59" t="e">
        <f>AND(#REF!,"AAAAAC73r/c=")</f>
        <v>#REF!</v>
      </c>
      <c r="IO59" t="e">
        <f>AND(#REF!,"AAAAAC73r/g=")</f>
        <v>#REF!</v>
      </c>
      <c r="IP59" t="e">
        <f>AND(#REF!,"AAAAAC73r/k=")</f>
        <v>#REF!</v>
      </c>
      <c r="IQ59" t="e">
        <f>AND(#REF!,"AAAAAC73r/o=")</f>
        <v>#REF!</v>
      </c>
      <c r="IR59" t="e">
        <f>AND(#REF!,"AAAAAC73r/s=")</f>
        <v>#REF!</v>
      </c>
      <c r="IS59" t="e">
        <f>AND(#REF!,"AAAAAC73r/w=")</f>
        <v>#REF!</v>
      </c>
      <c r="IT59" t="e">
        <f>AND(#REF!,"AAAAAC73r/0=")</f>
        <v>#REF!</v>
      </c>
      <c r="IU59" t="e">
        <f>AND(#REF!,"AAAAAC73r/4=")</f>
        <v>#REF!</v>
      </c>
      <c r="IV59" t="e">
        <f>AND(#REF!,"AAAAAC73r/8=")</f>
        <v>#REF!</v>
      </c>
    </row>
    <row r="60" spans="1:256">
      <c r="A60" t="e">
        <f>AND(#REF!,"AAAAAGnr1wA=")</f>
        <v>#REF!</v>
      </c>
      <c r="B60" t="e">
        <f>AND(#REF!,"AAAAAGnr1wE=")</f>
        <v>#REF!</v>
      </c>
      <c r="C60" t="e">
        <f>AND(#REF!,"AAAAAGnr1wI=")</f>
        <v>#REF!</v>
      </c>
      <c r="D60" t="e">
        <f>AND(#REF!,"AAAAAGnr1wM=")</f>
        <v>#REF!</v>
      </c>
      <c r="E60" t="e">
        <f>AND(#REF!,"AAAAAGnr1wQ=")</f>
        <v>#REF!</v>
      </c>
      <c r="F60" t="e">
        <f>AND(#REF!,"AAAAAGnr1wU=")</f>
        <v>#REF!</v>
      </c>
      <c r="G60" t="e">
        <f>AND(#REF!,"AAAAAGnr1wY=")</f>
        <v>#REF!</v>
      </c>
      <c r="H60" t="e">
        <f>AND(#REF!,"AAAAAGnr1wc=")</f>
        <v>#REF!</v>
      </c>
      <c r="I60" t="e">
        <f>AND(#REF!,"AAAAAGnr1wg=")</f>
        <v>#REF!</v>
      </c>
      <c r="J60" t="e">
        <f>AND(#REF!,"AAAAAGnr1wk=")</f>
        <v>#REF!</v>
      </c>
      <c r="K60" t="e">
        <f>AND(#REF!,"AAAAAGnr1wo=")</f>
        <v>#REF!</v>
      </c>
      <c r="L60" t="e">
        <f>AND(#REF!,"AAAAAGnr1ws=")</f>
        <v>#REF!</v>
      </c>
      <c r="M60" t="e">
        <f>AND(#REF!,"AAAAAGnr1ww=")</f>
        <v>#REF!</v>
      </c>
      <c r="N60" t="e">
        <f>AND(#REF!,"AAAAAGnr1w0=")</f>
        <v>#REF!</v>
      </c>
      <c r="O60" t="e">
        <f>AND(#REF!,"AAAAAGnr1w4=")</f>
        <v>#REF!</v>
      </c>
      <c r="P60" t="e">
        <f>AND(#REF!,"AAAAAGnr1w8=")</f>
        <v>#REF!</v>
      </c>
      <c r="Q60" t="e">
        <f>AND(#REF!,"AAAAAGnr1xA=")</f>
        <v>#REF!</v>
      </c>
      <c r="R60" t="e">
        <f>AND(#REF!,"AAAAAGnr1xE=")</f>
        <v>#REF!</v>
      </c>
      <c r="S60" t="e">
        <f>AND(#REF!,"AAAAAGnr1xI=")</f>
        <v>#REF!</v>
      </c>
      <c r="T60" t="e">
        <f>AND(#REF!,"AAAAAGnr1xM=")</f>
        <v>#REF!</v>
      </c>
      <c r="U60" t="e">
        <f>AND(#REF!,"AAAAAGnr1xQ=")</f>
        <v>#REF!</v>
      </c>
      <c r="V60" t="e">
        <f>AND(#REF!,"AAAAAGnr1xU=")</f>
        <v>#REF!</v>
      </c>
      <c r="W60" t="e">
        <f>AND(#REF!,"AAAAAGnr1xY=")</f>
        <v>#REF!</v>
      </c>
      <c r="X60" t="e">
        <f>AND(#REF!,"AAAAAGnr1xc=")</f>
        <v>#REF!</v>
      </c>
      <c r="Y60" t="e">
        <f>AND(#REF!,"AAAAAGnr1xg=")</f>
        <v>#REF!</v>
      </c>
      <c r="Z60" t="e">
        <f>AND(#REF!,"AAAAAGnr1xk=")</f>
        <v>#REF!</v>
      </c>
      <c r="AA60" t="e">
        <f>AND(#REF!,"AAAAAGnr1xo=")</f>
        <v>#REF!</v>
      </c>
      <c r="AB60" t="e">
        <f>AND(#REF!,"AAAAAGnr1xs=")</f>
        <v>#REF!</v>
      </c>
      <c r="AC60" t="e">
        <f>AND(#REF!,"AAAAAGnr1xw=")</f>
        <v>#REF!</v>
      </c>
      <c r="AD60" t="e">
        <f>AND(#REF!,"AAAAAGnr1x0=")</f>
        <v>#REF!</v>
      </c>
      <c r="AE60" t="e">
        <f>AND(#REF!,"AAAAAGnr1x4=")</f>
        <v>#REF!</v>
      </c>
      <c r="AF60" t="e">
        <f>AND(#REF!,"AAAAAGnr1x8=")</f>
        <v>#REF!</v>
      </c>
      <c r="AG60" t="e">
        <f>AND(#REF!,"AAAAAGnr1yA=")</f>
        <v>#REF!</v>
      </c>
      <c r="AH60" t="e">
        <f>AND(#REF!,"AAAAAGnr1yE=")</f>
        <v>#REF!</v>
      </c>
      <c r="AI60" t="e">
        <f>IF(#REF!,"AAAAAGnr1yI=",0)</f>
        <v>#REF!</v>
      </c>
      <c r="AJ60" t="e">
        <f>AND(#REF!,"AAAAAGnr1yM=")</f>
        <v>#REF!</v>
      </c>
      <c r="AK60" t="e">
        <f>AND(#REF!,"AAAAAGnr1yQ=")</f>
        <v>#REF!</v>
      </c>
      <c r="AL60" t="e">
        <f>AND(#REF!,"AAAAAGnr1yU=")</f>
        <v>#REF!</v>
      </c>
      <c r="AM60" t="e">
        <f>AND(#REF!,"AAAAAGnr1yY=")</f>
        <v>#REF!</v>
      </c>
      <c r="AN60" t="e">
        <f>AND(#REF!,"AAAAAGnr1yc=")</f>
        <v>#REF!</v>
      </c>
      <c r="AO60" t="e">
        <f>AND(#REF!,"AAAAAGnr1yg=")</f>
        <v>#REF!</v>
      </c>
      <c r="AP60" t="e">
        <f>AND(#REF!,"AAAAAGnr1yk=")</f>
        <v>#REF!</v>
      </c>
      <c r="AQ60" t="e">
        <f>AND(#REF!,"AAAAAGnr1yo=")</f>
        <v>#REF!</v>
      </c>
      <c r="AR60" t="e">
        <f>AND(#REF!,"AAAAAGnr1ys=")</f>
        <v>#REF!</v>
      </c>
      <c r="AS60" t="e">
        <f>AND(#REF!,"AAAAAGnr1yw=")</f>
        <v>#REF!</v>
      </c>
      <c r="AT60" t="e">
        <f>AND(#REF!,"AAAAAGnr1y0=")</f>
        <v>#REF!</v>
      </c>
      <c r="AU60" t="e">
        <f>AND(#REF!,"AAAAAGnr1y4=")</f>
        <v>#REF!</v>
      </c>
      <c r="AV60" t="e">
        <f>AND(#REF!,"AAAAAGnr1y8=")</f>
        <v>#REF!</v>
      </c>
      <c r="AW60" t="e">
        <f>AND(#REF!,"AAAAAGnr1zA=")</f>
        <v>#REF!</v>
      </c>
      <c r="AX60" t="e">
        <f>AND(#REF!,"AAAAAGnr1zE=")</f>
        <v>#REF!</v>
      </c>
      <c r="AY60" t="e">
        <f>AND(#REF!,"AAAAAGnr1zI=")</f>
        <v>#REF!</v>
      </c>
      <c r="AZ60" t="e">
        <f>AND(#REF!,"AAAAAGnr1zM=")</f>
        <v>#REF!</v>
      </c>
      <c r="BA60" t="e">
        <f>AND(#REF!,"AAAAAGnr1zQ=")</f>
        <v>#REF!</v>
      </c>
      <c r="BB60" t="e">
        <f>AND(#REF!,"AAAAAGnr1zU=")</f>
        <v>#REF!</v>
      </c>
      <c r="BC60" t="e">
        <f>AND(#REF!,"AAAAAGnr1zY=")</f>
        <v>#REF!</v>
      </c>
      <c r="BD60" t="e">
        <f>AND(#REF!,"AAAAAGnr1zc=")</f>
        <v>#REF!</v>
      </c>
      <c r="BE60" t="e">
        <f>AND(#REF!,"AAAAAGnr1zg=")</f>
        <v>#REF!</v>
      </c>
      <c r="BF60" t="e">
        <f>AND(#REF!,"AAAAAGnr1zk=")</f>
        <v>#REF!</v>
      </c>
      <c r="BG60" t="e">
        <f>AND(#REF!,"AAAAAGnr1zo=")</f>
        <v>#REF!</v>
      </c>
      <c r="BH60" t="e">
        <f>AND(#REF!,"AAAAAGnr1zs=")</f>
        <v>#REF!</v>
      </c>
      <c r="BI60" t="e">
        <f>AND(#REF!,"AAAAAGnr1zw=")</f>
        <v>#REF!</v>
      </c>
      <c r="BJ60" t="e">
        <f>AND(#REF!,"AAAAAGnr1z0=")</f>
        <v>#REF!</v>
      </c>
      <c r="BK60" t="e">
        <f>AND(#REF!,"AAAAAGnr1z4=")</f>
        <v>#REF!</v>
      </c>
      <c r="BL60" t="e">
        <f>AND(#REF!,"AAAAAGnr1z8=")</f>
        <v>#REF!</v>
      </c>
      <c r="BM60" t="e">
        <f>AND(#REF!,"AAAAAGnr10A=")</f>
        <v>#REF!</v>
      </c>
      <c r="BN60" t="e">
        <f>AND(#REF!,"AAAAAGnr10E=")</f>
        <v>#REF!</v>
      </c>
      <c r="BO60" t="e">
        <f>AND(#REF!,"AAAAAGnr10I=")</f>
        <v>#REF!</v>
      </c>
      <c r="BP60" t="e">
        <f>AND(#REF!,"AAAAAGnr10M=")</f>
        <v>#REF!</v>
      </c>
      <c r="BQ60" t="e">
        <f>AND(#REF!,"AAAAAGnr10Q=")</f>
        <v>#REF!</v>
      </c>
      <c r="BR60" t="e">
        <f>AND(#REF!,"AAAAAGnr10U=")</f>
        <v>#REF!</v>
      </c>
      <c r="BS60" t="e">
        <f>AND(#REF!,"AAAAAGnr10Y=")</f>
        <v>#REF!</v>
      </c>
      <c r="BT60" t="e">
        <f>AND(#REF!,"AAAAAGnr10c=")</f>
        <v>#REF!</v>
      </c>
      <c r="BU60" t="e">
        <f>AND(#REF!,"AAAAAGnr10g=")</f>
        <v>#REF!</v>
      </c>
      <c r="BV60" t="e">
        <f>AND(#REF!,"AAAAAGnr10k=")</f>
        <v>#REF!</v>
      </c>
      <c r="BW60" t="e">
        <f>AND(#REF!,"AAAAAGnr10o=")</f>
        <v>#REF!</v>
      </c>
      <c r="BX60" t="e">
        <f>AND(#REF!,"AAAAAGnr10s=")</f>
        <v>#REF!</v>
      </c>
      <c r="BY60" t="e">
        <f>AND(#REF!,"AAAAAGnr10w=")</f>
        <v>#REF!</v>
      </c>
      <c r="BZ60" t="e">
        <f>AND(#REF!,"AAAAAGnr100=")</f>
        <v>#REF!</v>
      </c>
      <c r="CA60" t="e">
        <f>AND(#REF!,"AAAAAGnr104=")</f>
        <v>#REF!</v>
      </c>
      <c r="CB60" t="e">
        <f>AND(#REF!,"AAAAAGnr108=")</f>
        <v>#REF!</v>
      </c>
      <c r="CC60" t="e">
        <f>AND(#REF!,"AAAAAGnr11A=")</f>
        <v>#REF!</v>
      </c>
      <c r="CD60" t="e">
        <f>AND(#REF!,"AAAAAGnr11E=")</f>
        <v>#REF!</v>
      </c>
      <c r="CE60" t="e">
        <f>AND(#REF!,"AAAAAGnr11I=")</f>
        <v>#REF!</v>
      </c>
      <c r="CF60" t="e">
        <f>AND(#REF!,"AAAAAGnr11M=")</f>
        <v>#REF!</v>
      </c>
      <c r="CG60" t="e">
        <f>AND(#REF!,"AAAAAGnr11Q=")</f>
        <v>#REF!</v>
      </c>
      <c r="CH60" t="e">
        <f>AND(#REF!,"AAAAAGnr11U=")</f>
        <v>#REF!</v>
      </c>
      <c r="CI60" t="e">
        <f>AND(#REF!,"AAAAAGnr11Y=")</f>
        <v>#REF!</v>
      </c>
      <c r="CJ60" t="e">
        <f>AND(#REF!,"AAAAAGnr11c=")</f>
        <v>#REF!</v>
      </c>
      <c r="CK60" t="e">
        <f>AND(#REF!,"AAAAAGnr11g=")</f>
        <v>#REF!</v>
      </c>
      <c r="CL60" t="e">
        <f>AND(#REF!,"AAAAAGnr11k=")</f>
        <v>#REF!</v>
      </c>
      <c r="CM60" t="e">
        <f>AND(#REF!,"AAAAAGnr11o=")</f>
        <v>#REF!</v>
      </c>
      <c r="CN60" t="e">
        <f>AND(#REF!,"AAAAAGnr11s=")</f>
        <v>#REF!</v>
      </c>
      <c r="CO60" t="e">
        <f>AND(#REF!,"AAAAAGnr11w=")</f>
        <v>#REF!</v>
      </c>
      <c r="CP60" t="e">
        <f>AND(#REF!,"AAAAAGnr110=")</f>
        <v>#REF!</v>
      </c>
      <c r="CQ60" t="e">
        <f>AND(#REF!,"AAAAAGnr114=")</f>
        <v>#REF!</v>
      </c>
      <c r="CR60" t="e">
        <f>AND(#REF!,"AAAAAGnr118=")</f>
        <v>#REF!</v>
      </c>
      <c r="CS60" t="e">
        <f>AND(#REF!,"AAAAAGnr12A=")</f>
        <v>#REF!</v>
      </c>
      <c r="CT60" t="e">
        <f>AND(#REF!,"AAAAAGnr12E=")</f>
        <v>#REF!</v>
      </c>
      <c r="CU60" t="e">
        <f>AND(#REF!,"AAAAAGnr12I=")</f>
        <v>#REF!</v>
      </c>
      <c r="CV60" t="e">
        <f>AND(#REF!,"AAAAAGnr12M=")</f>
        <v>#REF!</v>
      </c>
      <c r="CW60" t="e">
        <f>AND(#REF!,"AAAAAGnr12Q=")</f>
        <v>#REF!</v>
      </c>
      <c r="CX60" t="e">
        <f>AND(#REF!,"AAAAAGnr12U=")</f>
        <v>#REF!</v>
      </c>
      <c r="CY60" t="e">
        <f>AND(#REF!,"AAAAAGnr12Y=")</f>
        <v>#REF!</v>
      </c>
      <c r="CZ60" t="e">
        <f>AND(#REF!,"AAAAAGnr12c=")</f>
        <v>#REF!</v>
      </c>
      <c r="DA60" t="e">
        <f>AND(#REF!,"AAAAAGnr12g=")</f>
        <v>#REF!</v>
      </c>
      <c r="DB60" t="e">
        <f>AND(#REF!,"AAAAAGnr12k=")</f>
        <v>#REF!</v>
      </c>
      <c r="DC60" t="e">
        <f>AND(#REF!,"AAAAAGnr12o=")</f>
        <v>#REF!</v>
      </c>
      <c r="DD60" t="e">
        <f>AND(#REF!,"AAAAAGnr12s=")</f>
        <v>#REF!</v>
      </c>
      <c r="DE60" t="e">
        <f>AND(#REF!,"AAAAAGnr12w=")</f>
        <v>#REF!</v>
      </c>
      <c r="DF60" t="e">
        <f>AND(#REF!,"AAAAAGnr120=")</f>
        <v>#REF!</v>
      </c>
      <c r="DG60" t="e">
        <f>AND(#REF!,"AAAAAGnr124=")</f>
        <v>#REF!</v>
      </c>
      <c r="DH60" t="e">
        <f>AND(#REF!,"AAAAAGnr128=")</f>
        <v>#REF!</v>
      </c>
      <c r="DI60" t="e">
        <f>AND(#REF!,"AAAAAGnr13A=")</f>
        <v>#REF!</v>
      </c>
      <c r="DJ60" t="e">
        <f>AND(#REF!,"AAAAAGnr13E=")</f>
        <v>#REF!</v>
      </c>
      <c r="DK60" t="e">
        <f>AND(#REF!,"AAAAAGnr13I=")</f>
        <v>#REF!</v>
      </c>
      <c r="DL60" t="e">
        <f>AND(#REF!,"AAAAAGnr13M=")</f>
        <v>#REF!</v>
      </c>
      <c r="DM60" t="e">
        <f>AND(#REF!,"AAAAAGnr13Q=")</f>
        <v>#REF!</v>
      </c>
      <c r="DN60" t="e">
        <f>AND(#REF!,"AAAAAGnr13U=")</f>
        <v>#REF!</v>
      </c>
      <c r="DO60" t="e">
        <f>AND(#REF!,"AAAAAGnr13Y=")</f>
        <v>#REF!</v>
      </c>
      <c r="DP60" t="e">
        <f>AND(#REF!,"AAAAAGnr13c=")</f>
        <v>#REF!</v>
      </c>
      <c r="DQ60" t="e">
        <f>AND(#REF!,"AAAAAGnr13g=")</f>
        <v>#REF!</v>
      </c>
      <c r="DR60" t="e">
        <f>AND(#REF!,"AAAAAGnr13k=")</f>
        <v>#REF!</v>
      </c>
      <c r="DS60" t="e">
        <f>AND(#REF!,"AAAAAGnr13o=")</f>
        <v>#REF!</v>
      </c>
      <c r="DT60" t="e">
        <f>AND(#REF!,"AAAAAGnr13s=")</f>
        <v>#REF!</v>
      </c>
      <c r="DU60" t="e">
        <f>AND(#REF!,"AAAAAGnr13w=")</f>
        <v>#REF!</v>
      </c>
      <c r="DV60" t="e">
        <f>AND(#REF!,"AAAAAGnr130=")</f>
        <v>#REF!</v>
      </c>
      <c r="DW60" t="e">
        <f>AND(#REF!,"AAAAAGnr134=")</f>
        <v>#REF!</v>
      </c>
      <c r="DX60" t="e">
        <f>AND(#REF!,"AAAAAGnr138=")</f>
        <v>#REF!</v>
      </c>
      <c r="DY60" t="e">
        <f>AND(#REF!,"AAAAAGnr14A=")</f>
        <v>#REF!</v>
      </c>
      <c r="DZ60" t="e">
        <f>AND(#REF!,"AAAAAGnr14E=")</f>
        <v>#REF!</v>
      </c>
      <c r="EA60" t="e">
        <f>AND(#REF!,"AAAAAGnr14I=")</f>
        <v>#REF!</v>
      </c>
      <c r="EB60" t="e">
        <f>AND(#REF!,"AAAAAGnr14M=")</f>
        <v>#REF!</v>
      </c>
      <c r="EC60" t="e">
        <f>AND(#REF!,"AAAAAGnr14Q=")</f>
        <v>#REF!</v>
      </c>
      <c r="ED60" t="e">
        <f>AND(#REF!,"AAAAAGnr14U=")</f>
        <v>#REF!</v>
      </c>
      <c r="EE60" t="e">
        <f>AND(#REF!,"AAAAAGnr14Y=")</f>
        <v>#REF!</v>
      </c>
      <c r="EF60" t="e">
        <f>AND(#REF!,"AAAAAGnr14c=")</f>
        <v>#REF!</v>
      </c>
      <c r="EG60" t="e">
        <f>AND(#REF!,"AAAAAGnr14g=")</f>
        <v>#REF!</v>
      </c>
      <c r="EH60" t="e">
        <f>AND(#REF!,"AAAAAGnr14k=")</f>
        <v>#REF!</v>
      </c>
      <c r="EI60" t="e">
        <f>AND(#REF!,"AAAAAGnr14o=")</f>
        <v>#REF!</v>
      </c>
      <c r="EJ60" t="e">
        <f>AND(#REF!,"AAAAAGnr14s=")</f>
        <v>#REF!</v>
      </c>
      <c r="EK60" t="e">
        <f>AND(#REF!,"AAAAAGnr14w=")</f>
        <v>#REF!</v>
      </c>
      <c r="EL60" t="e">
        <f>AND(#REF!,"AAAAAGnr140=")</f>
        <v>#REF!</v>
      </c>
      <c r="EM60" t="e">
        <f>AND(#REF!,"AAAAAGnr144=")</f>
        <v>#REF!</v>
      </c>
      <c r="EN60" t="e">
        <f>AND(#REF!,"AAAAAGnr148=")</f>
        <v>#REF!</v>
      </c>
      <c r="EO60" t="e">
        <f>AND(#REF!,"AAAAAGnr15A=")</f>
        <v>#REF!</v>
      </c>
      <c r="EP60" t="e">
        <f>AND(#REF!,"AAAAAGnr15E=")</f>
        <v>#REF!</v>
      </c>
      <c r="EQ60" t="e">
        <f>AND(#REF!,"AAAAAGnr15I=")</f>
        <v>#REF!</v>
      </c>
      <c r="ER60" t="e">
        <f>AND(#REF!,"AAAAAGnr15M=")</f>
        <v>#REF!</v>
      </c>
      <c r="ES60" t="e">
        <f>AND(#REF!,"AAAAAGnr15Q=")</f>
        <v>#REF!</v>
      </c>
      <c r="ET60" t="e">
        <f>AND(#REF!,"AAAAAGnr15U=")</f>
        <v>#REF!</v>
      </c>
      <c r="EU60" t="e">
        <f>AND(#REF!,"AAAAAGnr15Y=")</f>
        <v>#REF!</v>
      </c>
      <c r="EV60" t="e">
        <f>AND(#REF!,"AAAAAGnr15c=")</f>
        <v>#REF!</v>
      </c>
      <c r="EW60" t="e">
        <f>AND(#REF!,"AAAAAGnr15g=")</f>
        <v>#REF!</v>
      </c>
      <c r="EX60" t="e">
        <f>AND(#REF!,"AAAAAGnr15k=")</f>
        <v>#REF!</v>
      </c>
      <c r="EY60" t="e">
        <f>AND(#REF!,"AAAAAGnr15o=")</f>
        <v>#REF!</v>
      </c>
      <c r="EZ60" t="e">
        <f>IF(#REF!,"AAAAAGnr15s=",0)</f>
        <v>#REF!</v>
      </c>
      <c r="FA60" t="e">
        <f>AND(#REF!,"AAAAAGnr15w=")</f>
        <v>#REF!</v>
      </c>
      <c r="FB60" t="e">
        <f>AND(#REF!,"AAAAAGnr150=")</f>
        <v>#REF!</v>
      </c>
      <c r="FC60" t="e">
        <f>AND(#REF!,"AAAAAGnr154=")</f>
        <v>#REF!</v>
      </c>
      <c r="FD60" t="e">
        <f>AND(#REF!,"AAAAAGnr158=")</f>
        <v>#REF!</v>
      </c>
      <c r="FE60" t="e">
        <f>AND(#REF!,"AAAAAGnr16A=")</f>
        <v>#REF!</v>
      </c>
      <c r="FF60" t="e">
        <f>AND(#REF!,"AAAAAGnr16E=")</f>
        <v>#REF!</v>
      </c>
      <c r="FG60" t="e">
        <f>AND(#REF!,"AAAAAGnr16I=")</f>
        <v>#REF!</v>
      </c>
      <c r="FH60" t="e">
        <f>AND(#REF!,"AAAAAGnr16M=")</f>
        <v>#REF!</v>
      </c>
      <c r="FI60" t="e">
        <f>AND(#REF!,"AAAAAGnr16Q=")</f>
        <v>#REF!</v>
      </c>
      <c r="FJ60" t="e">
        <f>AND(#REF!,"AAAAAGnr16U=")</f>
        <v>#REF!</v>
      </c>
      <c r="FK60" t="e">
        <f>AND(#REF!,"AAAAAGnr16Y=")</f>
        <v>#REF!</v>
      </c>
      <c r="FL60" t="e">
        <f>AND(#REF!,"AAAAAGnr16c=")</f>
        <v>#REF!</v>
      </c>
      <c r="FM60" t="e">
        <f>AND(#REF!,"AAAAAGnr16g=")</f>
        <v>#REF!</v>
      </c>
      <c r="FN60" t="e">
        <f>AND(#REF!,"AAAAAGnr16k=")</f>
        <v>#REF!</v>
      </c>
      <c r="FO60" t="e">
        <f>AND(#REF!,"AAAAAGnr16o=")</f>
        <v>#REF!</v>
      </c>
      <c r="FP60" t="e">
        <f>AND(#REF!,"AAAAAGnr16s=")</f>
        <v>#REF!</v>
      </c>
      <c r="FQ60" t="e">
        <f>AND(#REF!,"AAAAAGnr16w=")</f>
        <v>#REF!</v>
      </c>
      <c r="FR60" t="e">
        <f>AND(#REF!,"AAAAAGnr160=")</f>
        <v>#REF!</v>
      </c>
      <c r="FS60" t="e">
        <f>AND(#REF!,"AAAAAGnr164=")</f>
        <v>#REF!</v>
      </c>
      <c r="FT60" t="e">
        <f>AND(#REF!,"AAAAAGnr168=")</f>
        <v>#REF!</v>
      </c>
      <c r="FU60" t="e">
        <f>AND(#REF!,"AAAAAGnr17A=")</f>
        <v>#REF!</v>
      </c>
      <c r="FV60" t="e">
        <f>AND(#REF!,"AAAAAGnr17E=")</f>
        <v>#REF!</v>
      </c>
      <c r="FW60" t="e">
        <f>AND(#REF!,"AAAAAGnr17I=")</f>
        <v>#REF!</v>
      </c>
      <c r="FX60" t="e">
        <f>AND(#REF!,"AAAAAGnr17M=")</f>
        <v>#REF!</v>
      </c>
      <c r="FY60" t="e">
        <f>AND(#REF!,"AAAAAGnr17Q=")</f>
        <v>#REF!</v>
      </c>
      <c r="FZ60" t="e">
        <f>AND(#REF!,"AAAAAGnr17U=")</f>
        <v>#REF!</v>
      </c>
      <c r="GA60" t="e">
        <f>AND(#REF!,"AAAAAGnr17Y=")</f>
        <v>#REF!</v>
      </c>
      <c r="GB60" t="e">
        <f>AND(#REF!,"AAAAAGnr17c=")</f>
        <v>#REF!</v>
      </c>
      <c r="GC60" t="e">
        <f>AND(#REF!,"AAAAAGnr17g=")</f>
        <v>#REF!</v>
      </c>
      <c r="GD60" t="e">
        <f>AND(#REF!,"AAAAAGnr17k=")</f>
        <v>#REF!</v>
      </c>
      <c r="GE60" t="e">
        <f>AND(#REF!,"AAAAAGnr17o=")</f>
        <v>#REF!</v>
      </c>
      <c r="GF60" t="e">
        <f>AND(#REF!,"AAAAAGnr17s=")</f>
        <v>#REF!</v>
      </c>
      <c r="GG60" t="e">
        <f>AND(#REF!,"AAAAAGnr17w=")</f>
        <v>#REF!</v>
      </c>
      <c r="GH60" t="e">
        <f>AND(#REF!,"AAAAAGnr170=")</f>
        <v>#REF!</v>
      </c>
      <c r="GI60" t="e">
        <f>AND(#REF!,"AAAAAGnr174=")</f>
        <v>#REF!</v>
      </c>
      <c r="GJ60" t="e">
        <f>AND(#REF!,"AAAAAGnr178=")</f>
        <v>#REF!</v>
      </c>
      <c r="GK60" t="e">
        <f>AND(#REF!,"AAAAAGnr18A=")</f>
        <v>#REF!</v>
      </c>
      <c r="GL60" t="e">
        <f>AND(#REF!,"AAAAAGnr18E=")</f>
        <v>#REF!</v>
      </c>
      <c r="GM60" t="e">
        <f>AND(#REF!,"AAAAAGnr18I=")</f>
        <v>#REF!</v>
      </c>
      <c r="GN60" t="e">
        <f>AND(#REF!,"AAAAAGnr18M=")</f>
        <v>#REF!</v>
      </c>
      <c r="GO60" t="e">
        <f>AND(#REF!,"AAAAAGnr18Q=")</f>
        <v>#REF!</v>
      </c>
      <c r="GP60" t="e">
        <f>AND(#REF!,"AAAAAGnr18U=")</f>
        <v>#REF!</v>
      </c>
      <c r="GQ60" t="e">
        <f>AND(#REF!,"AAAAAGnr18Y=")</f>
        <v>#REF!</v>
      </c>
      <c r="GR60" t="e">
        <f>AND(#REF!,"AAAAAGnr18c=")</f>
        <v>#REF!</v>
      </c>
      <c r="GS60" t="e">
        <f>AND(#REF!,"AAAAAGnr18g=")</f>
        <v>#REF!</v>
      </c>
      <c r="GT60" t="e">
        <f>AND(#REF!,"AAAAAGnr18k=")</f>
        <v>#REF!</v>
      </c>
      <c r="GU60" t="e">
        <f>AND(#REF!,"AAAAAGnr18o=")</f>
        <v>#REF!</v>
      </c>
      <c r="GV60" t="e">
        <f>AND(#REF!,"AAAAAGnr18s=")</f>
        <v>#REF!</v>
      </c>
      <c r="GW60" t="e">
        <f>AND(#REF!,"AAAAAGnr18w=")</f>
        <v>#REF!</v>
      </c>
      <c r="GX60" t="e">
        <f>AND(#REF!,"AAAAAGnr180=")</f>
        <v>#REF!</v>
      </c>
      <c r="GY60" t="e">
        <f>AND(#REF!,"AAAAAGnr184=")</f>
        <v>#REF!</v>
      </c>
      <c r="GZ60" t="e">
        <f>AND(#REF!,"AAAAAGnr188=")</f>
        <v>#REF!</v>
      </c>
      <c r="HA60" t="e">
        <f>AND(#REF!,"AAAAAGnr19A=")</f>
        <v>#REF!</v>
      </c>
      <c r="HB60" t="e">
        <f>AND(#REF!,"AAAAAGnr19E=")</f>
        <v>#REF!</v>
      </c>
      <c r="HC60" t="e">
        <f>AND(#REF!,"AAAAAGnr19I=")</f>
        <v>#REF!</v>
      </c>
      <c r="HD60" t="e">
        <f>AND(#REF!,"AAAAAGnr19M=")</f>
        <v>#REF!</v>
      </c>
      <c r="HE60" t="e">
        <f>AND(#REF!,"AAAAAGnr19Q=")</f>
        <v>#REF!</v>
      </c>
      <c r="HF60" t="e">
        <f>AND(#REF!,"AAAAAGnr19U=")</f>
        <v>#REF!</v>
      </c>
      <c r="HG60" t="e">
        <f>AND(#REF!,"AAAAAGnr19Y=")</f>
        <v>#REF!</v>
      </c>
      <c r="HH60" t="e">
        <f>AND(#REF!,"AAAAAGnr19c=")</f>
        <v>#REF!</v>
      </c>
      <c r="HI60" t="e">
        <f>AND(#REF!,"AAAAAGnr19g=")</f>
        <v>#REF!</v>
      </c>
      <c r="HJ60" t="e">
        <f>AND(#REF!,"AAAAAGnr19k=")</f>
        <v>#REF!</v>
      </c>
      <c r="HK60" t="e">
        <f>AND(#REF!,"AAAAAGnr19o=")</f>
        <v>#REF!</v>
      </c>
      <c r="HL60" t="e">
        <f>AND(#REF!,"AAAAAGnr19s=")</f>
        <v>#REF!</v>
      </c>
      <c r="HM60" t="e">
        <f>AND(#REF!,"AAAAAGnr19w=")</f>
        <v>#REF!</v>
      </c>
      <c r="HN60" t="e">
        <f>AND(#REF!,"AAAAAGnr190=")</f>
        <v>#REF!</v>
      </c>
      <c r="HO60" t="e">
        <f>AND(#REF!,"AAAAAGnr194=")</f>
        <v>#REF!</v>
      </c>
      <c r="HP60" t="e">
        <f>AND(#REF!,"AAAAAGnr198=")</f>
        <v>#REF!</v>
      </c>
      <c r="HQ60" t="e">
        <f>AND(#REF!,"AAAAAGnr1+A=")</f>
        <v>#REF!</v>
      </c>
      <c r="HR60" t="e">
        <f>AND(#REF!,"AAAAAGnr1+E=")</f>
        <v>#REF!</v>
      </c>
      <c r="HS60" t="e">
        <f>AND(#REF!,"AAAAAGnr1+I=")</f>
        <v>#REF!</v>
      </c>
      <c r="HT60" t="e">
        <f>AND(#REF!,"AAAAAGnr1+M=")</f>
        <v>#REF!</v>
      </c>
      <c r="HU60" t="e">
        <f>AND(#REF!,"AAAAAGnr1+Q=")</f>
        <v>#REF!</v>
      </c>
      <c r="HV60" t="e">
        <f>AND(#REF!,"AAAAAGnr1+U=")</f>
        <v>#REF!</v>
      </c>
      <c r="HW60" t="e">
        <f>AND(#REF!,"AAAAAGnr1+Y=")</f>
        <v>#REF!</v>
      </c>
      <c r="HX60" t="e">
        <f>AND(#REF!,"AAAAAGnr1+c=")</f>
        <v>#REF!</v>
      </c>
      <c r="HY60" t="e">
        <f>AND(#REF!,"AAAAAGnr1+g=")</f>
        <v>#REF!</v>
      </c>
      <c r="HZ60" t="e">
        <f>AND(#REF!,"AAAAAGnr1+k=")</f>
        <v>#REF!</v>
      </c>
      <c r="IA60" t="e">
        <f>AND(#REF!,"AAAAAGnr1+o=")</f>
        <v>#REF!</v>
      </c>
      <c r="IB60" t="e">
        <f>AND(#REF!,"AAAAAGnr1+s=")</f>
        <v>#REF!</v>
      </c>
      <c r="IC60" t="e">
        <f>AND(#REF!,"AAAAAGnr1+w=")</f>
        <v>#REF!</v>
      </c>
      <c r="ID60" t="e">
        <f>AND(#REF!,"AAAAAGnr1+0=")</f>
        <v>#REF!</v>
      </c>
      <c r="IE60" t="e">
        <f>AND(#REF!,"AAAAAGnr1+4=")</f>
        <v>#REF!</v>
      </c>
      <c r="IF60" t="e">
        <f>AND(#REF!,"AAAAAGnr1+8=")</f>
        <v>#REF!</v>
      </c>
      <c r="IG60" t="e">
        <f>AND(#REF!,"AAAAAGnr1/A=")</f>
        <v>#REF!</v>
      </c>
      <c r="IH60" t="e">
        <f>AND(#REF!,"AAAAAGnr1/E=")</f>
        <v>#REF!</v>
      </c>
      <c r="II60" t="e">
        <f>AND(#REF!,"AAAAAGnr1/I=")</f>
        <v>#REF!</v>
      </c>
      <c r="IJ60" t="e">
        <f>AND(#REF!,"AAAAAGnr1/M=")</f>
        <v>#REF!</v>
      </c>
      <c r="IK60" t="e">
        <f>AND(#REF!,"AAAAAGnr1/Q=")</f>
        <v>#REF!</v>
      </c>
      <c r="IL60" t="e">
        <f>AND(#REF!,"AAAAAGnr1/U=")</f>
        <v>#REF!</v>
      </c>
      <c r="IM60" t="e">
        <f>AND(#REF!,"AAAAAGnr1/Y=")</f>
        <v>#REF!</v>
      </c>
      <c r="IN60" t="e">
        <f>AND(#REF!,"AAAAAGnr1/c=")</f>
        <v>#REF!</v>
      </c>
      <c r="IO60" t="e">
        <f>AND(#REF!,"AAAAAGnr1/g=")</f>
        <v>#REF!</v>
      </c>
      <c r="IP60" t="e">
        <f>AND(#REF!,"AAAAAGnr1/k=")</f>
        <v>#REF!</v>
      </c>
      <c r="IQ60" t="e">
        <f>AND(#REF!,"AAAAAGnr1/o=")</f>
        <v>#REF!</v>
      </c>
      <c r="IR60" t="e">
        <f>AND(#REF!,"AAAAAGnr1/s=")</f>
        <v>#REF!</v>
      </c>
      <c r="IS60" t="e">
        <f>AND(#REF!,"AAAAAGnr1/w=")</f>
        <v>#REF!</v>
      </c>
      <c r="IT60" t="e">
        <f>AND(#REF!,"AAAAAGnr1/0=")</f>
        <v>#REF!</v>
      </c>
      <c r="IU60" t="e">
        <f>AND(#REF!,"AAAAAGnr1/4=")</f>
        <v>#REF!</v>
      </c>
      <c r="IV60" t="e">
        <f>AND(#REF!,"AAAAAGnr1/8=")</f>
        <v>#REF!</v>
      </c>
    </row>
    <row r="61" spans="1:256">
      <c r="A61" t="e">
        <f>AND(#REF!,"AAAAAH4v/QA=")</f>
        <v>#REF!</v>
      </c>
      <c r="B61" t="e">
        <f>AND(#REF!,"AAAAAH4v/QE=")</f>
        <v>#REF!</v>
      </c>
      <c r="C61" t="e">
        <f>AND(#REF!,"AAAAAH4v/QI=")</f>
        <v>#REF!</v>
      </c>
      <c r="D61" t="e">
        <f>AND(#REF!,"AAAAAH4v/QM=")</f>
        <v>#REF!</v>
      </c>
      <c r="E61" t="e">
        <f>AND(#REF!,"AAAAAH4v/QQ=")</f>
        <v>#REF!</v>
      </c>
      <c r="F61" t="e">
        <f>AND(#REF!,"AAAAAH4v/QU=")</f>
        <v>#REF!</v>
      </c>
      <c r="G61" t="e">
        <f>AND(#REF!,"AAAAAH4v/QY=")</f>
        <v>#REF!</v>
      </c>
      <c r="H61" t="e">
        <f>AND(#REF!,"AAAAAH4v/Qc=")</f>
        <v>#REF!</v>
      </c>
      <c r="I61" t="e">
        <f>AND(#REF!,"AAAAAH4v/Qg=")</f>
        <v>#REF!</v>
      </c>
      <c r="J61" t="e">
        <f>AND(#REF!,"AAAAAH4v/Qk=")</f>
        <v>#REF!</v>
      </c>
      <c r="K61" t="e">
        <f>AND(#REF!,"AAAAAH4v/Qo=")</f>
        <v>#REF!</v>
      </c>
      <c r="L61" t="e">
        <f>AND(#REF!,"AAAAAH4v/Qs=")</f>
        <v>#REF!</v>
      </c>
      <c r="M61" t="e">
        <f>AND(#REF!,"AAAAAH4v/Qw=")</f>
        <v>#REF!</v>
      </c>
      <c r="N61" t="e">
        <f>AND(#REF!,"AAAAAH4v/Q0=")</f>
        <v>#REF!</v>
      </c>
      <c r="O61" t="e">
        <f>AND(#REF!,"AAAAAH4v/Q4=")</f>
        <v>#REF!</v>
      </c>
      <c r="P61" t="e">
        <f>AND(#REF!,"AAAAAH4v/Q8=")</f>
        <v>#REF!</v>
      </c>
      <c r="Q61" t="e">
        <f>AND(#REF!,"AAAAAH4v/RA=")</f>
        <v>#REF!</v>
      </c>
      <c r="R61" t="e">
        <f>AND(#REF!,"AAAAAH4v/RE=")</f>
        <v>#REF!</v>
      </c>
      <c r="S61" t="e">
        <f>AND(#REF!,"AAAAAH4v/RI=")</f>
        <v>#REF!</v>
      </c>
      <c r="T61" t="e">
        <f>AND(#REF!,"AAAAAH4v/RM=")</f>
        <v>#REF!</v>
      </c>
      <c r="U61" t="e">
        <f>IF(#REF!,"AAAAAH4v/RQ=",0)</f>
        <v>#REF!</v>
      </c>
      <c r="V61" t="e">
        <f>AND(#REF!,"AAAAAH4v/RU=")</f>
        <v>#REF!</v>
      </c>
      <c r="W61" t="e">
        <f>AND(#REF!,"AAAAAH4v/RY=")</f>
        <v>#REF!</v>
      </c>
      <c r="X61" t="e">
        <f>AND(#REF!,"AAAAAH4v/Rc=")</f>
        <v>#REF!</v>
      </c>
      <c r="Y61" t="e">
        <f>AND(#REF!,"AAAAAH4v/Rg=")</f>
        <v>#REF!</v>
      </c>
      <c r="Z61" t="e">
        <f>AND(#REF!,"AAAAAH4v/Rk=")</f>
        <v>#REF!</v>
      </c>
      <c r="AA61" t="e">
        <f>AND(#REF!,"AAAAAH4v/Ro=")</f>
        <v>#REF!</v>
      </c>
      <c r="AB61" t="e">
        <f>AND(#REF!,"AAAAAH4v/Rs=")</f>
        <v>#REF!</v>
      </c>
      <c r="AC61" t="e">
        <f>AND(#REF!,"AAAAAH4v/Rw=")</f>
        <v>#REF!</v>
      </c>
      <c r="AD61" t="e">
        <f>AND(#REF!,"AAAAAH4v/R0=")</f>
        <v>#REF!</v>
      </c>
      <c r="AE61" t="e">
        <f>AND(#REF!,"AAAAAH4v/R4=")</f>
        <v>#REF!</v>
      </c>
      <c r="AF61" t="e">
        <f>AND(#REF!,"AAAAAH4v/R8=")</f>
        <v>#REF!</v>
      </c>
      <c r="AG61" t="e">
        <f>AND(#REF!,"AAAAAH4v/SA=")</f>
        <v>#REF!</v>
      </c>
      <c r="AH61" t="e">
        <f>AND(#REF!,"AAAAAH4v/SE=")</f>
        <v>#REF!</v>
      </c>
      <c r="AI61" t="e">
        <f>AND(#REF!,"AAAAAH4v/SI=")</f>
        <v>#REF!</v>
      </c>
      <c r="AJ61" t="e">
        <f>AND(#REF!,"AAAAAH4v/SM=")</f>
        <v>#REF!</v>
      </c>
      <c r="AK61" t="e">
        <f>AND(#REF!,"AAAAAH4v/SQ=")</f>
        <v>#REF!</v>
      </c>
      <c r="AL61" t="e">
        <f>AND(#REF!,"AAAAAH4v/SU=")</f>
        <v>#REF!</v>
      </c>
      <c r="AM61" t="e">
        <f>AND(#REF!,"AAAAAH4v/SY=")</f>
        <v>#REF!</v>
      </c>
      <c r="AN61" t="e">
        <f>AND(#REF!,"AAAAAH4v/Sc=")</f>
        <v>#REF!</v>
      </c>
      <c r="AO61" t="e">
        <f>AND(#REF!,"AAAAAH4v/Sg=")</f>
        <v>#REF!</v>
      </c>
      <c r="AP61" t="e">
        <f>AND(#REF!,"AAAAAH4v/Sk=")</f>
        <v>#REF!</v>
      </c>
      <c r="AQ61" t="e">
        <f>AND(#REF!,"AAAAAH4v/So=")</f>
        <v>#REF!</v>
      </c>
      <c r="AR61" t="e">
        <f>AND(#REF!,"AAAAAH4v/Ss=")</f>
        <v>#REF!</v>
      </c>
      <c r="AS61" t="e">
        <f>AND(#REF!,"AAAAAH4v/Sw=")</f>
        <v>#REF!</v>
      </c>
      <c r="AT61" t="e">
        <f>AND(#REF!,"AAAAAH4v/S0=")</f>
        <v>#REF!</v>
      </c>
      <c r="AU61" t="e">
        <f>AND(#REF!,"AAAAAH4v/S4=")</f>
        <v>#REF!</v>
      </c>
      <c r="AV61" t="e">
        <f>AND(#REF!,"AAAAAH4v/S8=")</f>
        <v>#REF!</v>
      </c>
      <c r="AW61" t="e">
        <f>AND(#REF!,"AAAAAH4v/TA=")</f>
        <v>#REF!</v>
      </c>
      <c r="AX61" t="e">
        <f>AND(#REF!,"AAAAAH4v/TE=")</f>
        <v>#REF!</v>
      </c>
      <c r="AY61" t="e">
        <f>AND(#REF!,"AAAAAH4v/TI=")</f>
        <v>#REF!</v>
      </c>
      <c r="AZ61" t="e">
        <f>AND(#REF!,"AAAAAH4v/TM=")</f>
        <v>#REF!</v>
      </c>
      <c r="BA61" t="e">
        <f>AND(#REF!,"AAAAAH4v/TQ=")</f>
        <v>#REF!</v>
      </c>
      <c r="BB61" t="e">
        <f>AND(#REF!,"AAAAAH4v/TU=")</f>
        <v>#REF!</v>
      </c>
      <c r="BC61" t="e">
        <f>AND(#REF!,"AAAAAH4v/TY=")</f>
        <v>#REF!</v>
      </c>
      <c r="BD61" t="e">
        <f>AND(#REF!,"AAAAAH4v/Tc=")</f>
        <v>#REF!</v>
      </c>
      <c r="BE61" t="e">
        <f>AND(#REF!,"AAAAAH4v/Tg=")</f>
        <v>#REF!</v>
      </c>
      <c r="BF61" t="e">
        <f>AND(#REF!,"AAAAAH4v/Tk=")</f>
        <v>#REF!</v>
      </c>
      <c r="BG61" t="e">
        <f>AND(#REF!,"AAAAAH4v/To=")</f>
        <v>#REF!</v>
      </c>
      <c r="BH61" t="e">
        <f>AND(#REF!,"AAAAAH4v/Ts=")</f>
        <v>#REF!</v>
      </c>
      <c r="BI61" t="e">
        <f>AND(#REF!,"AAAAAH4v/Tw=")</f>
        <v>#REF!</v>
      </c>
      <c r="BJ61" t="e">
        <f>AND(#REF!,"AAAAAH4v/T0=")</f>
        <v>#REF!</v>
      </c>
      <c r="BK61" t="e">
        <f>AND(#REF!,"AAAAAH4v/T4=")</f>
        <v>#REF!</v>
      </c>
      <c r="BL61" t="e">
        <f>AND(#REF!,"AAAAAH4v/T8=")</f>
        <v>#REF!</v>
      </c>
      <c r="BM61" t="e">
        <f>AND(#REF!,"AAAAAH4v/UA=")</f>
        <v>#REF!</v>
      </c>
      <c r="BN61" t="e">
        <f>AND(#REF!,"AAAAAH4v/UE=")</f>
        <v>#REF!</v>
      </c>
      <c r="BO61" t="e">
        <f>AND(#REF!,"AAAAAH4v/UI=")</f>
        <v>#REF!</v>
      </c>
      <c r="BP61" t="e">
        <f>AND(#REF!,"AAAAAH4v/UM=")</f>
        <v>#REF!</v>
      </c>
      <c r="BQ61" t="e">
        <f>AND(#REF!,"AAAAAH4v/UQ=")</f>
        <v>#REF!</v>
      </c>
      <c r="BR61" t="e">
        <f>AND(#REF!,"AAAAAH4v/UU=")</f>
        <v>#REF!</v>
      </c>
      <c r="BS61" t="e">
        <f>AND(#REF!,"AAAAAH4v/UY=")</f>
        <v>#REF!</v>
      </c>
      <c r="BT61" t="e">
        <f>AND(#REF!,"AAAAAH4v/Uc=")</f>
        <v>#REF!</v>
      </c>
      <c r="BU61" t="e">
        <f>AND(#REF!,"AAAAAH4v/Ug=")</f>
        <v>#REF!</v>
      </c>
      <c r="BV61" t="e">
        <f>AND(#REF!,"AAAAAH4v/Uk=")</f>
        <v>#REF!</v>
      </c>
      <c r="BW61" t="e">
        <f>AND(#REF!,"AAAAAH4v/Uo=")</f>
        <v>#REF!</v>
      </c>
      <c r="BX61" t="e">
        <f>AND(#REF!,"AAAAAH4v/Us=")</f>
        <v>#REF!</v>
      </c>
      <c r="BY61" t="e">
        <f>AND(#REF!,"AAAAAH4v/Uw=")</f>
        <v>#REF!</v>
      </c>
      <c r="BZ61" t="e">
        <f>AND(#REF!,"AAAAAH4v/U0=")</f>
        <v>#REF!</v>
      </c>
      <c r="CA61" t="e">
        <f>AND(#REF!,"AAAAAH4v/U4=")</f>
        <v>#REF!</v>
      </c>
      <c r="CB61" t="e">
        <f>AND(#REF!,"AAAAAH4v/U8=")</f>
        <v>#REF!</v>
      </c>
      <c r="CC61" t="e">
        <f>AND(#REF!,"AAAAAH4v/VA=")</f>
        <v>#REF!</v>
      </c>
      <c r="CD61" t="e">
        <f>AND(#REF!,"AAAAAH4v/VE=")</f>
        <v>#REF!</v>
      </c>
      <c r="CE61" t="e">
        <f>AND(#REF!,"AAAAAH4v/VI=")</f>
        <v>#REF!</v>
      </c>
      <c r="CF61" t="e">
        <f>AND(#REF!,"AAAAAH4v/VM=")</f>
        <v>#REF!</v>
      </c>
      <c r="CG61" t="e">
        <f>AND(#REF!,"AAAAAH4v/VQ=")</f>
        <v>#REF!</v>
      </c>
      <c r="CH61" t="e">
        <f>AND(#REF!,"AAAAAH4v/VU=")</f>
        <v>#REF!</v>
      </c>
      <c r="CI61" t="e">
        <f>AND(#REF!,"AAAAAH4v/VY=")</f>
        <v>#REF!</v>
      </c>
      <c r="CJ61" t="e">
        <f>AND(#REF!,"AAAAAH4v/Vc=")</f>
        <v>#REF!</v>
      </c>
      <c r="CK61" t="e">
        <f>AND(#REF!,"AAAAAH4v/Vg=")</f>
        <v>#REF!</v>
      </c>
      <c r="CL61" t="e">
        <f>AND(#REF!,"AAAAAH4v/Vk=")</f>
        <v>#REF!</v>
      </c>
      <c r="CM61" t="e">
        <f>AND(#REF!,"AAAAAH4v/Vo=")</f>
        <v>#REF!</v>
      </c>
      <c r="CN61" t="e">
        <f>AND(#REF!,"AAAAAH4v/Vs=")</f>
        <v>#REF!</v>
      </c>
      <c r="CO61" t="e">
        <f>AND(#REF!,"AAAAAH4v/Vw=")</f>
        <v>#REF!</v>
      </c>
      <c r="CP61" t="e">
        <f>AND(#REF!,"AAAAAH4v/V0=")</f>
        <v>#REF!</v>
      </c>
      <c r="CQ61" t="e">
        <f>AND(#REF!,"AAAAAH4v/V4=")</f>
        <v>#REF!</v>
      </c>
      <c r="CR61" t="e">
        <f>AND(#REF!,"AAAAAH4v/V8=")</f>
        <v>#REF!</v>
      </c>
      <c r="CS61" t="e">
        <f>AND(#REF!,"AAAAAH4v/WA=")</f>
        <v>#REF!</v>
      </c>
      <c r="CT61" t="e">
        <f>AND(#REF!,"AAAAAH4v/WE=")</f>
        <v>#REF!</v>
      </c>
      <c r="CU61" t="e">
        <f>AND(#REF!,"AAAAAH4v/WI=")</f>
        <v>#REF!</v>
      </c>
      <c r="CV61" t="e">
        <f>AND(#REF!,"AAAAAH4v/WM=")</f>
        <v>#REF!</v>
      </c>
      <c r="CW61" t="e">
        <f>AND(#REF!,"AAAAAH4v/WQ=")</f>
        <v>#REF!</v>
      </c>
      <c r="CX61" t="e">
        <f>AND(#REF!,"AAAAAH4v/WU=")</f>
        <v>#REF!</v>
      </c>
      <c r="CY61" t="e">
        <f>AND(#REF!,"AAAAAH4v/WY=")</f>
        <v>#REF!</v>
      </c>
      <c r="CZ61" t="e">
        <f>AND(#REF!,"AAAAAH4v/Wc=")</f>
        <v>#REF!</v>
      </c>
      <c r="DA61" t="e">
        <f>AND(#REF!,"AAAAAH4v/Wg=")</f>
        <v>#REF!</v>
      </c>
      <c r="DB61" t="e">
        <f>AND(#REF!,"AAAAAH4v/Wk=")</f>
        <v>#REF!</v>
      </c>
      <c r="DC61" t="e">
        <f>AND(#REF!,"AAAAAH4v/Wo=")</f>
        <v>#REF!</v>
      </c>
      <c r="DD61" t="e">
        <f>AND(#REF!,"AAAAAH4v/Ws=")</f>
        <v>#REF!</v>
      </c>
      <c r="DE61" t="e">
        <f>AND(#REF!,"AAAAAH4v/Ww=")</f>
        <v>#REF!</v>
      </c>
      <c r="DF61" t="e">
        <f>AND(#REF!,"AAAAAH4v/W0=")</f>
        <v>#REF!</v>
      </c>
      <c r="DG61" t="e">
        <f>AND(#REF!,"AAAAAH4v/W4=")</f>
        <v>#REF!</v>
      </c>
      <c r="DH61" t="e">
        <f>AND(#REF!,"AAAAAH4v/W8=")</f>
        <v>#REF!</v>
      </c>
      <c r="DI61" t="e">
        <f>AND(#REF!,"AAAAAH4v/XA=")</f>
        <v>#REF!</v>
      </c>
      <c r="DJ61" t="e">
        <f>AND(#REF!,"AAAAAH4v/XE=")</f>
        <v>#REF!</v>
      </c>
      <c r="DK61" t="e">
        <f>AND(#REF!,"AAAAAH4v/XI=")</f>
        <v>#REF!</v>
      </c>
      <c r="DL61" t="e">
        <f>AND(#REF!,"AAAAAH4v/XM=")</f>
        <v>#REF!</v>
      </c>
      <c r="DM61" t="e">
        <f>AND(#REF!,"AAAAAH4v/XQ=")</f>
        <v>#REF!</v>
      </c>
      <c r="DN61" t="e">
        <f>AND(#REF!,"AAAAAH4v/XU=")</f>
        <v>#REF!</v>
      </c>
      <c r="DO61" t="e">
        <f>AND(#REF!,"AAAAAH4v/XY=")</f>
        <v>#REF!</v>
      </c>
      <c r="DP61" t="e">
        <f>AND(#REF!,"AAAAAH4v/Xc=")</f>
        <v>#REF!</v>
      </c>
      <c r="DQ61" t="e">
        <f>AND(#REF!,"AAAAAH4v/Xg=")</f>
        <v>#REF!</v>
      </c>
      <c r="DR61" t="e">
        <f>AND(#REF!,"AAAAAH4v/Xk=")</f>
        <v>#REF!</v>
      </c>
      <c r="DS61" t="e">
        <f>AND(#REF!,"AAAAAH4v/Xo=")</f>
        <v>#REF!</v>
      </c>
      <c r="DT61" t="e">
        <f>AND(#REF!,"AAAAAH4v/Xs=")</f>
        <v>#REF!</v>
      </c>
      <c r="DU61" t="e">
        <f>AND(#REF!,"AAAAAH4v/Xw=")</f>
        <v>#REF!</v>
      </c>
      <c r="DV61" t="e">
        <f>AND(#REF!,"AAAAAH4v/X0=")</f>
        <v>#REF!</v>
      </c>
      <c r="DW61" t="e">
        <f>AND(#REF!,"AAAAAH4v/X4=")</f>
        <v>#REF!</v>
      </c>
      <c r="DX61" t="e">
        <f>AND(#REF!,"AAAAAH4v/X8=")</f>
        <v>#REF!</v>
      </c>
      <c r="DY61" t="e">
        <f>AND(#REF!,"AAAAAH4v/YA=")</f>
        <v>#REF!</v>
      </c>
      <c r="DZ61" t="e">
        <f>AND(#REF!,"AAAAAH4v/YE=")</f>
        <v>#REF!</v>
      </c>
      <c r="EA61" t="e">
        <f>AND(#REF!,"AAAAAH4v/YI=")</f>
        <v>#REF!</v>
      </c>
      <c r="EB61" t="e">
        <f>AND(#REF!,"AAAAAH4v/YM=")</f>
        <v>#REF!</v>
      </c>
      <c r="EC61" t="e">
        <f>AND(#REF!,"AAAAAH4v/YQ=")</f>
        <v>#REF!</v>
      </c>
      <c r="ED61" t="e">
        <f>AND(#REF!,"AAAAAH4v/YU=")</f>
        <v>#REF!</v>
      </c>
      <c r="EE61" t="e">
        <f>AND(#REF!,"AAAAAH4v/YY=")</f>
        <v>#REF!</v>
      </c>
      <c r="EF61" t="e">
        <f>AND(#REF!,"AAAAAH4v/Yc=")</f>
        <v>#REF!</v>
      </c>
      <c r="EG61" t="e">
        <f>AND(#REF!,"AAAAAH4v/Yg=")</f>
        <v>#REF!</v>
      </c>
      <c r="EH61" t="e">
        <f>AND(#REF!,"AAAAAH4v/Yk=")</f>
        <v>#REF!</v>
      </c>
      <c r="EI61" t="e">
        <f>AND(#REF!,"AAAAAH4v/Yo=")</f>
        <v>#REF!</v>
      </c>
      <c r="EJ61" t="e">
        <f>AND(#REF!,"AAAAAH4v/Ys=")</f>
        <v>#REF!</v>
      </c>
      <c r="EK61" t="e">
        <f>AND(#REF!,"AAAAAH4v/Yw=")</f>
        <v>#REF!</v>
      </c>
      <c r="EL61" t="e">
        <f>IF(#REF!,"AAAAAH4v/Y0=",0)</f>
        <v>#REF!</v>
      </c>
      <c r="EM61" t="e">
        <f>AND(#REF!,"AAAAAH4v/Y4=")</f>
        <v>#REF!</v>
      </c>
      <c r="EN61" t="e">
        <f>AND(#REF!,"AAAAAH4v/Y8=")</f>
        <v>#REF!</v>
      </c>
      <c r="EO61" t="e">
        <f>AND(#REF!,"AAAAAH4v/ZA=")</f>
        <v>#REF!</v>
      </c>
      <c r="EP61" t="e">
        <f>AND(#REF!,"AAAAAH4v/ZE=")</f>
        <v>#REF!</v>
      </c>
      <c r="EQ61" t="e">
        <f>AND(#REF!,"AAAAAH4v/ZI=")</f>
        <v>#REF!</v>
      </c>
      <c r="ER61" t="e">
        <f>AND(#REF!,"AAAAAH4v/ZM=")</f>
        <v>#REF!</v>
      </c>
      <c r="ES61" t="e">
        <f>AND(#REF!,"AAAAAH4v/ZQ=")</f>
        <v>#REF!</v>
      </c>
      <c r="ET61" t="e">
        <f>AND(#REF!,"AAAAAH4v/ZU=")</f>
        <v>#REF!</v>
      </c>
      <c r="EU61" t="e">
        <f>AND(#REF!,"AAAAAH4v/ZY=")</f>
        <v>#REF!</v>
      </c>
      <c r="EV61" t="e">
        <f>AND(#REF!,"AAAAAH4v/Zc=")</f>
        <v>#REF!</v>
      </c>
      <c r="EW61" t="e">
        <f>AND(#REF!,"AAAAAH4v/Zg=")</f>
        <v>#REF!</v>
      </c>
      <c r="EX61" t="e">
        <f>AND(#REF!,"AAAAAH4v/Zk=")</f>
        <v>#REF!</v>
      </c>
      <c r="EY61" t="e">
        <f>AND(#REF!,"AAAAAH4v/Zo=")</f>
        <v>#REF!</v>
      </c>
      <c r="EZ61" t="e">
        <f>AND(#REF!,"AAAAAH4v/Zs=")</f>
        <v>#REF!</v>
      </c>
      <c r="FA61" t="e">
        <f>AND(#REF!,"AAAAAH4v/Zw=")</f>
        <v>#REF!</v>
      </c>
      <c r="FB61" t="e">
        <f>AND(#REF!,"AAAAAH4v/Z0=")</f>
        <v>#REF!</v>
      </c>
      <c r="FC61" t="e">
        <f>AND(#REF!,"AAAAAH4v/Z4=")</f>
        <v>#REF!</v>
      </c>
      <c r="FD61" t="e">
        <f>AND(#REF!,"AAAAAH4v/Z8=")</f>
        <v>#REF!</v>
      </c>
      <c r="FE61" t="e">
        <f>AND(#REF!,"AAAAAH4v/aA=")</f>
        <v>#REF!</v>
      </c>
      <c r="FF61" t="e">
        <f>AND(#REF!,"AAAAAH4v/aE=")</f>
        <v>#REF!</v>
      </c>
      <c r="FG61" t="e">
        <f>AND(#REF!,"AAAAAH4v/aI=")</f>
        <v>#REF!</v>
      </c>
      <c r="FH61" t="e">
        <f>AND(#REF!,"AAAAAH4v/aM=")</f>
        <v>#REF!</v>
      </c>
      <c r="FI61" t="e">
        <f>AND(#REF!,"AAAAAH4v/aQ=")</f>
        <v>#REF!</v>
      </c>
      <c r="FJ61" t="e">
        <f>AND(#REF!,"AAAAAH4v/aU=")</f>
        <v>#REF!</v>
      </c>
      <c r="FK61" t="e">
        <f>AND(#REF!,"AAAAAH4v/aY=")</f>
        <v>#REF!</v>
      </c>
      <c r="FL61" t="e">
        <f>AND(#REF!,"AAAAAH4v/ac=")</f>
        <v>#REF!</v>
      </c>
      <c r="FM61" t="e">
        <f>AND(#REF!,"AAAAAH4v/ag=")</f>
        <v>#REF!</v>
      </c>
      <c r="FN61" t="e">
        <f>AND(#REF!,"AAAAAH4v/ak=")</f>
        <v>#REF!</v>
      </c>
      <c r="FO61" t="e">
        <f>AND(#REF!,"AAAAAH4v/ao=")</f>
        <v>#REF!</v>
      </c>
      <c r="FP61" t="e">
        <f>AND(#REF!,"AAAAAH4v/as=")</f>
        <v>#REF!</v>
      </c>
      <c r="FQ61" t="e">
        <f>AND(#REF!,"AAAAAH4v/aw=")</f>
        <v>#REF!</v>
      </c>
      <c r="FR61" t="e">
        <f>AND(#REF!,"AAAAAH4v/a0=")</f>
        <v>#REF!</v>
      </c>
      <c r="FS61" t="e">
        <f>AND(#REF!,"AAAAAH4v/a4=")</f>
        <v>#REF!</v>
      </c>
      <c r="FT61" t="e">
        <f>AND(#REF!,"AAAAAH4v/a8=")</f>
        <v>#REF!</v>
      </c>
      <c r="FU61" t="e">
        <f>AND(#REF!,"AAAAAH4v/bA=")</f>
        <v>#REF!</v>
      </c>
      <c r="FV61" t="e">
        <f>AND(#REF!,"AAAAAH4v/bE=")</f>
        <v>#REF!</v>
      </c>
      <c r="FW61" t="e">
        <f>AND(#REF!,"AAAAAH4v/bI=")</f>
        <v>#REF!</v>
      </c>
      <c r="FX61" t="e">
        <f>AND(#REF!,"AAAAAH4v/bM=")</f>
        <v>#REF!</v>
      </c>
      <c r="FY61" t="e">
        <f>AND(#REF!,"AAAAAH4v/bQ=")</f>
        <v>#REF!</v>
      </c>
      <c r="FZ61" t="e">
        <f>AND(#REF!,"AAAAAH4v/bU=")</f>
        <v>#REF!</v>
      </c>
      <c r="GA61" t="e">
        <f>AND(#REF!,"AAAAAH4v/bY=")</f>
        <v>#REF!</v>
      </c>
      <c r="GB61" t="e">
        <f>AND(#REF!,"AAAAAH4v/bc=")</f>
        <v>#REF!</v>
      </c>
      <c r="GC61" t="e">
        <f>AND(#REF!,"AAAAAH4v/bg=")</f>
        <v>#REF!</v>
      </c>
      <c r="GD61" t="e">
        <f>AND(#REF!,"AAAAAH4v/bk=")</f>
        <v>#REF!</v>
      </c>
      <c r="GE61" t="e">
        <f>AND(#REF!,"AAAAAH4v/bo=")</f>
        <v>#REF!</v>
      </c>
      <c r="GF61" t="e">
        <f>AND(#REF!,"AAAAAH4v/bs=")</f>
        <v>#REF!</v>
      </c>
      <c r="GG61" t="e">
        <f>AND(#REF!,"AAAAAH4v/bw=")</f>
        <v>#REF!</v>
      </c>
      <c r="GH61" t="e">
        <f>AND(#REF!,"AAAAAH4v/b0=")</f>
        <v>#REF!</v>
      </c>
      <c r="GI61" t="e">
        <f>AND(#REF!,"AAAAAH4v/b4=")</f>
        <v>#REF!</v>
      </c>
      <c r="GJ61" t="e">
        <f>AND(#REF!,"AAAAAH4v/b8=")</f>
        <v>#REF!</v>
      </c>
      <c r="GK61" t="e">
        <f>AND(#REF!,"AAAAAH4v/cA=")</f>
        <v>#REF!</v>
      </c>
      <c r="GL61" t="e">
        <f>AND(#REF!,"AAAAAH4v/cE=")</f>
        <v>#REF!</v>
      </c>
      <c r="GM61" t="e">
        <f>AND(#REF!,"AAAAAH4v/cI=")</f>
        <v>#REF!</v>
      </c>
      <c r="GN61" t="e">
        <f>AND(#REF!,"AAAAAH4v/cM=")</f>
        <v>#REF!</v>
      </c>
      <c r="GO61" t="e">
        <f>AND(#REF!,"AAAAAH4v/cQ=")</f>
        <v>#REF!</v>
      </c>
      <c r="GP61" t="e">
        <f>AND(#REF!,"AAAAAH4v/cU=")</f>
        <v>#REF!</v>
      </c>
      <c r="GQ61" t="e">
        <f>AND(#REF!,"AAAAAH4v/cY=")</f>
        <v>#REF!</v>
      </c>
      <c r="GR61" t="e">
        <f>AND(#REF!,"AAAAAH4v/cc=")</f>
        <v>#REF!</v>
      </c>
      <c r="GS61" t="e">
        <f>AND(#REF!,"AAAAAH4v/cg=")</f>
        <v>#REF!</v>
      </c>
      <c r="GT61" t="e">
        <f>AND(#REF!,"AAAAAH4v/ck=")</f>
        <v>#REF!</v>
      </c>
      <c r="GU61" t="e">
        <f>AND(#REF!,"AAAAAH4v/co=")</f>
        <v>#REF!</v>
      </c>
      <c r="GV61" t="e">
        <f>AND(#REF!,"AAAAAH4v/cs=")</f>
        <v>#REF!</v>
      </c>
      <c r="GW61" t="e">
        <f>AND(#REF!,"AAAAAH4v/cw=")</f>
        <v>#REF!</v>
      </c>
      <c r="GX61" t="e">
        <f>AND(#REF!,"AAAAAH4v/c0=")</f>
        <v>#REF!</v>
      </c>
      <c r="GY61" t="e">
        <f>AND(#REF!,"AAAAAH4v/c4=")</f>
        <v>#REF!</v>
      </c>
      <c r="GZ61" t="e">
        <f>AND(#REF!,"AAAAAH4v/c8=")</f>
        <v>#REF!</v>
      </c>
      <c r="HA61" t="e">
        <f>AND(#REF!,"AAAAAH4v/dA=")</f>
        <v>#REF!</v>
      </c>
      <c r="HB61" t="e">
        <f>AND(#REF!,"AAAAAH4v/dE=")</f>
        <v>#REF!</v>
      </c>
      <c r="HC61" t="e">
        <f>AND(#REF!,"AAAAAH4v/dI=")</f>
        <v>#REF!</v>
      </c>
      <c r="HD61" t="e">
        <f>AND(#REF!,"AAAAAH4v/dM=")</f>
        <v>#REF!</v>
      </c>
      <c r="HE61" t="e">
        <f>AND(#REF!,"AAAAAH4v/dQ=")</f>
        <v>#REF!</v>
      </c>
      <c r="HF61" t="e">
        <f>AND(#REF!,"AAAAAH4v/dU=")</f>
        <v>#REF!</v>
      </c>
      <c r="HG61" t="e">
        <f>AND(#REF!,"AAAAAH4v/dY=")</f>
        <v>#REF!</v>
      </c>
      <c r="HH61" t="e">
        <f>AND(#REF!,"AAAAAH4v/dc=")</f>
        <v>#REF!</v>
      </c>
      <c r="HI61" t="e">
        <f>AND(#REF!,"AAAAAH4v/dg=")</f>
        <v>#REF!</v>
      </c>
      <c r="HJ61" t="e">
        <f>AND(#REF!,"AAAAAH4v/dk=")</f>
        <v>#REF!</v>
      </c>
      <c r="HK61" t="e">
        <f>AND(#REF!,"AAAAAH4v/do=")</f>
        <v>#REF!</v>
      </c>
      <c r="HL61" t="e">
        <f>AND(#REF!,"AAAAAH4v/ds=")</f>
        <v>#REF!</v>
      </c>
      <c r="HM61" t="e">
        <f>AND(#REF!,"AAAAAH4v/dw=")</f>
        <v>#REF!</v>
      </c>
      <c r="HN61" t="e">
        <f>AND(#REF!,"AAAAAH4v/d0=")</f>
        <v>#REF!</v>
      </c>
      <c r="HO61" t="e">
        <f>AND(#REF!,"AAAAAH4v/d4=")</f>
        <v>#REF!</v>
      </c>
      <c r="HP61" t="e">
        <f>AND(#REF!,"AAAAAH4v/d8=")</f>
        <v>#REF!</v>
      </c>
      <c r="HQ61" t="e">
        <f>AND(#REF!,"AAAAAH4v/eA=")</f>
        <v>#REF!</v>
      </c>
      <c r="HR61" t="e">
        <f>AND(#REF!,"AAAAAH4v/eE=")</f>
        <v>#REF!</v>
      </c>
      <c r="HS61" t="e">
        <f>AND(#REF!,"AAAAAH4v/eI=")</f>
        <v>#REF!</v>
      </c>
      <c r="HT61" t="e">
        <f>AND(#REF!,"AAAAAH4v/eM=")</f>
        <v>#REF!</v>
      </c>
      <c r="HU61" t="e">
        <f>AND(#REF!,"AAAAAH4v/eQ=")</f>
        <v>#REF!</v>
      </c>
      <c r="HV61" t="e">
        <f>AND(#REF!,"AAAAAH4v/eU=")</f>
        <v>#REF!</v>
      </c>
      <c r="HW61" t="e">
        <f>AND(#REF!,"AAAAAH4v/eY=")</f>
        <v>#REF!</v>
      </c>
      <c r="HX61" t="e">
        <f>AND(#REF!,"AAAAAH4v/ec=")</f>
        <v>#REF!</v>
      </c>
      <c r="HY61" t="e">
        <f>AND(#REF!,"AAAAAH4v/eg=")</f>
        <v>#REF!</v>
      </c>
      <c r="HZ61" t="e">
        <f>AND(#REF!,"AAAAAH4v/ek=")</f>
        <v>#REF!</v>
      </c>
      <c r="IA61" t="e">
        <f>AND(#REF!,"AAAAAH4v/eo=")</f>
        <v>#REF!</v>
      </c>
      <c r="IB61" t="e">
        <f>AND(#REF!,"AAAAAH4v/es=")</f>
        <v>#REF!</v>
      </c>
      <c r="IC61" t="e">
        <f>AND(#REF!,"AAAAAH4v/ew=")</f>
        <v>#REF!</v>
      </c>
      <c r="ID61" t="e">
        <f>AND(#REF!,"AAAAAH4v/e0=")</f>
        <v>#REF!</v>
      </c>
      <c r="IE61" t="e">
        <f>AND(#REF!,"AAAAAH4v/e4=")</f>
        <v>#REF!</v>
      </c>
      <c r="IF61" t="e">
        <f>AND(#REF!,"AAAAAH4v/e8=")</f>
        <v>#REF!</v>
      </c>
      <c r="IG61" t="e">
        <f>AND(#REF!,"AAAAAH4v/fA=")</f>
        <v>#REF!</v>
      </c>
      <c r="IH61" t="e">
        <f>AND(#REF!,"AAAAAH4v/fE=")</f>
        <v>#REF!</v>
      </c>
      <c r="II61" t="e">
        <f>AND(#REF!,"AAAAAH4v/fI=")</f>
        <v>#REF!</v>
      </c>
      <c r="IJ61" t="e">
        <f>AND(#REF!,"AAAAAH4v/fM=")</f>
        <v>#REF!</v>
      </c>
      <c r="IK61" t="e">
        <f>AND(#REF!,"AAAAAH4v/fQ=")</f>
        <v>#REF!</v>
      </c>
      <c r="IL61" t="e">
        <f>AND(#REF!,"AAAAAH4v/fU=")</f>
        <v>#REF!</v>
      </c>
      <c r="IM61" t="e">
        <f>AND(#REF!,"AAAAAH4v/fY=")</f>
        <v>#REF!</v>
      </c>
      <c r="IN61" t="e">
        <f>AND(#REF!,"AAAAAH4v/fc=")</f>
        <v>#REF!</v>
      </c>
      <c r="IO61" t="e">
        <f>AND(#REF!,"AAAAAH4v/fg=")</f>
        <v>#REF!</v>
      </c>
      <c r="IP61" t="e">
        <f>AND(#REF!,"AAAAAH4v/fk=")</f>
        <v>#REF!</v>
      </c>
      <c r="IQ61" t="e">
        <f>AND(#REF!,"AAAAAH4v/fo=")</f>
        <v>#REF!</v>
      </c>
      <c r="IR61" t="e">
        <f>AND(#REF!,"AAAAAH4v/fs=")</f>
        <v>#REF!</v>
      </c>
      <c r="IS61" t="e">
        <f>AND(#REF!,"AAAAAH4v/fw=")</f>
        <v>#REF!</v>
      </c>
      <c r="IT61" t="e">
        <f>AND(#REF!,"AAAAAH4v/f0=")</f>
        <v>#REF!</v>
      </c>
      <c r="IU61" t="e">
        <f>AND(#REF!,"AAAAAH4v/f4=")</f>
        <v>#REF!</v>
      </c>
      <c r="IV61" t="e">
        <f>AND(#REF!,"AAAAAH4v/f8=")</f>
        <v>#REF!</v>
      </c>
    </row>
    <row r="62" spans="1:256">
      <c r="A62" t="e">
        <f>AND(#REF!,"AAAAAH7vfgA=")</f>
        <v>#REF!</v>
      </c>
      <c r="B62" t="e">
        <f>AND(#REF!,"AAAAAH7vfgE=")</f>
        <v>#REF!</v>
      </c>
      <c r="C62" t="e">
        <f>AND(#REF!,"AAAAAH7vfgI=")</f>
        <v>#REF!</v>
      </c>
      <c r="D62" t="e">
        <f>AND(#REF!,"AAAAAH7vfgM=")</f>
        <v>#REF!</v>
      </c>
      <c r="E62" t="e">
        <f>AND(#REF!,"AAAAAH7vfgQ=")</f>
        <v>#REF!</v>
      </c>
      <c r="F62" t="e">
        <f>AND(#REF!,"AAAAAH7vfgU=")</f>
        <v>#REF!</v>
      </c>
      <c r="G62" t="e">
        <f>IF(#REF!,"AAAAAH7vfgY=",0)</f>
        <v>#REF!</v>
      </c>
      <c r="H62" t="e">
        <f>AND(#REF!,"AAAAAH7vfgc=")</f>
        <v>#REF!</v>
      </c>
      <c r="I62" t="e">
        <f>AND(#REF!,"AAAAAH7vfgg=")</f>
        <v>#REF!</v>
      </c>
      <c r="J62" t="e">
        <f>AND(#REF!,"AAAAAH7vfgk=")</f>
        <v>#REF!</v>
      </c>
      <c r="K62" t="e">
        <f>AND(#REF!,"AAAAAH7vfgo=")</f>
        <v>#REF!</v>
      </c>
      <c r="L62" t="e">
        <f>AND(#REF!,"AAAAAH7vfgs=")</f>
        <v>#REF!</v>
      </c>
      <c r="M62" t="e">
        <f>AND(#REF!,"AAAAAH7vfgw=")</f>
        <v>#REF!</v>
      </c>
      <c r="N62" t="e">
        <f>AND(#REF!,"AAAAAH7vfg0=")</f>
        <v>#REF!</v>
      </c>
      <c r="O62" t="e">
        <f>AND(#REF!,"AAAAAH7vfg4=")</f>
        <v>#REF!</v>
      </c>
      <c r="P62" t="e">
        <f>AND(#REF!,"AAAAAH7vfg8=")</f>
        <v>#REF!</v>
      </c>
      <c r="Q62" t="e">
        <f>AND(#REF!,"AAAAAH7vfhA=")</f>
        <v>#REF!</v>
      </c>
      <c r="R62" t="e">
        <f>AND(#REF!,"AAAAAH7vfhE=")</f>
        <v>#REF!</v>
      </c>
      <c r="S62" t="e">
        <f>AND(#REF!,"AAAAAH7vfhI=")</f>
        <v>#REF!</v>
      </c>
      <c r="T62" t="e">
        <f>AND(#REF!,"AAAAAH7vfhM=")</f>
        <v>#REF!</v>
      </c>
      <c r="U62" t="e">
        <f>AND(#REF!,"AAAAAH7vfhQ=")</f>
        <v>#REF!</v>
      </c>
      <c r="V62" t="e">
        <f>AND(#REF!,"AAAAAH7vfhU=")</f>
        <v>#REF!</v>
      </c>
      <c r="W62" t="e">
        <f>AND(#REF!,"AAAAAH7vfhY=")</f>
        <v>#REF!</v>
      </c>
      <c r="X62" t="e">
        <f>AND(#REF!,"AAAAAH7vfhc=")</f>
        <v>#REF!</v>
      </c>
      <c r="Y62" t="e">
        <f>AND(#REF!,"AAAAAH7vfhg=")</f>
        <v>#REF!</v>
      </c>
      <c r="Z62" t="e">
        <f>AND(#REF!,"AAAAAH7vfhk=")</f>
        <v>#REF!</v>
      </c>
      <c r="AA62" t="e">
        <f>AND(#REF!,"AAAAAH7vfho=")</f>
        <v>#REF!</v>
      </c>
      <c r="AB62" t="e">
        <f>AND(#REF!,"AAAAAH7vfhs=")</f>
        <v>#REF!</v>
      </c>
      <c r="AC62" t="e">
        <f>AND(#REF!,"AAAAAH7vfhw=")</f>
        <v>#REF!</v>
      </c>
      <c r="AD62" t="e">
        <f>AND(#REF!,"AAAAAH7vfh0=")</f>
        <v>#REF!</v>
      </c>
      <c r="AE62" t="e">
        <f>AND(#REF!,"AAAAAH7vfh4=")</f>
        <v>#REF!</v>
      </c>
      <c r="AF62" t="e">
        <f>AND(#REF!,"AAAAAH7vfh8=")</f>
        <v>#REF!</v>
      </c>
      <c r="AG62" t="e">
        <f>AND(#REF!,"AAAAAH7vfiA=")</f>
        <v>#REF!</v>
      </c>
      <c r="AH62" t="e">
        <f>AND(#REF!,"AAAAAH7vfiE=")</f>
        <v>#REF!</v>
      </c>
      <c r="AI62" t="e">
        <f>AND(#REF!,"AAAAAH7vfiI=")</f>
        <v>#REF!</v>
      </c>
      <c r="AJ62" t="e">
        <f>AND(#REF!,"AAAAAH7vfiM=")</f>
        <v>#REF!</v>
      </c>
      <c r="AK62" t="e">
        <f>AND(#REF!,"AAAAAH7vfiQ=")</f>
        <v>#REF!</v>
      </c>
      <c r="AL62" t="e">
        <f>AND(#REF!,"AAAAAH7vfiU=")</f>
        <v>#REF!</v>
      </c>
      <c r="AM62" t="e">
        <f>AND(#REF!,"AAAAAH7vfiY=")</f>
        <v>#REF!</v>
      </c>
      <c r="AN62" t="e">
        <f>AND(#REF!,"AAAAAH7vfic=")</f>
        <v>#REF!</v>
      </c>
      <c r="AO62" t="e">
        <f>AND(#REF!,"AAAAAH7vfig=")</f>
        <v>#REF!</v>
      </c>
      <c r="AP62" t="e">
        <f>AND(#REF!,"AAAAAH7vfik=")</f>
        <v>#REF!</v>
      </c>
      <c r="AQ62" t="e">
        <f>AND(#REF!,"AAAAAH7vfio=")</f>
        <v>#REF!</v>
      </c>
      <c r="AR62" t="e">
        <f>AND(#REF!,"AAAAAH7vfis=")</f>
        <v>#REF!</v>
      </c>
      <c r="AS62" t="e">
        <f>AND(#REF!,"AAAAAH7vfiw=")</f>
        <v>#REF!</v>
      </c>
      <c r="AT62" t="e">
        <f>AND(#REF!,"AAAAAH7vfi0=")</f>
        <v>#REF!</v>
      </c>
      <c r="AU62" t="e">
        <f>AND(#REF!,"AAAAAH7vfi4=")</f>
        <v>#REF!</v>
      </c>
      <c r="AV62" t="e">
        <f>AND(#REF!,"AAAAAH7vfi8=")</f>
        <v>#REF!</v>
      </c>
      <c r="AW62" t="e">
        <f>AND(#REF!,"AAAAAH7vfjA=")</f>
        <v>#REF!</v>
      </c>
      <c r="AX62" t="e">
        <f>AND(#REF!,"AAAAAH7vfjE=")</f>
        <v>#REF!</v>
      </c>
      <c r="AY62" t="e">
        <f>AND(#REF!,"AAAAAH7vfjI=")</f>
        <v>#REF!</v>
      </c>
      <c r="AZ62" t="e">
        <f>AND(#REF!,"AAAAAH7vfjM=")</f>
        <v>#REF!</v>
      </c>
      <c r="BA62" t="e">
        <f>AND(#REF!,"AAAAAH7vfjQ=")</f>
        <v>#REF!</v>
      </c>
      <c r="BB62" t="e">
        <f>AND(#REF!,"AAAAAH7vfjU=")</f>
        <v>#REF!</v>
      </c>
      <c r="BC62" t="e">
        <f>AND(#REF!,"AAAAAH7vfjY=")</f>
        <v>#REF!</v>
      </c>
      <c r="BD62" t="e">
        <f>AND(#REF!,"AAAAAH7vfjc=")</f>
        <v>#REF!</v>
      </c>
      <c r="BE62" t="e">
        <f>AND(#REF!,"AAAAAH7vfjg=")</f>
        <v>#REF!</v>
      </c>
      <c r="BF62" t="e">
        <f>AND(#REF!,"AAAAAH7vfjk=")</f>
        <v>#REF!</v>
      </c>
      <c r="BG62" t="e">
        <f>AND(#REF!,"AAAAAH7vfjo=")</f>
        <v>#REF!</v>
      </c>
      <c r="BH62" t="e">
        <f>AND(#REF!,"AAAAAH7vfjs=")</f>
        <v>#REF!</v>
      </c>
      <c r="BI62" t="e">
        <f>AND(#REF!,"AAAAAH7vfjw=")</f>
        <v>#REF!</v>
      </c>
      <c r="BJ62" t="e">
        <f>AND(#REF!,"AAAAAH7vfj0=")</f>
        <v>#REF!</v>
      </c>
      <c r="BK62" t="e">
        <f>AND(#REF!,"AAAAAH7vfj4=")</f>
        <v>#REF!</v>
      </c>
      <c r="BL62" t="e">
        <f>AND(#REF!,"AAAAAH7vfj8=")</f>
        <v>#REF!</v>
      </c>
      <c r="BM62" t="e">
        <f>AND(#REF!,"AAAAAH7vfkA=")</f>
        <v>#REF!</v>
      </c>
      <c r="BN62" t="e">
        <f>AND(#REF!,"AAAAAH7vfkE=")</f>
        <v>#REF!</v>
      </c>
      <c r="BO62" t="e">
        <f>AND(#REF!,"AAAAAH7vfkI=")</f>
        <v>#REF!</v>
      </c>
      <c r="BP62" t="e">
        <f>AND(#REF!,"AAAAAH7vfkM=")</f>
        <v>#REF!</v>
      </c>
      <c r="BQ62" t="e">
        <f>AND(#REF!,"AAAAAH7vfkQ=")</f>
        <v>#REF!</v>
      </c>
      <c r="BR62" t="e">
        <f>AND(#REF!,"AAAAAH7vfkU=")</f>
        <v>#REF!</v>
      </c>
      <c r="BS62" t="e">
        <f>AND(#REF!,"AAAAAH7vfkY=")</f>
        <v>#REF!</v>
      </c>
      <c r="BT62" t="e">
        <f>AND(#REF!,"AAAAAH7vfkc=")</f>
        <v>#REF!</v>
      </c>
      <c r="BU62" t="e">
        <f>AND(#REF!,"AAAAAH7vfkg=")</f>
        <v>#REF!</v>
      </c>
      <c r="BV62" t="e">
        <f>AND(#REF!,"AAAAAH7vfkk=")</f>
        <v>#REF!</v>
      </c>
      <c r="BW62" t="e">
        <f>AND(#REF!,"AAAAAH7vfko=")</f>
        <v>#REF!</v>
      </c>
      <c r="BX62" t="e">
        <f>AND(#REF!,"AAAAAH7vfks=")</f>
        <v>#REF!</v>
      </c>
      <c r="BY62" t="e">
        <f>AND(#REF!,"AAAAAH7vfkw=")</f>
        <v>#REF!</v>
      </c>
      <c r="BZ62" t="e">
        <f>AND(#REF!,"AAAAAH7vfk0=")</f>
        <v>#REF!</v>
      </c>
      <c r="CA62" t="e">
        <f>AND(#REF!,"AAAAAH7vfk4=")</f>
        <v>#REF!</v>
      </c>
      <c r="CB62" t="e">
        <f>AND(#REF!,"AAAAAH7vfk8=")</f>
        <v>#REF!</v>
      </c>
      <c r="CC62" t="e">
        <f>AND(#REF!,"AAAAAH7vflA=")</f>
        <v>#REF!</v>
      </c>
      <c r="CD62" t="e">
        <f>AND(#REF!,"AAAAAH7vflE=")</f>
        <v>#REF!</v>
      </c>
      <c r="CE62" t="e">
        <f>AND(#REF!,"AAAAAH7vflI=")</f>
        <v>#REF!</v>
      </c>
      <c r="CF62" t="e">
        <f>AND(#REF!,"AAAAAH7vflM=")</f>
        <v>#REF!</v>
      </c>
      <c r="CG62" t="e">
        <f>AND(#REF!,"AAAAAH7vflQ=")</f>
        <v>#REF!</v>
      </c>
      <c r="CH62" t="e">
        <f>AND(#REF!,"AAAAAH7vflU=")</f>
        <v>#REF!</v>
      </c>
      <c r="CI62" t="e">
        <f>AND(#REF!,"AAAAAH7vflY=")</f>
        <v>#REF!</v>
      </c>
      <c r="CJ62" t="e">
        <f>AND(#REF!,"AAAAAH7vflc=")</f>
        <v>#REF!</v>
      </c>
      <c r="CK62" t="e">
        <f>AND(#REF!,"AAAAAH7vflg=")</f>
        <v>#REF!</v>
      </c>
      <c r="CL62" t="e">
        <f>AND(#REF!,"AAAAAH7vflk=")</f>
        <v>#REF!</v>
      </c>
      <c r="CM62" t="e">
        <f>AND(#REF!,"AAAAAH7vflo=")</f>
        <v>#REF!</v>
      </c>
      <c r="CN62" t="e">
        <f>AND(#REF!,"AAAAAH7vfls=")</f>
        <v>#REF!</v>
      </c>
      <c r="CO62" t="e">
        <f>AND(#REF!,"AAAAAH7vflw=")</f>
        <v>#REF!</v>
      </c>
      <c r="CP62" t="e">
        <f>AND(#REF!,"AAAAAH7vfl0=")</f>
        <v>#REF!</v>
      </c>
      <c r="CQ62" t="e">
        <f>AND(#REF!,"AAAAAH7vfl4=")</f>
        <v>#REF!</v>
      </c>
      <c r="CR62" t="e">
        <f>AND(#REF!,"AAAAAH7vfl8=")</f>
        <v>#REF!</v>
      </c>
      <c r="CS62" t="e">
        <f>AND(#REF!,"AAAAAH7vfmA=")</f>
        <v>#REF!</v>
      </c>
      <c r="CT62" t="e">
        <f>AND(#REF!,"AAAAAH7vfmE=")</f>
        <v>#REF!</v>
      </c>
      <c r="CU62" t="e">
        <f>AND(#REF!,"AAAAAH7vfmI=")</f>
        <v>#REF!</v>
      </c>
      <c r="CV62" t="e">
        <f>AND(#REF!,"AAAAAH7vfmM=")</f>
        <v>#REF!</v>
      </c>
      <c r="CW62" t="e">
        <f>AND(#REF!,"AAAAAH7vfmQ=")</f>
        <v>#REF!</v>
      </c>
      <c r="CX62" t="e">
        <f>AND(#REF!,"AAAAAH7vfmU=")</f>
        <v>#REF!</v>
      </c>
      <c r="CY62" t="e">
        <f>AND(#REF!,"AAAAAH7vfmY=")</f>
        <v>#REF!</v>
      </c>
      <c r="CZ62" t="e">
        <f>AND(#REF!,"AAAAAH7vfmc=")</f>
        <v>#REF!</v>
      </c>
      <c r="DA62" t="e">
        <f>AND(#REF!,"AAAAAH7vfmg=")</f>
        <v>#REF!</v>
      </c>
      <c r="DB62" t="e">
        <f>AND(#REF!,"AAAAAH7vfmk=")</f>
        <v>#REF!</v>
      </c>
      <c r="DC62" t="e">
        <f>AND(#REF!,"AAAAAH7vfmo=")</f>
        <v>#REF!</v>
      </c>
      <c r="DD62" t="e">
        <f>AND(#REF!,"AAAAAH7vfms=")</f>
        <v>#REF!</v>
      </c>
      <c r="DE62" t="e">
        <f>AND(#REF!,"AAAAAH7vfmw=")</f>
        <v>#REF!</v>
      </c>
      <c r="DF62" t="e">
        <f>AND(#REF!,"AAAAAH7vfm0=")</f>
        <v>#REF!</v>
      </c>
      <c r="DG62" t="e">
        <f>AND(#REF!,"AAAAAH7vfm4=")</f>
        <v>#REF!</v>
      </c>
      <c r="DH62" t="e">
        <f>AND(#REF!,"AAAAAH7vfm8=")</f>
        <v>#REF!</v>
      </c>
      <c r="DI62" t="e">
        <f>AND(#REF!,"AAAAAH7vfnA=")</f>
        <v>#REF!</v>
      </c>
      <c r="DJ62" t="e">
        <f>AND(#REF!,"AAAAAH7vfnE=")</f>
        <v>#REF!</v>
      </c>
      <c r="DK62" t="e">
        <f>AND(#REF!,"AAAAAH7vfnI=")</f>
        <v>#REF!</v>
      </c>
      <c r="DL62" t="e">
        <f>AND(#REF!,"AAAAAH7vfnM=")</f>
        <v>#REF!</v>
      </c>
      <c r="DM62" t="e">
        <f>AND(#REF!,"AAAAAH7vfnQ=")</f>
        <v>#REF!</v>
      </c>
      <c r="DN62" t="e">
        <f>AND(#REF!,"AAAAAH7vfnU=")</f>
        <v>#REF!</v>
      </c>
      <c r="DO62" t="e">
        <f>AND(#REF!,"AAAAAH7vfnY=")</f>
        <v>#REF!</v>
      </c>
      <c r="DP62" t="e">
        <f>AND(#REF!,"AAAAAH7vfnc=")</f>
        <v>#REF!</v>
      </c>
      <c r="DQ62" t="e">
        <f>AND(#REF!,"AAAAAH7vfng=")</f>
        <v>#REF!</v>
      </c>
      <c r="DR62" t="e">
        <f>AND(#REF!,"AAAAAH7vfnk=")</f>
        <v>#REF!</v>
      </c>
      <c r="DS62" t="e">
        <f>AND(#REF!,"AAAAAH7vfno=")</f>
        <v>#REF!</v>
      </c>
      <c r="DT62" t="e">
        <f>AND(#REF!,"AAAAAH7vfns=")</f>
        <v>#REF!</v>
      </c>
      <c r="DU62" t="e">
        <f>AND(#REF!,"AAAAAH7vfnw=")</f>
        <v>#REF!</v>
      </c>
      <c r="DV62" t="e">
        <f>AND(#REF!,"AAAAAH7vfn0=")</f>
        <v>#REF!</v>
      </c>
      <c r="DW62" t="e">
        <f>AND(#REF!,"AAAAAH7vfn4=")</f>
        <v>#REF!</v>
      </c>
      <c r="DX62" t="e">
        <f>IF(#REF!,"AAAAAH7vfn8=",0)</f>
        <v>#REF!</v>
      </c>
      <c r="DY62" t="e">
        <f>AND(#REF!,"AAAAAH7vfoA=")</f>
        <v>#REF!</v>
      </c>
      <c r="DZ62" t="e">
        <f>AND(#REF!,"AAAAAH7vfoE=")</f>
        <v>#REF!</v>
      </c>
      <c r="EA62" t="e">
        <f>AND(#REF!,"AAAAAH7vfoI=")</f>
        <v>#REF!</v>
      </c>
      <c r="EB62" t="e">
        <f>AND(#REF!,"AAAAAH7vfoM=")</f>
        <v>#REF!</v>
      </c>
      <c r="EC62" t="e">
        <f>AND(#REF!,"AAAAAH7vfoQ=")</f>
        <v>#REF!</v>
      </c>
      <c r="ED62" t="e">
        <f>AND(#REF!,"AAAAAH7vfoU=")</f>
        <v>#REF!</v>
      </c>
      <c r="EE62" t="e">
        <f>AND(#REF!,"AAAAAH7vfoY=")</f>
        <v>#REF!</v>
      </c>
      <c r="EF62" t="e">
        <f>AND(#REF!,"AAAAAH7vfoc=")</f>
        <v>#REF!</v>
      </c>
      <c r="EG62" t="e">
        <f>AND(#REF!,"AAAAAH7vfog=")</f>
        <v>#REF!</v>
      </c>
      <c r="EH62" t="e">
        <f>AND(#REF!,"AAAAAH7vfok=")</f>
        <v>#REF!</v>
      </c>
      <c r="EI62" t="e">
        <f>AND(#REF!,"AAAAAH7vfoo=")</f>
        <v>#REF!</v>
      </c>
      <c r="EJ62" t="e">
        <f>AND(#REF!,"AAAAAH7vfos=")</f>
        <v>#REF!</v>
      </c>
      <c r="EK62" t="e">
        <f>AND(#REF!,"AAAAAH7vfow=")</f>
        <v>#REF!</v>
      </c>
      <c r="EL62" t="e">
        <f>AND(#REF!,"AAAAAH7vfo0=")</f>
        <v>#REF!</v>
      </c>
      <c r="EM62" t="e">
        <f>AND(#REF!,"AAAAAH7vfo4=")</f>
        <v>#REF!</v>
      </c>
      <c r="EN62" t="e">
        <f>AND(#REF!,"AAAAAH7vfo8=")</f>
        <v>#REF!</v>
      </c>
      <c r="EO62" t="e">
        <f>AND(#REF!,"AAAAAH7vfpA=")</f>
        <v>#REF!</v>
      </c>
      <c r="EP62" t="e">
        <f>AND(#REF!,"AAAAAH7vfpE=")</f>
        <v>#REF!</v>
      </c>
      <c r="EQ62" t="e">
        <f>AND(#REF!,"AAAAAH7vfpI=")</f>
        <v>#REF!</v>
      </c>
      <c r="ER62" t="e">
        <f>AND(#REF!,"AAAAAH7vfpM=")</f>
        <v>#REF!</v>
      </c>
      <c r="ES62" t="e">
        <f>AND(#REF!,"AAAAAH7vfpQ=")</f>
        <v>#REF!</v>
      </c>
      <c r="ET62" t="e">
        <f>AND(#REF!,"AAAAAH7vfpU=")</f>
        <v>#REF!</v>
      </c>
      <c r="EU62" t="e">
        <f>AND(#REF!,"AAAAAH7vfpY=")</f>
        <v>#REF!</v>
      </c>
      <c r="EV62" t="e">
        <f>AND(#REF!,"AAAAAH7vfpc=")</f>
        <v>#REF!</v>
      </c>
      <c r="EW62" t="e">
        <f>AND(#REF!,"AAAAAH7vfpg=")</f>
        <v>#REF!</v>
      </c>
      <c r="EX62" t="e">
        <f>AND(#REF!,"AAAAAH7vfpk=")</f>
        <v>#REF!</v>
      </c>
      <c r="EY62" t="e">
        <f>AND(#REF!,"AAAAAH7vfpo=")</f>
        <v>#REF!</v>
      </c>
      <c r="EZ62" t="e">
        <f>AND(#REF!,"AAAAAH7vfps=")</f>
        <v>#REF!</v>
      </c>
      <c r="FA62" t="e">
        <f>AND(#REF!,"AAAAAH7vfpw=")</f>
        <v>#REF!</v>
      </c>
      <c r="FB62" t="e">
        <f>AND(#REF!,"AAAAAH7vfp0=")</f>
        <v>#REF!</v>
      </c>
      <c r="FC62" t="e">
        <f>AND(#REF!,"AAAAAH7vfp4=")</f>
        <v>#REF!</v>
      </c>
      <c r="FD62" t="e">
        <f>AND(#REF!,"AAAAAH7vfp8=")</f>
        <v>#REF!</v>
      </c>
      <c r="FE62" t="e">
        <f>AND(#REF!,"AAAAAH7vfqA=")</f>
        <v>#REF!</v>
      </c>
      <c r="FF62" t="e">
        <f>AND(#REF!,"AAAAAH7vfqE=")</f>
        <v>#REF!</v>
      </c>
      <c r="FG62" t="e">
        <f>AND(#REF!,"AAAAAH7vfqI=")</f>
        <v>#REF!</v>
      </c>
      <c r="FH62" t="e">
        <f>AND(#REF!,"AAAAAH7vfqM=")</f>
        <v>#REF!</v>
      </c>
      <c r="FI62" t="e">
        <f>AND(#REF!,"AAAAAH7vfqQ=")</f>
        <v>#REF!</v>
      </c>
      <c r="FJ62" t="e">
        <f>AND(#REF!,"AAAAAH7vfqU=")</f>
        <v>#REF!</v>
      </c>
      <c r="FK62" t="e">
        <f>AND(#REF!,"AAAAAH7vfqY=")</f>
        <v>#REF!</v>
      </c>
      <c r="FL62" t="e">
        <f>AND(#REF!,"AAAAAH7vfqc=")</f>
        <v>#REF!</v>
      </c>
      <c r="FM62" t="e">
        <f>AND(#REF!,"AAAAAH7vfqg=")</f>
        <v>#REF!</v>
      </c>
      <c r="FN62" t="e">
        <f>AND(#REF!,"AAAAAH7vfqk=")</f>
        <v>#REF!</v>
      </c>
      <c r="FO62" t="e">
        <f>AND(#REF!,"AAAAAH7vfqo=")</f>
        <v>#REF!</v>
      </c>
      <c r="FP62" t="e">
        <f>AND(#REF!,"AAAAAH7vfqs=")</f>
        <v>#REF!</v>
      </c>
      <c r="FQ62" t="e">
        <f>AND(#REF!,"AAAAAH7vfqw=")</f>
        <v>#REF!</v>
      </c>
      <c r="FR62" t="e">
        <f>AND(#REF!,"AAAAAH7vfq0=")</f>
        <v>#REF!</v>
      </c>
      <c r="FS62" t="e">
        <f>AND(#REF!,"AAAAAH7vfq4=")</f>
        <v>#REF!</v>
      </c>
      <c r="FT62" t="e">
        <f>AND(#REF!,"AAAAAH7vfq8=")</f>
        <v>#REF!</v>
      </c>
      <c r="FU62" t="e">
        <f>AND(#REF!,"AAAAAH7vfrA=")</f>
        <v>#REF!</v>
      </c>
      <c r="FV62" t="e">
        <f>AND(#REF!,"AAAAAH7vfrE=")</f>
        <v>#REF!</v>
      </c>
      <c r="FW62" t="e">
        <f>AND(#REF!,"AAAAAH7vfrI=")</f>
        <v>#REF!</v>
      </c>
      <c r="FX62" t="e">
        <f>AND(#REF!,"AAAAAH7vfrM=")</f>
        <v>#REF!</v>
      </c>
      <c r="FY62" t="e">
        <f>AND(#REF!,"AAAAAH7vfrQ=")</f>
        <v>#REF!</v>
      </c>
      <c r="FZ62" t="e">
        <f>AND(#REF!,"AAAAAH7vfrU=")</f>
        <v>#REF!</v>
      </c>
      <c r="GA62" t="e">
        <f>AND(#REF!,"AAAAAH7vfrY=")</f>
        <v>#REF!</v>
      </c>
      <c r="GB62" t="e">
        <f>AND(#REF!,"AAAAAH7vfrc=")</f>
        <v>#REF!</v>
      </c>
      <c r="GC62" t="e">
        <f>AND(#REF!,"AAAAAH7vfrg=")</f>
        <v>#REF!</v>
      </c>
      <c r="GD62" t="e">
        <f>AND(#REF!,"AAAAAH7vfrk=")</f>
        <v>#REF!</v>
      </c>
      <c r="GE62" t="e">
        <f>AND(#REF!,"AAAAAH7vfro=")</f>
        <v>#REF!</v>
      </c>
      <c r="GF62" t="e">
        <f>AND(#REF!,"AAAAAH7vfrs=")</f>
        <v>#REF!</v>
      </c>
      <c r="GG62" t="e">
        <f>AND(#REF!,"AAAAAH7vfrw=")</f>
        <v>#REF!</v>
      </c>
      <c r="GH62" t="e">
        <f>AND(#REF!,"AAAAAH7vfr0=")</f>
        <v>#REF!</v>
      </c>
      <c r="GI62" t="e">
        <f>AND(#REF!,"AAAAAH7vfr4=")</f>
        <v>#REF!</v>
      </c>
      <c r="GJ62" t="e">
        <f>AND(#REF!,"AAAAAH7vfr8=")</f>
        <v>#REF!</v>
      </c>
      <c r="GK62" t="e">
        <f>AND(#REF!,"AAAAAH7vfsA=")</f>
        <v>#REF!</v>
      </c>
      <c r="GL62" t="e">
        <f>AND(#REF!,"AAAAAH7vfsE=")</f>
        <v>#REF!</v>
      </c>
      <c r="GM62" t="e">
        <f>AND(#REF!,"AAAAAH7vfsI=")</f>
        <v>#REF!</v>
      </c>
      <c r="GN62" t="e">
        <f>AND(#REF!,"AAAAAH7vfsM=")</f>
        <v>#REF!</v>
      </c>
      <c r="GO62" t="e">
        <f>AND(#REF!,"AAAAAH7vfsQ=")</f>
        <v>#REF!</v>
      </c>
      <c r="GP62" t="e">
        <f>AND(#REF!,"AAAAAH7vfsU=")</f>
        <v>#REF!</v>
      </c>
      <c r="GQ62" t="e">
        <f>AND(#REF!,"AAAAAH7vfsY=")</f>
        <v>#REF!</v>
      </c>
      <c r="GR62" t="e">
        <f>AND(#REF!,"AAAAAH7vfsc=")</f>
        <v>#REF!</v>
      </c>
      <c r="GS62" t="e">
        <f>AND(#REF!,"AAAAAH7vfsg=")</f>
        <v>#REF!</v>
      </c>
      <c r="GT62" t="e">
        <f>AND(#REF!,"AAAAAH7vfsk=")</f>
        <v>#REF!</v>
      </c>
      <c r="GU62" t="e">
        <f>AND(#REF!,"AAAAAH7vfso=")</f>
        <v>#REF!</v>
      </c>
      <c r="GV62" t="e">
        <f>AND(#REF!,"AAAAAH7vfss=")</f>
        <v>#REF!</v>
      </c>
      <c r="GW62" t="e">
        <f>AND(#REF!,"AAAAAH7vfsw=")</f>
        <v>#REF!</v>
      </c>
      <c r="GX62" t="e">
        <f>AND(#REF!,"AAAAAH7vfs0=")</f>
        <v>#REF!</v>
      </c>
      <c r="GY62" t="e">
        <f>AND(#REF!,"AAAAAH7vfs4=")</f>
        <v>#REF!</v>
      </c>
      <c r="GZ62" t="e">
        <f>AND(#REF!,"AAAAAH7vfs8=")</f>
        <v>#REF!</v>
      </c>
      <c r="HA62" t="e">
        <f>AND(#REF!,"AAAAAH7vftA=")</f>
        <v>#REF!</v>
      </c>
      <c r="HB62" t="e">
        <f>AND(#REF!,"AAAAAH7vftE=")</f>
        <v>#REF!</v>
      </c>
      <c r="HC62" t="e">
        <f>AND(#REF!,"AAAAAH7vftI=")</f>
        <v>#REF!</v>
      </c>
      <c r="HD62" t="e">
        <f>AND(#REF!,"AAAAAH7vftM=")</f>
        <v>#REF!</v>
      </c>
      <c r="HE62" t="e">
        <f>AND(#REF!,"AAAAAH7vftQ=")</f>
        <v>#REF!</v>
      </c>
      <c r="HF62" t="e">
        <f>AND(#REF!,"AAAAAH7vftU=")</f>
        <v>#REF!</v>
      </c>
      <c r="HG62" t="e">
        <f>AND(#REF!,"AAAAAH7vftY=")</f>
        <v>#REF!</v>
      </c>
      <c r="HH62" t="e">
        <f>AND(#REF!,"AAAAAH7vftc=")</f>
        <v>#REF!</v>
      </c>
      <c r="HI62" t="e">
        <f>AND(#REF!,"AAAAAH7vftg=")</f>
        <v>#REF!</v>
      </c>
      <c r="HJ62" t="e">
        <f>AND(#REF!,"AAAAAH7vftk=")</f>
        <v>#REF!</v>
      </c>
      <c r="HK62" t="e">
        <f>AND(#REF!,"AAAAAH7vfto=")</f>
        <v>#REF!</v>
      </c>
      <c r="HL62" t="e">
        <f>AND(#REF!,"AAAAAH7vfts=")</f>
        <v>#REF!</v>
      </c>
      <c r="HM62" t="e">
        <f>AND(#REF!,"AAAAAH7vftw=")</f>
        <v>#REF!</v>
      </c>
      <c r="HN62" t="e">
        <f>AND(#REF!,"AAAAAH7vft0=")</f>
        <v>#REF!</v>
      </c>
      <c r="HO62" t="e">
        <f>AND(#REF!,"AAAAAH7vft4=")</f>
        <v>#REF!</v>
      </c>
      <c r="HP62" t="e">
        <f>AND(#REF!,"AAAAAH7vft8=")</f>
        <v>#REF!</v>
      </c>
      <c r="HQ62" t="e">
        <f>AND(#REF!,"AAAAAH7vfuA=")</f>
        <v>#REF!</v>
      </c>
      <c r="HR62" t="e">
        <f>AND(#REF!,"AAAAAH7vfuE=")</f>
        <v>#REF!</v>
      </c>
      <c r="HS62" t="e">
        <f>AND(#REF!,"AAAAAH7vfuI=")</f>
        <v>#REF!</v>
      </c>
      <c r="HT62" t="e">
        <f>AND(#REF!,"AAAAAH7vfuM=")</f>
        <v>#REF!</v>
      </c>
      <c r="HU62" t="e">
        <f>AND(#REF!,"AAAAAH7vfuQ=")</f>
        <v>#REF!</v>
      </c>
      <c r="HV62" t="e">
        <f>AND(#REF!,"AAAAAH7vfuU=")</f>
        <v>#REF!</v>
      </c>
      <c r="HW62" t="e">
        <f>AND(#REF!,"AAAAAH7vfuY=")</f>
        <v>#REF!</v>
      </c>
      <c r="HX62" t="e">
        <f>AND(#REF!,"AAAAAH7vfuc=")</f>
        <v>#REF!</v>
      </c>
      <c r="HY62" t="e">
        <f>AND(#REF!,"AAAAAH7vfug=")</f>
        <v>#REF!</v>
      </c>
      <c r="HZ62" t="e">
        <f>AND(#REF!,"AAAAAH7vfuk=")</f>
        <v>#REF!</v>
      </c>
      <c r="IA62" t="e">
        <f>AND(#REF!,"AAAAAH7vfuo=")</f>
        <v>#REF!</v>
      </c>
      <c r="IB62" t="e">
        <f>AND(#REF!,"AAAAAH7vfus=")</f>
        <v>#REF!</v>
      </c>
      <c r="IC62" t="e">
        <f>AND(#REF!,"AAAAAH7vfuw=")</f>
        <v>#REF!</v>
      </c>
      <c r="ID62" t="e">
        <f>AND(#REF!,"AAAAAH7vfu0=")</f>
        <v>#REF!</v>
      </c>
      <c r="IE62" t="e">
        <f>AND(#REF!,"AAAAAH7vfu4=")</f>
        <v>#REF!</v>
      </c>
      <c r="IF62" t="e">
        <f>AND(#REF!,"AAAAAH7vfu8=")</f>
        <v>#REF!</v>
      </c>
      <c r="IG62" t="e">
        <f>AND(#REF!,"AAAAAH7vfvA=")</f>
        <v>#REF!</v>
      </c>
      <c r="IH62" t="e">
        <f>AND(#REF!,"AAAAAH7vfvE=")</f>
        <v>#REF!</v>
      </c>
      <c r="II62" t="e">
        <f>AND(#REF!,"AAAAAH7vfvI=")</f>
        <v>#REF!</v>
      </c>
      <c r="IJ62" t="e">
        <f>AND(#REF!,"AAAAAH7vfvM=")</f>
        <v>#REF!</v>
      </c>
      <c r="IK62" t="e">
        <f>AND(#REF!,"AAAAAH7vfvQ=")</f>
        <v>#REF!</v>
      </c>
      <c r="IL62" t="e">
        <f>AND(#REF!,"AAAAAH7vfvU=")</f>
        <v>#REF!</v>
      </c>
      <c r="IM62" t="e">
        <f>AND(#REF!,"AAAAAH7vfvY=")</f>
        <v>#REF!</v>
      </c>
      <c r="IN62" t="e">
        <f>AND(#REF!,"AAAAAH7vfvc=")</f>
        <v>#REF!</v>
      </c>
      <c r="IO62" t="e">
        <f>AND(#REF!,"AAAAAH7vfvg=")</f>
        <v>#REF!</v>
      </c>
      <c r="IP62" t="e">
        <f>AND(#REF!,"AAAAAH7vfvk=")</f>
        <v>#REF!</v>
      </c>
      <c r="IQ62" t="e">
        <f>AND(#REF!,"AAAAAH7vfvo=")</f>
        <v>#REF!</v>
      </c>
      <c r="IR62" t="e">
        <f>AND(#REF!,"AAAAAH7vfvs=")</f>
        <v>#REF!</v>
      </c>
      <c r="IS62" t="e">
        <f>AND(#REF!,"AAAAAH7vfvw=")</f>
        <v>#REF!</v>
      </c>
      <c r="IT62" t="e">
        <f>AND(#REF!,"AAAAAH7vfv0=")</f>
        <v>#REF!</v>
      </c>
      <c r="IU62" t="e">
        <f>AND(#REF!,"AAAAAH7vfv4=")</f>
        <v>#REF!</v>
      </c>
      <c r="IV62" t="e">
        <f>IF(#REF!,"AAAAAH7vfv8=",0)</f>
        <v>#REF!</v>
      </c>
    </row>
    <row r="63" spans="1:256">
      <c r="A63" t="e">
        <f>AND(#REF!,"AAAAAHLzvAA=")</f>
        <v>#REF!</v>
      </c>
      <c r="B63" t="e">
        <f>AND(#REF!,"AAAAAHLzvAE=")</f>
        <v>#REF!</v>
      </c>
      <c r="C63" t="e">
        <f>AND(#REF!,"AAAAAHLzvAI=")</f>
        <v>#REF!</v>
      </c>
      <c r="D63" t="e">
        <f>AND(#REF!,"AAAAAHLzvAM=")</f>
        <v>#REF!</v>
      </c>
      <c r="E63" t="e">
        <f>AND(#REF!,"AAAAAHLzvAQ=")</f>
        <v>#REF!</v>
      </c>
      <c r="F63" t="e">
        <f>AND(#REF!,"AAAAAHLzvAU=")</f>
        <v>#REF!</v>
      </c>
      <c r="G63" t="e">
        <f>AND(#REF!,"AAAAAHLzvAY=")</f>
        <v>#REF!</v>
      </c>
      <c r="H63" t="e">
        <f>AND(#REF!,"AAAAAHLzvAc=")</f>
        <v>#REF!</v>
      </c>
      <c r="I63" t="e">
        <f>AND(#REF!,"AAAAAHLzvAg=")</f>
        <v>#REF!</v>
      </c>
      <c r="J63" t="e">
        <f>AND(#REF!,"AAAAAHLzvAk=")</f>
        <v>#REF!</v>
      </c>
      <c r="K63" t="e">
        <f>AND(#REF!,"AAAAAHLzvAo=")</f>
        <v>#REF!</v>
      </c>
      <c r="L63" t="e">
        <f>AND(#REF!,"AAAAAHLzvAs=")</f>
        <v>#REF!</v>
      </c>
      <c r="M63" t="e">
        <f>AND(#REF!,"AAAAAHLzvAw=")</f>
        <v>#REF!</v>
      </c>
      <c r="N63" t="e">
        <f>AND(#REF!,"AAAAAHLzvA0=")</f>
        <v>#REF!</v>
      </c>
      <c r="O63" t="e">
        <f>AND(#REF!,"AAAAAHLzvA4=")</f>
        <v>#REF!</v>
      </c>
      <c r="P63" t="e">
        <f>AND(#REF!,"AAAAAHLzvA8=")</f>
        <v>#REF!</v>
      </c>
      <c r="Q63" t="e">
        <f>AND(#REF!,"AAAAAHLzvBA=")</f>
        <v>#REF!</v>
      </c>
      <c r="R63" t="e">
        <f>AND(#REF!,"AAAAAHLzvBE=")</f>
        <v>#REF!</v>
      </c>
      <c r="S63" t="e">
        <f>AND(#REF!,"AAAAAHLzvBI=")</f>
        <v>#REF!</v>
      </c>
      <c r="T63" t="e">
        <f>AND(#REF!,"AAAAAHLzvBM=")</f>
        <v>#REF!</v>
      </c>
      <c r="U63" t="e">
        <f>AND(#REF!,"AAAAAHLzvBQ=")</f>
        <v>#REF!</v>
      </c>
      <c r="V63" t="e">
        <f>AND(#REF!,"AAAAAHLzvBU=")</f>
        <v>#REF!</v>
      </c>
      <c r="W63" t="e">
        <f>AND(#REF!,"AAAAAHLzvBY=")</f>
        <v>#REF!</v>
      </c>
      <c r="X63" t="e">
        <f>AND(#REF!,"AAAAAHLzvBc=")</f>
        <v>#REF!</v>
      </c>
      <c r="Y63" t="e">
        <f>AND(#REF!,"AAAAAHLzvBg=")</f>
        <v>#REF!</v>
      </c>
      <c r="Z63" t="e">
        <f>AND(#REF!,"AAAAAHLzvBk=")</f>
        <v>#REF!</v>
      </c>
      <c r="AA63" t="e">
        <f>AND(#REF!,"AAAAAHLzvBo=")</f>
        <v>#REF!</v>
      </c>
      <c r="AB63" t="e">
        <f>AND(#REF!,"AAAAAHLzvBs=")</f>
        <v>#REF!</v>
      </c>
      <c r="AC63" t="e">
        <f>AND(#REF!,"AAAAAHLzvBw=")</f>
        <v>#REF!</v>
      </c>
      <c r="AD63" t="e">
        <f>AND(#REF!,"AAAAAHLzvB0=")</f>
        <v>#REF!</v>
      </c>
      <c r="AE63" t="e">
        <f>AND(#REF!,"AAAAAHLzvB4=")</f>
        <v>#REF!</v>
      </c>
      <c r="AF63" t="e">
        <f>AND(#REF!,"AAAAAHLzvB8=")</f>
        <v>#REF!</v>
      </c>
      <c r="AG63" t="e">
        <f>AND(#REF!,"AAAAAHLzvCA=")</f>
        <v>#REF!</v>
      </c>
      <c r="AH63" t="e">
        <f>AND(#REF!,"AAAAAHLzvCE=")</f>
        <v>#REF!</v>
      </c>
      <c r="AI63" t="e">
        <f>AND(#REF!,"AAAAAHLzvCI=")</f>
        <v>#REF!</v>
      </c>
      <c r="AJ63" t="e">
        <f>AND(#REF!,"AAAAAHLzvCM=")</f>
        <v>#REF!</v>
      </c>
      <c r="AK63" t="e">
        <f>AND(#REF!,"AAAAAHLzvCQ=")</f>
        <v>#REF!</v>
      </c>
      <c r="AL63" t="e">
        <f>AND(#REF!,"AAAAAHLzvCU=")</f>
        <v>#REF!</v>
      </c>
      <c r="AM63" t="e">
        <f>AND(#REF!,"AAAAAHLzvCY=")</f>
        <v>#REF!</v>
      </c>
      <c r="AN63" t="e">
        <f>AND(#REF!,"AAAAAHLzvCc=")</f>
        <v>#REF!</v>
      </c>
      <c r="AO63" t="e">
        <f>AND(#REF!,"AAAAAHLzvCg=")</f>
        <v>#REF!</v>
      </c>
      <c r="AP63" t="e">
        <f>AND(#REF!,"AAAAAHLzvCk=")</f>
        <v>#REF!</v>
      </c>
      <c r="AQ63" t="e">
        <f>AND(#REF!,"AAAAAHLzvCo=")</f>
        <v>#REF!</v>
      </c>
      <c r="AR63" t="e">
        <f>AND(#REF!,"AAAAAHLzvCs=")</f>
        <v>#REF!</v>
      </c>
      <c r="AS63" t="e">
        <f>AND(#REF!,"AAAAAHLzvCw=")</f>
        <v>#REF!</v>
      </c>
      <c r="AT63" t="e">
        <f>AND(#REF!,"AAAAAHLzvC0=")</f>
        <v>#REF!</v>
      </c>
      <c r="AU63" t="e">
        <f>AND(#REF!,"AAAAAHLzvC4=")</f>
        <v>#REF!</v>
      </c>
      <c r="AV63" t="e">
        <f>AND(#REF!,"AAAAAHLzvC8=")</f>
        <v>#REF!</v>
      </c>
      <c r="AW63" t="e">
        <f>AND(#REF!,"AAAAAHLzvDA=")</f>
        <v>#REF!</v>
      </c>
      <c r="AX63" t="e">
        <f>AND(#REF!,"AAAAAHLzvDE=")</f>
        <v>#REF!</v>
      </c>
      <c r="AY63" t="e">
        <f>AND(#REF!,"AAAAAHLzvDI=")</f>
        <v>#REF!</v>
      </c>
      <c r="AZ63" t="e">
        <f>AND(#REF!,"AAAAAHLzvDM=")</f>
        <v>#REF!</v>
      </c>
      <c r="BA63" t="e">
        <f>AND(#REF!,"AAAAAHLzvDQ=")</f>
        <v>#REF!</v>
      </c>
      <c r="BB63" t="e">
        <f>AND(#REF!,"AAAAAHLzvDU=")</f>
        <v>#REF!</v>
      </c>
      <c r="BC63" t="e">
        <f>AND(#REF!,"AAAAAHLzvDY=")</f>
        <v>#REF!</v>
      </c>
      <c r="BD63" t="e">
        <f>AND(#REF!,"AAAAAHLzvDc=")</f>
        <v>#REF!</v>
      </c>
      <c r="BE63" t="e">
        <f>AND(#REF!,"AAAAAHLzvDg=")</f>
        <v>#REF!</v>
      </c>
      <c r="BF63" t="e">
        <f>AND(#REF!,"AAAAAHLzvDk=")</f>
        <v>#REF!</v>
      </c>
      <c r="BG63" t="e">
        <f>AND(#REF!,"AAAAAHLzvDo=")</f>
        <v>#REF!</v>
      </c>
      <c r="BH63" t="e">
        <f>AND(#REF!,"AAAAAHLzvDs=")</f>
        <v>#REF!</v>
      </c>
      <c r="BI63" t="e">
        <f>AND(#REF!,"AAAAAHLzvDw=")</f>
        <v>#REF!</v>
      </c>
      <c r="BJ63" t="e">
        <f>AND(#REF!,"AAAAAHLzvD0=")</f>
        <v>#REF!</v>
      </c>
      <c r="BK63" t="e">
        <f>AND(#REF!,"AAAAAHLzvD4=")</f>
        <v>#REF!</v>
      </c>
      <c r="BL63" t="e">
        <f>AND(#REF!,"AAAAAHLzvD8=")</f>
        <v>#REF!</v>
      </c>
      <c r="BM63" t="e">
        <f>AND(#REF!,"AAAAAHLzvEA=")</f>
        <v>#REF!</v>
      </c>
      <c r="BN63" t="e">
        <f>AND(#REF!,"AAAAAHLzvEE=")</f>
        <v>#REF!</v>
      </c>
      <c r="BO63" t="e">
        <f>AND(#REF!,"AAAAAHLzvEI=")</f>
        <v>#REF!</v>
      </c>
      <c r="BP63" t="e">
        <f>AND(#REF!,"AAAAAHLzvEM=")</f>
        <v>#REF!</v>
      </c>
      <c r="BQ63" t="e">
        <f>AND(#REF!,"AAAAAHLzvEQ=")</f>
        <v>#REF!</v>
      </c>
      <c r="BR63" t="e">
        <f>AND(#REF!,"AAAAAHLzvEU=")</f>
        <v>#REF!</v>
      </c>
      <c r="BS63" t="e">
        <f>AND(#REF!,"AAAAAHLzvEY=")</f>
        <v>#REF!</v>
      </c>
      <c r="BT63" t="e">
        <f>AND(#REF!,"AAAAAHLzvEc=")</f>
        <v>#REF!</v>
      </c>
      <c r="BU63" t="e">
        <f>AND(#REF!,"AAAAAHLzvEg=")</f>
        <v>#REF!</v>
      </c>
      <c r="BV63" t="e">
        <f>AND(#REF!,"AAAAAHLzvEk=")</f>
        <v>#REF!</v>
      </c>
      <c r="BW63" t="e">
        <f>AND(#REF!,"AAAAAHLzvEo=")</f>
        <v>#REF!</v>
      </c>
      <c r="BX63" t="e">
        <f>AND(#REF!,"AAAAAHLzvEs=")</f>
        <v>#REF!</v>
      </c>
      <c r="BY63" t="e">
        <f>AND(#REF!,"AAAAAHLzvEw=")</f>
        <v>#REF!</v>
      </c>
      <c r="BZ63" t="e">
        <f>AND(#REF!,"AAAAAHLzvE0=")</f>
        <v>#REF!</v>
      </c>
      <c r="CA63" t="e">
        <f>AND(#REF!,"AAAAAHLzvE4=")</f>
        <v>#REF!</v>
      </c>
      <c r="CB63" t="e">
        <f>AND(#REF!,"AAAAAHLzvE8=")</f>
        <v>#REF!</v>
      </c>
      <c r="CC63" t="e">
        <f>AND(#REF!,"AAAAAHLzvFA=")</f>
        <v>#REF!</v>
      </c>
      <c r="CD63" t="e">
        <f>AND(#REF!,"AAAAAHLzvFE=")</f>
        <v>#REF!</v>
      </c>
      <c r="CE63" t="e">
        <f>AND(#REF!,"AAAAAHLzvFI=")</f>
        <v>#REF!</v>
      </c>
      <c r="CF63" t="e">
        <f>AND(#REF!,"AAAAAHLzvFM=")</f>
        <v>#REF!</v>
      </c>
      <c r="CG63" t="e">
        <f>AND(#REF!,"AAAAAHLzvFQ=")</f>
        <v>#REF!</v>
      </c>
      <c r="CH63" t="e">
        <f>AND(#REF!,"AAAAAHLzvFU=")</f>
        <v>#REF!</v>
      </c>
      <c r="CI63" t="e">
        <f>AND(#REF!,"AAAAAHLzvFY=")</f>
        <v>#REF!</v>
      </c>
      <c r="CJ63" t="e">
        <f>AND(#REF!,"AAAAAHLzvFc=")</f>
        <v>#REF!</v>
      </c>
      <c r="CK63" t="e">
        <f>AND(#REF!,"AAAAAHLzvFg=")</f>
        <v>#REF!</v>
      </c>
      <c r="CL63" t="e">
        <f>AND(#REF!,"AAAAAHLzvFk=")</f>
        <v>#REF!</v>
      </c>
      <c r="CM63" t="e">
        <f>AND(#REF!,"AAAAAHLzvFo=")</f>
        <v>#REF!</v>
      </c>
      <c r="CN63" t="e">
        <f>AND(#REF!,"AAAAAHLzvFs=")</f>
        <v>#REF!</v>
      </c>
      <c r="CO63" t="e">
        <f>AND(#REF!,"AAAAAHLzvFw=")</f>
        <v>#REF!</v>
      </c>
      <c r="CP63" t="e">
        <f>AND(#REF!,"AAAAAHLzvF0=")</f>
        <v>#REF!</v>
      </c>
      <c r="CQ63" t="e">
        <f>AND(#REF!,"AAAAAHLzvF4=")</f>
        <v>#REF!</v>
      </c>
      <c r="CR63" t="e">
        <f>AND(#REF!,"AAAAAHLzvF8=")</f>
        <v>#REF!</v>
      </c>
      <c r="CS63" t="e">
        <f>AND(#REF!,"AAAAAHLzvGA=")</f>
        <v>#REF!</v>
      </c>
      <c r="CT63" t="e">
        <f>AND(#REF!,"AAAAAHLzvGE=")</f>
        <v>#REF!</v>
      </c>
      <c r="CU63" t="e">
        <f>AND(#REF!,"AAAAAHLzvGI=")</f>
        <v>#REF!</v>
      </c>
      <c r="CV63" t="e">
        <f>AND(#REF!,"AAAAAHLzvGM=")</f>
        <v>#REF!</v>
      </c>
      <c r="CW63" t="e">
        <f>AND(#REF!,"AAAAAHLzvGQ=")</f>
        <v>#REF!</v>
      </c>
      <c r="CX63" t="e">
        <f>AND(#REF!,"AAAAAHLzvGU=")</f>
        <v>#REF!</v>
      </c>
      <c r="CY63" t="e">
        <f>AND(#REF!,"AAAAAHLzvGY=")</f>
        <v>#REF!</v>
      </c>
      <c r="CZ63" t="e">
        <f>AND(#REF!,"AAAAAHLzvGc=")</f>
        <v>#REF!</v>
      </c>
      <c r="DA63" t="e">
        <f>AND(#REF!,"AAAAAHLzvGg=")</f>
        <v>#REF!</v>
      </c>
      <c r="DB63" t="e">
        <f>AND(#REF!,"AAAAAHLzvGk=")</f>
        <v>#REF!</v>
      </c>
      <c r="DC63" t="e">
        <f>AND(#REF!,"AAAAAHLzvGo=")</f>
        <v>#REF!</v>
      </c>
      <c r="DD63" t="e">
        <f>AND(#REF!,"AAAAAHLzvGs=")</f>
        <v>#REF!</v>
      </c>
      <c r="DE63" t="e">
        <f>AND(#REF!,"AAAAAHLzvGw=")</f>
        <v>#REF!</v>
      </c>
      <c r="DF63" t="e">
        <f>AND(#REF!,"AAAAAHLzvG0=")</f>
        <v>#REF!</v>
      </c>
      <c r="DG63" t="e">
        <f>AND(#REF!,"AAAAAHLzvG4=")</f>
        <v>#REF!</v>
      </c>
      <c r="DH63" t="e">
        <f>AND(#REF!,"AAAAAHLzvG8=")</f>
        <v>#REF!</v>
      </c>
      <c r="DI63" t="e">
        <f>AND(#REF!,"AAAAAHLzvHA=")</f>
        <v>#REF!</v>
      </c>
      <c r="DJ63" t="e">
        <f>AND(#REF!,"AAAAAHLzvHE=")</f>
        <v>#REF!</v>
      </c>
      <c r="DK63" t="e">
        <f>AND(#REF!,"AAAAAHLzvHI=")</f>
        <v>#REF!</v>
      </c>
      <c r="DL63" t="e">
        <f>AND(#REF!,"AAAAAHLzvHM=")</f>
        <v>#REF!</v>
      </c>
      <c r="DM63" t="e">
        <f>AND(#REF!,"AAAAAHLzvHQ=")</f>
        <v>#REF!</v>
      </c>
      <c r="DN63" t="e">
        <f>AND(#REF!,"AAAAAHLzvHU=")</f>
        <v>#REF!</v>
      </c>
      <c r="DO63" t="e">
        <f>AND(#REF!,"AAAAAHLzvHY=")</f>
        <v>#REF!</v>
      </c>
      <c r="DP63" t="e">
        <f>AND(#REF!,"AAAAAHLzvHc=")</f>
        <v>#REF!</v>
      </c>
      <c r="DQ63" t="e">
        <f>IF(#REF!,"AAAAAHLzvHg=",0)</f>
        <v>#REF!</v>
      </c>
      <c r="DR63" t="e">
        <f>AND(#REF!,"AAAAAHLzvHk=")</f>
        <v>#REF!</v>
      </c>
      <c r="DS63" t="e">
        <f>AND(#REF!,"AAAAAHLzvHo=")</f>
        <v>#REF!</v>
      </c>
      <c r="DT63" t="e">
        <f>AND(#REF!,"AAAAAHLzvHs=")</f>
        <v>#REF!</v>
      </c>
      <c r="DU63" t="e">
        <f>AND(#REF!,"AAAAAHLzvHw=")</f>
        <v>#REF!</v>
      </c>
      <c r="DV63" t="e">
        <f>AND(#REF!,"AAAAAHLzvH0=")</f>
        <v>#REF!</v>
      </c>
      <c r="DW63" t="e">
        <f>AND(#REF!,"AAAAAHLzvH4=")</f>
        <v>#REF!</v>
      </c>
      <c r="DX63" t="e">
        <f>AND(#REF!,"AAAAAHLzvH8=")</f>
        <v>#REF!</v>
      </c>
      <c r="DY63" t="e">
        <f>AND(#REF!,"AAAAAHLzvIA=")</f>
        <v>#REF!</v>
      </c>
      <c r="DZ63" t="e">
        <f>AND(#REF!,"AAAAAHLzvIE=")</f>
        <v>#REF!</v>
      </c>
      <c r="EA63" t="e">
        <f>AND(#REF!,"AAAAAHLzvII=")</f>
        <v>#REF!</v>
      </c>
      <c r="EB63" t="e">
        <f>AND(#REF!,"AAAAAHLzvIM=")</f>
        <v>#REF!</v>
      </c>
      <c r="EC63" t="e">
        <f>AND(#REF!,"AAAAAHLzvIQ=")</f>
        <v>#REF!</v>
      </c>
      <c r="ED63" t="e">
        <f>AND(#REF!,"AAAAAHLzvIU=")</f>
        <v>#REF!</v>
      </c>
      <c r="EE63" t="e">
        <f>AND(#REF!,"AAAAAHLzvIY=")</f>
        <v>#REF!</v>
      </c>
      <c r="EF63" t="e">
        <f>AND(#REF!,"AAAAAHLzvIc=")</f>
        <v>#REF!</v>
      </c>
      <c r="EG63" t="e">
        <f>AND(#REF!,"AAAAAHLzvIg=")</f>
        <v>#REF!</v>
      </c>
      <c r="EH63" t="e">
        <f>AND(#REF!,"AAAAAHLzvIk=")</f>
        <v>#REF!</v>
      </c>
      <c r="EI63" t="e">
        <f>AND(#REF!,"AAAAAHLzvIo=")</f>
        <v>#REF!</v>
      </c>
      <c r="EJ63" t="e">
        <f>AND(#REF!,"AAAAAHLzvIs=")</f>
        <v>#REF!</v>
      </c>
      <c r="EK63" t="e">
        <f>AND(#REF!,"AAAAAHLzvIw=")</f>
        <v>#REF!</v>
      </c>
      <c r="EL63" t="e">
        <f>AND(#REF!,"AAAAAHLzvI0=")</f>
        <v>#REF!</v>
      </c>
      <c r="EM63" t="e">
        <f>AND(#REF!,"AAAAAHLzvI4=")</f>
        <v>#REF!</v>
      </c>
      <c r="EN63" t="e">
        <f>AND(#REF!,"AAAAAHLzvI8=")</f>
        <v>#REF!</v>
      </c>
      <c r="EO63" t="e">
        <f>AND(#REF!,"AAAAAHLzvJA=")</f>
        <v>#REF!</v>
      </c>
      <c r="EP63" t="e">
        <f>AND(#REF!,"AAAAAHLzvJE=")</f>
        <v>#REF!</v>
      </c>
      <c r="EQ63" t="e">
        <f>AND(#REF!,"AAAAAHLzvJI=")</f>
        <v>#REF!</v>
      </c>
      <c r="ER63" t="e">
        <f>AND(#REF!,"AAAAAHLzvJM=")</f>
        <v>#REF!</v>
      </c>
      <c r="ES63" t="e">
        <f>AND(#REF!,"AAAAAHLzvJQ=")</f>
        <v>#REF!</v>
      </c>
      <c r="ET63" t="e">
        <f>AND(#REF!,"AAAAAHLzvJU=")</f>
        <v>#REF!</v>
      </c>
      <c r="EU63" t="e">
        <f>AND(#REF!,"AAAAAHLzvJY=")</f>
        <v>#REF!</v>
      </c>
      <c r="EV63" t="e">
        <f>AND(#REF!,"AAAAAHLzvJc=")</f>
        <v>#REF!</v>
      </c>
      <c r="EW63" t="e">
        <f>AND(#REF!,"AAAAAHLzvJg=")</f>
        <v>#REF!</v>
      </c>
      <c r="EX63" t="e">
        <f>AND(#REF!,"AAAAAHLzvJk=")</f>
        <v>#REF!</v>
      </c>
      <c r="EY63" t="e">
        <f>AND(#REF!,"AAAAAHLzvJo=")</f>
        <v>#REF!</v>
      </c>
      <c r="EZ63" t="e">
        <f>AND(#REF!,"AAAAAHLzvJs=")</f>
        <v>#REF!</v>
      </c>
      <c r="FA63" t="e">
        <f>AND(#REF!,"AAAAAHLzvJw=")</f>
        <v>#REF!</v>
      </c>
      <c r="FB63" t="e">
        <f>AND(#REF!,"AAAAAHLzvJ0=")</f>
        <v>#REF!</v>
      </c>
      <c r="FC63" t="e">
        <f>AND(#REF!,"AAAAAHLzvJ4=")</f>
        <v>#REF!</v>
      </c>
      <c r="FD63" t="e">
        <f>AND(#REF!,"AAAAAHLzvJ8=")</f>
        <v>#REF!</v>
      </c>
      <c r="FE63" t="e">
        <f>AND(#REF!,"AAAAAHLzvKA=")</f>
        <v>#REF!</v>
      </c>
      <c r="FF63" t="e">
        <f>AND(#REF!,"AAAAAHLzvKE=")</f>
        <v>#REF!</v>
      </c>
      <c r="FG63" t="e">
        <f>AND(#REF!,"AAAAAHLzvKI=")</f>
        <v>#REF!</v>
      </c>
      <c r="FH63" t="e">
        <f>AND(#REF!,"AAAAAHLzvKM=")</f>
        <v>#REF!</v>
      </c>
      <c r="FI63" t="e">
        <f>AND(#REF!,"AAAAAHLzvKQ=")</f>
        <v>#REF!</v>
      </c>
      <c r="FJ63" t="e">
        <f>AND(#REF!,"AAAAAHLzvKU=")</f>
        <v>#REF!</v>
      </c>
      <c r="FK63" t="e">
        <f>AND(#REF!,"AAAAAHLzvKY=")</f>
        <v>#REF!</v>
      </c>
      <c r="FL63" t="e">
        <f>AND(#REF!,"AAAAAHLzvKc=")</f>
        <v>#REF!</v>
      </c>
      <c r="FM63" t="e">
        <f>AND(#REF!,"AAAAAHLzvKg=")</f>
        <v>#REF!</v>
      </c>
      <c r="FN63" t="e">
        <f>AND(#REF!,"AAAAAHLzvKk=")</f>
        <v>#REF!</v>
      </c>
      <c r="FO63" t="e">
        <f>AND(#REF!,"AAAAAHLzvKo=")</f>
        <v>#REF!</v>
      </c>
      <c r="FP63" t="e">
        <f>AND(#REF!,"AAAAAHLzvKs=")</f>
        <v>#REF!</v>
      </c>
      <c r="FQ63" t="e">
        <f>AND(#REF!,"AAAAAHLzvKw=")</f>
        <v>#REF!</v>
      </c>
      <c r="FR63" t="e">
        <f>AND(#REF!,"AAAAAHLzvK0=")</f>
        <v>#REF!</v>
      </c>
      <c r="FS63" t="e">
        <f>AND(#REF!,"AAAAAHLzvK4=")</f>
        <v>#REF!</v>
      </c>
      <c r="FT63" t="e">
        <f>AND(#REF!,"AAAAAHLzvK8=")</f>
        <v>#REF!</v>
      </c>
      <c r="FU63" t="e">
        <f>AND(#REF!,"AAAAAHLzvLA=")</f>
        <v>#REF!</v>
      </c>
      <c r="FV63" t="e">
        <f>AND(#REF!,"AAAAAHLzvLE=")</f>
        <v>#REF!</v>
      </c>
      <c r="FW63" t="e">
        <f>AND(#REF!,"AAAAAHLzvLI=")</f>
        <v>#REF!</v>
      </c>
      <c r="FX63" t="e">
        <f>AND(#REF!,"AAAAAHLzvLM=")</f>
        <v>#REF!</v>
      </c>
      <c r="FY63" t="e">
        <f>AND(#REF!,"AAAAAHLzvLQ=")</f>
        <v>#REF!</v>
      </c>
      <c r="FZ63" t="e">
        <f>AND(#REF!,"AAAAAHLzvLU=")</f>
        <v>#REF!</v>
      </c>
      <c r="GA63" t="e">
        <f>AND(#REF!,"AAAAAHLzvLY=")</f>
        <v>#REF!</v>
      </c>
      <c r="GB63" t="e">
        <f>AND(#REF!,"AAAAAHLzvLc=")</f>
        <v>#REF!</v>
      </c>
      <c r="GC63" t="e">
        <f>AND(#REF!,"AAAAAHLzvLg=")</f>
        <v>#REF!</v>
      </c>
      <c r="GD63" t="e">
        <f>AND(#REF!,"AAAAAHLzvLk=")</f>
        <v>#REF!</v>
      </c>
      <c r="GE63" t="e">
        <f>AND(#REF!,"AAAAAHLzvLo=")</f>
        <v>#REF!</v>
      </c>
      <c r="GF63" t="e">
        <f>AND(#REF!,"AAAAAHLzvLs=")</f>
        <v>#REF!</v>
      </c>
      <c r="GG63" t="e">
        <f>AND(#REF!,"AAAAAHLzvLw=")</f>
        <v>#REF!</v>
      </c>
      <c r="GH63" t="e">
        <f>AND(#REF!,"AAAAAHLzvL0=")</f>
        <v>#REF!</v>
      </c>
      <c r="GI63" t="e">
        <f>AND(#REF!,"AAAAAHLzvL4=")</f>
        <v>#REF!</v>
      </c>
      <c r="GJ63" t="e">
        <f>AND(#REF!,"AAAAAHLzvL8=")</f>
        <v>#REF!</v>
      </c>
      <c r="GK63" t="e">
        <f>AND(#REF!,"AAAAAHLzvMA=")</f>
        <v>#REF!</v>
      </c>
      <c r="GL63" t="e">
        <f>AND(#REF!,"AAAAAHLzvME=")</f>
        <v>#REF!</v>
      </c>
      <c r="GM63" t="e">
        <f>AND(#REF!,"AAAAAHLzvMI=")</f>
        <v>#REF!</v>
      </c>
      <c r="GN63" t="e">
        <f>AND(#REF!,"AAAAAHLzvMM=")</f>
        <v>#REF!</v>
      </c>
      <c r="GO63" t="e">
        <f>AND(#REF!,"AAAAAHLzvMQ=")</f>
        <v>#REF!</v>
      </c>
      <c r="GP63" t="e">
        <f>AND(#REF!,"AAAAAHLzvMU=")</f>
        <v>#REF!</v>
      </c>
      <c r="GQ63" t="e">
        <f>AND(#REF!,"AAAAAHLzvMY=")</f>
        <v>#REF!</v>
      </c>
      <c r="GR63" t="e">
        <f>AND(#REF!,"AAAAAHLzvMc=")</f>
        <v>#REF!</v>
      </c>
      <c r="GS63" t="e">
        <f>AND(#REF!,"AAAAAHLzvMg=")</f>
        <v>#REF!</v>
      </c>
      <c r="GT63" t="e">
        <f>AND(#REF!,"AAAAAHLzvMk=")</f>
        <v>#REF!</v>
      </c>
      <c r="GU63" t="e">
        <f>AND(#REF!,"AAAAAHLzvMo=")</f>
        <v>#REF!</v>
      </c>
      <c r="GV63" t="e">
        <f>AND(#REF!,"AAAAAHLzvMs=")</f>
        <v>#REF!</v>
      </c>
      <c r="GW63" t="e">
        <f>AND(#REF!,"AAAAAHLzvMw=")</f>
        <v>#REF!</v>
      </c>
      <c r="GX63" t="e">
        <f>AND(#REF!,"AAAAAHLzvM0=")</f>
        <v>#REF!</v>
      </c>
      <c r="GY63" t="e">
        <f>AND(#REF!,"AAAAAHLzvM4=")</f>
        <v>#REF!</v>
      </c>
      <c r="GZ63" t="e">
        <f>AND(#REF!,"AAAAAHLzvM8=")</f>
        <v>#REF!</v>
      </c>
      <c r="HA63" t="e">
        <f>AND(#REF!,"AAAAAHLzvNA=")</f>
        <v>#REF!</v>
      </c>
      <c r="HB63" t="e">
        <f>AND(#REF!,"AAAAAHLzvNE=")</f>
        <v>#REF!</v>
      </c>
      <c r="HC63" t="e">
        <f>AND(#REF!,"AAAAAHLzvNI=")</f>
        <v>#REF!</v>
      </c>
      <c r="HD63" t="e">
        <f>AND(#REF!,"AAAAAHLzvNM=")</f>
        <v>#REF!</v>
      </c>
      <c r="HE63" t="e">
        <f>AND(#REF!,"AAAAAHLzvNQ=")</f>
        <v>#REF!</v>
      </c>
      <c r="HF63" t="e">
        <f>AND(#REF!,"AAAAAHLzvNU=")</f>
        <v>#REF!</v>
      </c>
      <c r="HG63" t="e">
        <f>AND(#REF!,"AAAAAHLzvNY=")</f>
        <v>#REF!</v>
      </c>
      <c r="HH63" t="e">
        <f>AND(#REF!,"AAAAAHLzvNc=")</f>
        <v>#REF!</v>
      </c>
      <c r="HI63" t="e">
        <f>AND(#REF!,"AAAAAHLzvNg=")</f>
        <v>#REF!</v>
      </c>
      <c r="HJ63" t="e">
        <f>AND(#REF!,"AAAAAHLzvNk=")</f>
        <v>#REF!</v>
      </c>
      <c r="HK63" t="e">
        <f>AND(#REF!,"AAAAAHLzvNo=")</f>
        <v>#REF!</v>
      </c>
      <c r="HL63" t="e">
        <f>AND(#REF!,"AAAAAHLzvNs=")</f>
        <v>#REF!</v>
      </c>
      <c r="HM63" t="e">
        <f>AND(#REF!,"AAAAAHLzvNw=")</f>
        <v>#REF!</v>
      </c>
      <c r="HN63" t="e">
        <f>AND(#REF!,"AAAAAHLzvN0=")</f>
        <v>#REF!</v>
      </c>
      <c r="HO63" t="e">
        <f>AND(#REF!,"AAAAAHLzvN4=")</f>
        <v>#REF!</v>
      </c>
      <c r="HP63" t="e">
        <f>AND(#REF!,"AAAAAHLzvN8=")</f>
        <v>#REF!</v>
      </c>
      <c r="HQ63" t="e">
        <f>AND(#REF!,"AAAAAHLzvOA=")</f>
        <v>#REF!</v>
      </c>
      <c r="HR63" t="e">
        <f>AND(#REF!,"AAAAAHLzvOE=")</f>
        <v>#REF!</v>
      </c>
      <c r="HS63" t="e">
        <f>AND(#REF!,"AAAAAHLzvOI=")</f>
        <v>#REF!</v>
      </c>
      <c r="HT63" t="e">
        <f>AND(#REF!,"AAAAAHLzvOM=")</f>
        <v>#REF!</v>
      </c>
      <c r="HU63" t="e">
        <f>AND(#REF!,"AAAAAHLzvOQ=")</f>
        <v>#REF!</v>
      </c>
      <c r="HV63" t="e">
        <f>AND(#REF!,"AAAAAHLzvOU=")</f>
        <v>#REF!</v>
      </c>
      <c r="HW63" t="e">
        <f>AND(#REF!,"AAAAAHLzvOY=")</f>
        <v>#REF!</v>
      </c>
      <c r="HX63" t="e">
        <f>AND(#REF!,"AAAAAHLzvOc=")</f>
        <v>#REF!</v>
      </c>
      <c r="HY63" t="e">
        <f>AND(#REF!,"AAAAAHLzvOg=")</f>
        <v>#REF!</v>
      </c>
      <c r="HZ63" t="e">
        <f>AND(#REF!,"AAAAAHLzvOk=")</f>
        <v>#REF!</v>
      </c>
      <c r="IA63" t="e">
        <f>AND(#REF!,"AAAAAHLzvOo=")</f>
        <v>#REF!</v>
      </c>
      <c r="IB63" t="e">
        <f>AND(#REF!,"AAAAAHLzvOs=")</f>
        <v>#REF!</v>
      </c>
      <c r="IC63" t="e">
        <f>AND(#REF!,"AAAAAHLzvOw=")</f>
        <v>#REF!</v>
      </c>
      <c r="ID63" t="e">
        <f>AND(#REF!,"AAAAAHLzvO0=")</f>
        <v>#REF!</v>
      </c>
      <c r="IE63" t="e">
        <f>AND(#REF!,"AAAAAHLzvO4=")</f>
        <v>#REF!</v>
      </c>
      <c r="IF63" t="e">
        <f>AND(#REF!,"AAAAAHLzvO8=")</f>
        <v>#REF!</v>
      </c>
      <c r="IG63" t="e">
        <f>AND(#REF!,"AAAAAHLzvPA=")</f>
        <v>#REF!</v>
      </c>
      <c r="IH63" t="e">
        <f>IF(#REF!,"AAAAAHLzvPE=",0)</f>
        <v>#REF!</v>
      </c>
      <c r="II63" t="e">
        <f>AND(#REF!,"AAAAAHLzvPI=")</f>
        <v>#REF!</v>
      </c>
      <c r="IJ63" t="e">
        <f>AND(#REF!,"AAAAAHLzvPM=")</f>
        <v>#REF!</v>
      </c>
      <c r="IK63" t="e">
        <f>AND(#REF!,"AAAAAHLzvPQ=")</f>
        <v>#REF!</v>
      </c>
      <c r="IL63" t="e">
        <f>AND(#REF!,"AAAAAHLzvPU=")</f>
        <v>#REF!</v>
      </c>
      <c r="IM63" t="e">
        <f>AND(#REF!,"AAAAAHLzvPY=")</f>
        <v>#REF!</v>
      </c>
      <c r="IN63" t="e">
        <f>AND(#REF!,"AAAAAHLzvPc=")</f>
        <v>#REF!</v>
      </c>
      <c r="IO63" t="e">
        <f>AND(#REF!,"AAAAAHLzvPg=")</f>
        <v>#REF!</v>
      </c>
      <c r="IP63" t="e">
        <f>AND(#REF!,"AAAAAHLzvPk=")</f>
        <v>#REF!</v>
      </c>
      <c r="IQ63" t="e">
        <f>AND(#REF!,"AAAAAHLzvPo=")</f>
        <v>#REF!</v>
      </c>
      <c r="IR63" t="e">
        <f>AND(#REF!,"AAAAAHLzvPs=")</f>
        <v>#REF!</v>
      </c>
      <c r="IS63" t="e">
        <f>AND(#REF!,"AAAAAHLzvPw=")</f>
        <v>#REF!</v>
      </c>
      <c r="IT63" t="e">
        <f>AND(#REF!,"AAAAAHLzvP0=")</f>
        <v>#REF!</v>
      </c>
      <c r="IU63" t="e">
        <f>AND(#REF!,"AAAAAHLzvP4=")</f>
        <v>#REF!</v>
      </c>
      <c r="IV63" t="e">
        <f>AND(#REF!,"AAAAAHLzvP8=")</f>
        <v>#REF!</v>
      </c>
    </row>
    <row r="64" spans="1:256">
      <c r="A64" t="e">
        <f>AND(#REF!,"AAAAAHfrYwA=")</f>
        <v>#REF!</v>
      </c>
      <c r="B64" t="e">
        <f>AND(#REF!,"AAAAAHfrYwE=")</f>
        <v>#REF!</v>
      </c>
      <c r="C64" t="e">
        <f>AND(#REF!,"AAAAAHfrYwI=")</f>
        <v>#REF!</v>
      </c>
      <c r="D64" t="e">
        <f>AND(#REF!,"AAAAAHfrYwM=")</f>
        <v>#REF!</v>
      </c>
      <c r="E64" t="e">
        <f>AND(#REF!,"AAAAAHfrYwQ=")</f>
        <v>#REF!</v>
      </c>
      <c r="F64" t="e">
        <f>AND(#REF!,"AAAAAHfrYwU=")</f>
        <v>#REF!</v>
      </c>
      <c r="G64" t="e">
        <f>AND(#REF!,"AAAAAHfrYwY=")</f>
        <v>#REF!</v>
      </c>
      <c r="H64" t="e">
        <f>AND(#REF!,"AAAAAHfrYwc=")</f>
        <v>#REF!</v>
      </c>
      <c r="I64" t="e">
        <f>AND(#REF!,"AAAAAHfrYwg=")</f>
        <v>#REF!</v>
      </c>
      <c r="J64" t="e">
        <f>AND(#REF!,"AAAAAHfrYwk=")</f>
        <v>#REF!</v>
      </c>
      <c r="K64" t="e">
        <f>AND(#REF!,"AAAAAHfrYwo=")</f>
        <v>#REF!</v>
      </c>
      <c r="L64" t="e">
        <f>AND(#REF!,"AAAAAHfrYws=")</f>
        <v>#REF!</v>
      </c>
      <c r="M64" t="e">
        <f>AND(#REF!,"AAAAAHfrYww=")</f>
        <v>#REF!</v>
      </c>
      <c r="N64" t="e">
        <f>AND(#REF!,"AAAAAHfrYw0=")</f>
        <v>#REF!</v>
      </c>
      <c r="O64" t="e">
        <f>AND(#REF!,"AAAAAHfrYw4=")</f>
        <v>#REF!</v>
      </c>
      <c r="P64" t="e">
        <f>AND(#REF!,"AAAAAHfrYw8=")</f>
        <v>#REF!</v>
      </c>
      <c r="Q64" t="e">
        <f>AND(#REF!,"AAAAAHfrYxA=")</f>
        <v>#REF!</v>
      </c>
      <c r="R64" t="e">
        <f>AND(#REF!,"AAAAAHfrYxE=")</f>
        <v>#REF!</v>
      </c>
      <c r="S64" t="e">
        <f>AND(#REF!,"AAAAAHfrYxI=")</f>
        <v>#REF!</v>
      </c>
      <c r="T64" t="e">
        <f>AND(#REF!,"AAAAAHfrYxM=")</f>
        <v>#REF!</v>
      </c>
      <c r="U64" t="e">
        <f>AND(#REF!,"AAAAAHfrYxQ=")</f>
        <v>#REF!</v>
      </c>
      <c r="V64" t="e">
        <f>AND(#REF!,"AAAAAHfrYxU=")</f>
        <v>#REF!</v>
      </c>
      <c r="W64" t="e">
        <f>AND(#REF!,"AAAAAHfrYxY=")</f>
        <v>#REF!</v>
      </c>
      <c r="X64" t="e">
        <f>AND(#REF!,"AAAAAHfrYxc=")</f>
        <v>#REF!</v>
      </c>
      <c r="Y64" t="e">
        <f>AND(#REF!,"AAAAAHfrYxg=")</f>
        <v>#REF!</v>
      </c>
      <c r="Z64" t="e">
        <f>AND(#REF!,"AAAAAHfrYxk=")</f>
        <v>#REF!</v>
      </c>
      <c r="AA64" t="e">
        <f>AND(#REF!,"AAAAAHfrYxo=")</f>
        <v>#REF!</v>
      </c>
      <c r="AB64" t="e">
        <f>AND(#REF!,"AAAAAHfrYxs=")</f>
        <v>#REF!</v>
      </c>
      <c r="AC64" t="e">
        <f>AND(#REF!,"AAAAAHfrYxw=")</f>
        <v>#REF!</v>
      </c>
      <c r="AD64" t="e">
        <f>AND(#REF!,"AAAAAHfrYx0=")</f>
        <v>#REF!</v>
      </c>
      <c r="AE64" t="e">
        <f>AND(#REF!,"AAAAAHfrYx4=")</f>
        <v>#REF!</v>
      </c>
      <c r="AF64" t="e">
        <f>AND(#REF!,"AAAAAHfrYx8=")</f>
        <v>#REF!</v>
      </c>
      <c r="AG64" t="e">
        <f>AND(#REF!,"AAAAAHfrYyA=")</f>
        <v>#REF!</v>
      </c>
      <c r="AH64" t="e">
        <f>AND(#REF!,"AAAAAHfrYyE=")</f>
        <v>#REF!</v>
      </c>
      <c r="AI64" t="e">
        <f>AND(#REF!,"AAAAAHfrYyI=")</f>
        <v>#REF!</v>
      </c>
      <c r="AJ64" t="e">
        <f>AND(#REF!,"AAAAAHfrYyM=")</f>
        <v>#REF!</v>
      </c>
      <c r="AK64" t="e">
        <f>AND(#REF!,"AAAAAHfrYyQ=")</f>
        <v>#REF!</v>
      </c>
      <c r="AL64" t="e">
        <f>AND(#REF!,"AAAAAHfrYyU=")</f>
        <v>#REF!</v>
      </c>
      <c r="AM64" t="e">
        <f>AND(#REF!,"AAAAAHfrYyY=")</f>
        <v>#REF!</v>
      </c>
      <c r="AN64" t="e">
        <f>AND(#REF!,"AAAAAHfrYyc=")</f>
        <v>#REF!</v>
      </c>
      <c r="AO64" t="e">
        <f>AND(#REF!,"AAAAAHfrYyg=")</f>
        <v>#REF!</v>
      </c>
      <c r="AP64" t="e">
        <f>AND(#REF!,"AAAAAHfrYyk=")</f>
        <v>#REF!</v>
      </c>
      <c r="AQ64" t="e">
        <f>AND(#REF!,"AAAAAHfrYyo=")</f>
        <v>#REF!</v>
      </c>
      <c r="AR64" t="e">
        <f>AND(#REF!,"AAAAAHfrYys=")</f>
        <v>#REF!</v>
      </c>
      <c r="AS64" t="e">
        <f>AND(#REF!,"AAAAAHfrYyw=")</f>
        <v>#REF!</v>
      </c>
      <c r="AT64" t="e">
        <f>AND(#REF!,"AAAAAHfrYy0=")</f>
        <v>#REF!</v>
      </c>
      <c r="AU64" t="e">
        <f>AND(#REF!,"AAAAAHfrYy4=")</f>
        <v>#REF!</v>
      </c>
      <c r="AV64" t="e">
        <f>AND(#REF!,"AAAAAHfrYy8=")</f>
        <v>#REF!</v>
      </c>
      <c r="AW64" t="e">
        <f>AND(#REF!,"AAAAAHfrYzA=")</f>
        <v>#REF!</v>
      </c>
      <c r="AX64" t="e">
        <f>AND(#REF!,"AAAAAHfrYzE=")</f>
        <v>#REF!</v>
      </c>
      <c r="AY64" t="e">
        <f>AND(#REF!,"AAAAAHfrYzI=")</f>
        <v>#REF!</v>
      </c>
      <c r="AZ64" t="e">
        <f>AND(#REF!,"AAAAAHfrYzM=")</f>
        <v>#REF!</v>
      </c>
      <c r="BA64" t="e">
        <f>AND(#REF!,"AAAAAHfrYzQ=")</f>
        <v>#REF!</v>
      </c>
      <c r="BB64" t="e">
        <f>AND(#REF!,"AAAAAHfrYzU=")</f>
        <v>#REF!</v>
      </c>
      <c r="BC64" t="e">
        <f>AND(#REF!,"AAAAAHfrYzY=")</f>
        <v>#REF!</v>
      </c>
      <c r="BD64" t="e">
        <f>AND(#REF!,"AAAAAHfrYzc=")</f>
        <v>#REF!</v>
      </c>
      <c r="BE64" t="e">
        <f>AND(#REF!,"AAAAAHfrYzg=")</f>
        <v>#REF!</v>
      </c>
      <c r="BF64" t="e">
        <f>AND(#REF!,"AAAAAHfrYzk=")</f>
        <v>#REF!</v>
      </c>
      <c r="BG64" t="e">
        <f>AND(#REF!,"AAAAAHfrYzo=")</f>
        <v>#REF!</v>
      </c>
      <c r="BH64" t="e">
        <f>AND(#REF!,"AAAAAHfrYzs=")</f>
        <v>#REF!</v>
      </c>
      <c r="BI64" t="e">
        <f>AND(#REF!,"AAAAAHfrYzw=")</f>
        <v>#REF!</v>
      </c>
      <c r="BJ64" t="e">
        <f>AND(#REF!,"AAAAAHfrYz0=")</f>
        <v>#REF!</v>
      </c>
      <c r="BK64" t="e">
        <f>AND(#REF!,"AAAAAHfrYz4=")</f>
        <v>#REF!</v>
      </c>
      <c r="BL64" t="e">
        <f>AND(#REF!,"AAAAAHfrYz8=")</f>
        <v>#REF!</v>
      </c>
      <c r="BM64" t="e">
        <f>AND(#REF!,"AAAAAHfrY0A=")</f>
        <v>#REF!</v>
      </c>
      <c r="BN64" t="e">
        <f>AND(#REF!,"AAAAAHfrY0E=")</f>
        <v>#REF!</v>
      </c>
      <c r="BO64" t="e">
        <f>AND(#REF!,"AAAAAHfrY0I=")</f>
        <v>#REF!</v>
      </c>
      <c r="BP64" t="e">
        <f>AND(#REF!,"AAAAAHfrY0M=")</f>
        <v>#REF!</v>
      </c>
      <c r="BQ64" t="e">
        <f>AND(#REF!,"AAAAAHfrY0Q=")</f>
        <v>#REF!</v>
      </c>
      <c r="BR64" t="e">
        <f>AND(#REF!,"AAAAAHfrY0U=")</f>
        <v>#REF!</v>
      </c>
      <c r="BS64" t="e">
        <f>AND(#REF!,"AAAAAHfrY0Y=")</f>
        <v>#REF!</v>
      </c>
      <c r="BT64" t="e">
        <f>AND(#REF!,"AAAAAHfrY0c=")</f>
        <v>#REF!</v>
      </c>
      <c r="BU64" t="e">
        <f>AND(#REF!,"AAAAAHfrY0g=")</f>
        <v>#REF!</v>
      </c>
      <c r="BV64" t="e">
        <f>AND(#REF!,"AAAAAHfrY0k=")</f>
        <v>#REF!</v>
      </c>
      <c r="BW64" t="e">
        <f>AND(#REF!,"AAAAAHfrY0o=")</f>
        <v>#REF!</v>
      </c>
      <c r="BX64" t="e">
        <f>AND(#REF!,"AAAAAHfrY0s=")</f>
        <v>#REF!</v>
      </c>
      <c r="BY64" t="e">
        <f>AND(#REF!,"AAAAAHfrY0w=")</f>
        <v>#REF!</v>
      </c>
      <c r="BZ64" t="e">
        <f>AND(#REF!,"AAAAAHfrY00=")</f>
        <v>#REF!</v>
      </c>
      <c r="CA64" t="e">
        <f>AND(#REF!,"AAAAAHfrY04=")</f>
        <v>#REF!</v>
      </c>
      <c r="CB64" t="e">
        <f>AND(#REF!,"AAAAAHfrY08=")</f>
        <v>#REF!</v>
      </c>
      <c r="CC64" t="e">
        <f>AND(#REF!,"AAAAAHfrY1A=")</f>
        <v>#REF!</v>
      </c>
      <c r="CD64" t="e">
        <f>AND(#REF!,"AAAAAHfrY1E=")</f>
        <v>#REF!</v>
      </c>
      <c r="CE64" t="e">
        <f>AND(#REF!,"AAAAAHfrY1I=")</f>
        <v>#REF!</v>
      </c>
      <c r="CF64" t="e">
        <f>AND(#REF!,"AAAAAHfrY1M=")</f>
        <v>#REF!</v>
      </c>
      <c r="CG64" t="e">
        <f>AND(#REF!,"AAAAAHfrY1Q=")</f>
        <v>#REF!</v>
      </c>
      <c r="CH64" t="e">
        <f>AND(#REF!,"AAAAAHfrY1U=")</f>
        <v>#REF!</v>
      </c>
      <c r="CI64" t="e">
        <f>AND(#REF!,"AAAAAHfrY1Y=")</f>
        <v>#REF!</v>
      </c>
      <c r="CJ64" t="e">
        <f>AND(#REF!,"AAAAAHfrY1c=")</f>
        <v>#REF!</v>
      </c>
      <c r="CK64" t="e">
        <f>AND(#REF!,"AAAAAHfrY1g=")</f>
        <v>#REF!</v>
      </c>
      <c r="CL64" t="e">
        <f>AND(#REF!,"AAAAAHfrY1k=")</f>
        <v>#REF!</v>
      </c>
      <c r="CM64" t="e">
        <f>AND(#REF!,"AAAAAHfrY1o=")</f>
        <v>#REF!</v>
      </c>
      <c r="CN64" t="e">
        <f>AND(#REF!,"AAAAAHfrY1s=")</f>
        <v>#REF!</v>
      </c>
      <c r="CO64" t="e">
        <f>AND(#REF!,"AAAAAHfrY1w=")</f>
        <v>#REF!</v>
      </c>
      <c r="CP64" t="e">
        <f>AND(#REF!,"AAAAAHfrY10=")</f>
        <v>#REF!</v>
      </c>
      <c r="CQ64" t="e">
        <f>AND(#REF!,"AAAAAHfrY14=")</f>
        <v>#REF!</v>
      </c>
      <c r="CR64" t="e">
        <f>AND(#REF!,"AAAAAHfrY18=")</f>
        <v>#REF!</v>
      </c>
      <c r="CS64" t="e">
        <f>AND(#REF!,"AAAAAHfrY2A=")</f>
        <v>#REF!</v>
      </c>
      <c r="CT64" t="e">
        <f>AND(#REF!,"AAAAAHfrY2E=")</f>
        <v>#REF!</v>
      </c>
      <c r="CU64" t="e">
        <f>AND(#REF!,"AAAAAHfrY2I=")</f>
        <v>#REF!</v>
      </c>
      <c r="CV64" t="e">
        <f>AND(#REF!,"AAAAAHfrY2M=")</f>
        <v>#REF!</v>
      </c>
      <c r="CW64" t="e">
        <f>AND(#REF!,"AAAAAHfrY2Q=")</f>
        <v>#REF!</v>
      </c>
      <c r="CX64" t="e">
        <f>AND(#REF!,"AAAAAHfrY2U=")</f>
        <v>#REF!</v>
      </c>
      <c r="CY64" t="e">
        <f>AND(#REF!,"AAAAAHfrY2Y=")</f>
        <v>#REF!</v>
      </c>
      <c r="CZ64" t="e">
        <f>AND(#REF!,"AAAAAHfrY2c=")</f>
        <v>#REF!</v>
      </c>
      <c r="DA64" t="e">
        <f>AND(#REF!,"AAAAAHfrY2g=")</f>
        <v>#REF!</v>
      </c>
      <c r="DB64" t="e">
        <f>AND(#REF!,"AAAAAHfrY2k=")</f>
        <v>#REF!</v>
      </c>
      <c r="DC64" t="e">
        <f>IF(#REF!,"AAAAAHfrY2o=",0)</f>
        <v>#REF!</v>
      </c>
      <c r="DD64" t="e">
        <f>AND(#REF!,"AAAAAHfrY2s=")</f>
        <v>#REF!</v>
      </c>
      <c r="DE64" t="e">
        <f>AND(#REF!,"AAAAAHfrY2w=")</f>
        <v>#REF!</v>
      </c>
      <c r="DF64" t="e">
        <f>AND(#REF!,"AAAAAHfrY20=")</f>
        <v>#REF!</v>
      </c>
      <c r="DG64" t="e">
        <f>AND(#REF!,"AAAAAHfrY24=")</f>
        <v>#REF!</v>
      </c>
      <c r="DH64" t="e">
        <f>AND(#REF!,"AAAAAHfrY28=")</f>
        <v>#REF!</v>
      </c>
      <c r="DI64" t="e">
        <f>AND(#REF!,"AAAAAHfrY3A=")</f>
        <v>#REF!</v>
      </c>
      <c r="DJ64" t="e">
        <f>AND(#REF!,"AAAAAHfrY3E=")</f>
        <v>#REF!</v>
      </c>
      <c r="DK64" t="e">
        <f>AND(#REF!,"AAAAAHfrY3I=")</f>
        <v>#REF!</v>
      </c>
      <c r="DL64" t="e">
        <f>AND(#REF!,"AAAAAHfrY3M=")</f>
        <v>#REF!</v>
      </c>
      <c r="DM64" t="e">
        <f>AND(#REF!,"AAAAAHfrY3Q=")</f>
        <v>#REF!</v>
      </c>
      <c r="DN64" t="e">
        <f>AND(#REF!,"AAAAAHfrY3U=")</f>
        <v>#REF!</v>
      </c>
      <c r="DO64" t="e">
        <f>AND(#REF!,"AAAAAHfrY3Y=")</f>
        <v>#REF!</v>
      </c>
      <c r="DP64" t="e">
        <f>AND(#REF!,"AAAAAHfrY3c=")</f>
        <v>#REF!</v>
      </c>
      <c r="DQ64" t="e">
        <f>AND(#REF!,"AAAAAHfrY3g=")</f>
        <v>#REF!</v>
      </c>
      <c r="DR64" t="e">
        <f>AND(#REF!,"AAAAAHfrY3k=")</f>
        <v>#REF!</v>
      </c>
      <c r="DS64" t="e">
        <f>AND(#REF!,"AAAAAHfrY3o=")</f>
        <v>#REF!</v>
      </c>
      <c r="DT64" t="e">
        <f>AND(#REF!,"AAAAAHfrY3s=")</f>
        <v>#REF!</v>
      </c>
      <c r="DU64" t="e">
        <f>AND(#REF!,"AAAAAHfrY3w=")</f>
        <v>#REF!</v>
      </c>
      <c r="DV64" t="e">
        <f>AND(#REF!,"AAAAAHfrY30=")</f>
        <v>#REF!</v>
      </c>
      <c r="DW64" t="e">
        <f>AND(#REF!,"AAAAAHfrY34=")</f>
        <v>#REF!</v>
      </c>
      <c r="DX64" t="e">
        <f>AND(#REF!,"AAAAAHfrY38=")</f>
        <v>#REF!</v>
      </c>
      <c r="DY64" t="e">
        <f>AND(#REF!,"AAAAAHfrY4A=")</f>
        <v>#REF!</v>
      </c>
      <c r="DZ64" t="e">
        <f>AND(#REF!,"AAAAAHfrY4E=")</f>
        <v>#REF!</v>
      </c>
      <c r="EA64" t="e">
        <f>AND(#REF!,"AAAAAHfrY4I=")</f>
        <v>#REF!</v>
      </c>
      <c r="EB64" t="e">
        <f>AND(#REF!,"AAAAAHfrY4M=")</f>
        <v>#REF!</v>
      </c>
      <c r="EC64" t="e">
        <f>AND(#REF!,"AAAAAHfrY4Q=")</f>
        <v>#REF!</v>
      </c>
      <c r="ED64" t="e">
        <f>AND(#REF!,"AAAAAHfrY4U=")</f>
        <v>#REF!</v>
      </c>
      <c r="EE64" t="e">
        <f>AND(#REF!,"AAAAAHfrY4Y=")</f>
        <v>#REF!</v>
      </c>
      <c r="EF64" t="e">
        <f>AND(#REF!,"AAAAAHfrY4c=")</f>
        <v>#REF!</v>
      </c>
      <c r="EG64" t="e">
        <f>AND(#REF!,"AAAAAHfrY4g=")</f>
        <v>#REF!</v>
      </c>
      <c r="EH64" t="e">
        <f>AND(#REF!,"AAAAAHfrY4k=")</f>
        <v>#REF!</v>
      </c>
      <c r="EI64" t="e">
        <f>AND(#REF!,"AAAAAHfrY4o=")</f>
        <v>#REF!</v>
      </c>
      <c r="EJ64" t="e">
        <f>AND(#REF!,"AAAAAHfrY4s=")</f>
        <v>#REF!</v>
      </c>
      <c r="EK64" t="e">
        <f>AND(#REF!,"AAAAAHfrY4w=")</f>
        <v>#REF!</v>
      </c>
      <c r="EL64" t="e">
        <f>AND(#REF!,"AAAAAHfrY40=")</f>
        <v>#REF!</v>
      </c>
      <c r="EM64" t="e">
        <f>AND(#REF!,"AAAAAHfrY44=")</f>
        <v>#REF!</v>
      </c>
      <c r="EN64" t="e">
        <f>AND(#REF!,"AAAAAHfrY48=")</f>
        <v>#REF!</v>
      </c>
      <c r="EO64" t="e">
        <f>AND(#REF!,"AAAAAHfrY5A=")</f>
        <v>#REF!</v>
      </c>
      <c r="EP64" t="e">
        <f>AND(#REF!,"AAAAAHfrY5E=")</f>
        <v>#REF!</v>
      </c>
      <c r="EQ64" t="e">
        <f>AND(#REF!,"AAAAAHfrY5I=")</f>
        <v>#REF!</v>
      </c>
      <c r="ER64" t="e">
        <f>AND(#REF!,"AAAAAHfrY5M=")</f>
        <v>#REF!</v>
      </c>
      <c r="ES64" t="e">
        <f>AND(#REF!,"AAAAAHfrY5Q=")</f>
        <v>#REF!</v>
      </c>
      <c r="ET64" t="e">
        <f>AND(#REF!,"AAAAAHfrY5U=")</f>
        <v>#REF!</v>
      </c>
      <c r="EU64" t="e">
        <f>AND(#REF!,"AAAAAHfrY5Y=")</f>
        <v>#REF!</v>
      </c>
      <c r="EV64" t="e">
        <f>AND(#REF!,"AAAAAHfrY5c=")</f>
        <v>#REF!</v>
      </c>
      <c r="EW64" t="e">
        <f>AND(#REF!,"AAAAAHfrY5g=")</f>
        <v>#REF!</v>
      </c>
      <c r="EX64" t="e">
        <f>AND(#REF!,"AAAAAHfrY5k=")</f>
        <v>#REF!</v>
      </c>
      <c r="EY64" t="e">
        <f>AND(#REF!,"AAAAAHfrY5o=")</f>
        <v>#REF!</v>
      </c>
      <c r="EZ64" t="e">
        <f>AND(#REF!,"AAAAAHfrY5s=")</f>
        <v>#REF!</v>
      </c>
      <c r="FA64" t="e">
        <f>AND(#REF!,"AAAAAHfrY5w=")</f>
        <v>#REF!</v>
      </c>
      <c r="FB64" t="e">
        <f>AND(#REF!,"AAAAAHfrY50=")</f>
        <v>#REF!</v>
      </c>
      <c r="FC64" t="e">
        <f>AND(#REF!,"AAAAAHfrY54=")</f>
        <v>#REF!</v>
      </c>
      <c r="FD64" t="e">
        <f>AND(#REF!,"AAAAAHfrY58=")</f>
        <v>#REF!</v>
      </c>
      <c r="FE64" t="e">
        <f>AND(#REF!,"AAAAAHfrY6A=")</f>
        <v>#REF!</v>
      </c>
      <c r="FF64" t="e">
        <f>AND(#REF!,"AAAAAHfrY6E=")</f>
        <v>#REF!</v>
      </c>
      <c r="FG64" t="e">
        <f>AND(#REF!,"AAAAAHfrY6I=")</f>
        <v>#REF!</v>
      </c>
      <c r="FH64" t="e">
        <f>AND(#REF!,"AAAAAHfrY6M=")</f>
        <v>#REF!</v>
      </c>
      <c r="FI64" t="e">
        <f>AND(#REF!,"AAAAAHfrY6Q=")</f>
        <v>#REF!</v>
      </c>
      <c r="FJ64" t="e">
        <f>AND(#REF!,"AAAAAHfrY6U=")</f>
        <v>#REF!</v>
      </c>
      <c r="FK64" t="e">
        <f>AND(#REF!,"AAAAAHfrY6Y=")</f>
        <v>#REF!</v>
      </c>
      <c r="FL64" t="e">
        <f>AND(#REF!,"AAAAAHfrY6c=")</f>
        <v>#REF!</v>
      </c>
      <c r="FM64" t="e">
        <f>AND(#REF!,"AAAAAHfrY6g=")</f>
        <v>#REF!</v>
      </c>
      <c r="FN64" t="e">
        <f>AND(#REF!,"AAAAAHfrY6k=")</f>
        <v>#REF!</v>
      </c>
      <c r="FO64" t="e">
        <f>AND(#REF!,"AAAAAHfrY6o=")</f>
        <v>#REF!</v>
      </c>
      <c r="FP64" t="e">
        <f>AND(#REF!,"AAAAAHfrY6s=")</f>
        <v>#REF!</v>
      </c>
      <c r="FQ64" t="e">
        <f>AND(#REF!,"AAAAAHfrY6w=")</f>
        <v>#REF!</v>
      </c>
      <c r="FR64" t="e">
        <f>AND(#REF!,"AAAAAHfrY60=")</f>
        <v>#REF!</v>
      </c>
      <c r="FS64" t="e">
        <f>AND(#REF!,"AAAAAHfrY64=")</f>
        <v>#REF!</v>
      </c>
      <c r="FT64" t="e">
        <f>AND(#REF!,"AAAAAHfrY68=")</f>
        <v>#REF!</v>
      </c>
      <c r="FU64" t="e">
        <f>AND(#REF!,"AAAAAHfrY7A=")</f>
        <v>#REF!</v>
      </c>
      <c r="FV64" t="e">
        <f>AND(#REF!,"AAAAAHfrY7E=")</f>
        <v>#REF!</v>
      </c>
      <c r="FW64" t="e">
        <f>AND(#REF!,"AAAAAHfrY7I=")</f>
        <v>#REF!</v>
      </c>
      <c r="FX64" t="e">
        <f>AND(#REF!,"AAAAAHfrY7M=")</f>
        <v>#REF!</v>
      </c>
      <c r="FY64" t="e">
        <f>AND(#REF!,"AAAAAHfrY7Q=")</f>
        <v>#REF!</v>
      </c>
      <c r="FZ64" t="e">
        <f>AND(#REF!,"AAAAAHfrY7U=")</f>
        <v>#REF!</v>
      </c>
      <c r="GA64" t="e">
        <f>AND(#REF!,"AAAAAHfrY7Y=")</f>
        <v>#REF!</v>
      </c>
      <c r="GB64" t="e">
        <f>AND(#REF!,"AAAAAHfrY7c=")</f>
        <v>#REF!</v>
      </c>
      <c r="GC64" t="e">
        <f>AND(#REF!,"AAAAAHfrY7g=")</f>
        <v>#REF!</v>
      </c>
      <c r="GD64" t="e">
        <f>AND(#REF!,"AAAAAHfrY7k=")</f>
        <v>#REF!</v>
      </c>
      <c r="GE64" t="e">
        <f>AND(#REF!,"AAAAAHfrY7o=")</f>
        <v>#REF!</v>
      </c>
      <c r="GF64" t="e">
        <f>AND(#REF!,"AAAAAHfrY7s=")</f>
        <v>#REF!</v>
      </c>
      <c r="GG64" t="e">
        <f>AND(#REF!,"AAAAAHfrY7w=")</f>
        <v>#REF!</v>
      </c>
      <c r="GH64" t="e">
        <f>AND(#REF!,"AAAAAHfrY70=")</f>
        <v>#REF!</v>
      </c>
      <c r="GI64" t="e">
        <f>AND(#REF!,"AAAAAHfrY74=")</f>
        <v>#REF!</v>
      </c>
      <c r="GJ64" t="e">
        <f>AND(#REF!,"AAAAAHfrY78=")</f>
        <v>#REF!</v>
      </c>
      <c r="GK64" t="e">
        <f>AND(#REF!,"AAAAAHfrY8A=")</f>
        <v>#REF!</v>
      </c>
      <c r="GL64" t="e">
        <f>AND(#REF!,"AAAAAHfrY8E=")</f>
        <v>#REF!</v>
      </c>
      <c r="GM64" t="e">
        <f>AND(#REF!,"AAAAAHfrY8I=")</f>
        <v>#REF!</v>
      </c>
      <c r="GN64" t="e">
        <f>AND(#REF!,"AAAAAHfrY8M=")</f>
        <v>#REF!</v>
      </c>
      <c r="GO64" t="e">
        <f>AND(#REF!,"AAAAAHfrY8Q=")</f>
        <v>#REF!</v>
      </c>
      <c r="GP64" t="e">
        <f>AND(#REF!,"AAAAAHfrY8U=")</f>
        <v>#REF!</v>
      </c>
      <c r="GQ64" t="e">
        <f>AND(#REF!,"AAAAAHfrY8Y=")</f>
        <v>#REF!</v>
      </c>
      <c r="GR64" t="e">
        <f>AND(#REF!,"AAAAAHfrY8c=")</f>
        <v>#REF!</v>
      </c>
      <c r="GS64" t="e">
        <f>AND(#REF!,"AAAAAHfrY8g=")</f>
        <v>#REF!</v>
      </c>
      <c r="GT64" t="e">
        <f>AND(#REF!,"AAAAAHfrY8k=")</f>
        <v>#REF!</v>
      </c>
      <c r="GU64" t="e">
        <f>AND(#REF!,"AAAAAHfrY8o=")</f>
        <v>#REF!</v>
      </c>
      <c r="GV64" t="e">
        <f>AND(#REF!,"AAAAAHfrY8s=")</f>
        <v>#REF!</v>
      </c>
      <c r="GW64" t="e">
        <f>AND(#REF!,"AAAAAHfrY8w=")</f>
        <v>#REF!</v>
      </c>
      <c r="GX64" t="e">
        <f>AND(#REF!,"AAAAAHfrY80=")</f>
        <v>#REF!</v>
      </c>
      <c r="GY64" t="e">
        <f>AND(#REF!,"AAAAAHfrY84=")</f>
        <v>#REF!</v>
      </c>
      <c r="GZ64" t="e">
        <f>AND(#REF!,"AAAAAHfrY88=")</f>
        <v>#REF!</v>
      </c>
      <c r="HA64" t="e">
        <f>AND(#REF!,"AAAAAHfrY9A=")</f>
        <v>#REF!</v>
      </c>
      <c r="HB64" t="e">
        <f>AND(#REF!,"AAAAAHfrY9E=")</f>
        <v>#REF!</v>
      </c>
      <c r="HC64" t="e">
        <f>AND(#REF!,"AAAAAHfrY9I=")</f>
        <v>#REF!</v>
      </c>
      <c r="HD64" t="e">
        <f>AND(#REF!,"AAAAAHfrY9M=")</f>
        <v>#REF!</v>
      </c>
      <c r="HE64" t="e">
        <f>AND(#REF!,"AAAAAHfrY9Q=")</f>
        <v>#REF!</v>
      </c>
      <c r="HF64" t="e">
        <f>AND(#REF!,"AAAAAHfrY9U=")</f>
        <v>#REF!</v>
      </c>
      <c r="HG64" t="e">
        <f>AND(#REF!,"AAAAAHfrY9Y=")</f>
        <v>#REF!</v>
      </c>
      <c r="HH64" t="e">
        <f>AND(#REF!,"AAAAAHfrY9c=")</f>
        <v>#REF!</v>
      </c>
      <c r="HI64" t="e">
        <f>AND(#REF!,"AAAAAHfrY9g=")</f>
        <v>#REF!</v>
      </c>
      <c r="HJ64" t="e">
        <f>AND(#REF!,"AAAAAHfrY9k=")</f>
        <v>#REF!</v>
      </c>
      <c r="HK64" t="e">
        <f>AND(#REF!,"AAAAAHfrY9o=")</f>
        <v>#REF!</v>
      </c>
      <c r="HL64" t="e">
        <f>AND(#REF!,"AAAAAHfrY9s=")</f>
        <v>#REF!</v>
      </c>
      <c r="HM64" t="e">
        <f>AND(#REF!,"AAAAAHfrY9w=")</f>
        <v>#REF!</v>
      </c>
      <c r="HN64" t="e">
        <f>AND(#REF!,"AAAAAHfrY90=")</f>
        <v>#REF!</v>
      </c>
      <c r="HO64" t="e">
        <f>AND(#REF!,"AAAAAHfrY94=")</f>
        <v>#REF!</v>
      </c>
      <c r="HP64" t="e">
        <f>AND(#REF!,"AAAAAHfrY98=")</f>
        <v>#REF!</v>
      </c>
      <c r="HQ64" t="e">
        <f>AND(#REF!,"AAAAAHfrY+A=")</f>
        <v>#REF!</v>
      </c>
      <c r="HR64" t="e">
        <f>AND(#REF!,"AAAAAHfrY+E=")</f>
        <v>#REF!</v>
      </c>
      <c r="HS64" t="e">
        <f>AND(#REF!,"AAAAAHfrY+I=")</f>
        <v>#REF!</v>
      </c>
      <c r="HT64" t="e">
        <f>IF(#REF!,"AAAAAHfrY+M=",0)</f>
        <v>#REF!</v>
      </c>
      <c r="HU64" t="e">
        <f>AND(#REF!,"AAAAAHfrY+Q=")</f>
        <v>#REF!</v>
      </c>
      <c r="HV64" t="e">
        <f>AND(#REF!,"AAAAAHfrY+U=")</f>
        <v>#REF!</v>
      </c>
      <c r="HW64" t="e">
        <f>AND(#REF!,"AAAAAHfrY+Y=")</f>
        <v>#REF!</v>
      </c>
      <c r="HX64" t="e">
        <f>AND(#REF!,"AAAAAHfrY+c=")</f>
        <v>#REF!</v>
      </c>
      <c r="HY64" t="e">
        <f>AND(#REF!,"AAAAAHfrY+g=")</f>
        <v>#REF!</v>
      </c>
      <c r="HZ64" t="e">
        <f>AND(#REF!,"AAAAAHfrY+k=")</f>
        <v>#REF!</v>
      </c>
      <c r="IA64" t="e">
        <f>AND(#REF!,"AAAAAHfrY+o=")</f>
        <v>#REF!</v>
      </c>
      <c r="IB64" t="e">
        <f>AND(#REF!,"AAAAAHfrY+s=")</f>
        <v>#REF!</v>
      </c>
      <c r="IC64" t="e">
        <f>AND(#REF!,"AAAAAHfrY+w=")</f>
        <v>#REF!</v>
      </c>
      <c r="ID64" t="e">
        <f>AND(#REF!,"AAAAAHfrY+0=")</f>
        <v>#REF!</v>
      </c>
      <c r="IE64" t="e">
        <f>AND(#REF!,"AAAAAHfrY+4=")</f>
        <v>#REF!</v>
      </c>
      <c r="IF64" t="e">
        <f>AND(#REF!,"AAAAAHfrY+8=")</f>
        <v>#REF!</v>
      </c>
      <c r="IG64" t="e">
        <f>AND(#REF!,"AAAAAHfrY/A=")</f>
        <v>#REF!</v>
      </c>
      <c r="IH64" t="e">
        <f>AND(#REF!,"AAAAAHfrY/E=")</f>
        <v>#REF!</v>
      </c>
      <c r="II64" t="e">
        <f>AND(#REF!,"AAAAAHfrY/I=")</f>
        <v>#REF!</v>
      </c>
      <c r="IJ64" t="e">
        <f>AND(#REF!,"AAAAAHfrY/M=")</f>
        <v>#REF!</v>
      </c>
      <c r="IK64" t="e">
        <f>AND(#REF!,"AAAAAHfrY/Q=")</f>
        <v>#REF!</v>
      </c>
      <c r="IL64" t="e">
        <f>AND(#REF!,"AAAAAHfrY/U=")</f>
        <v>#REF!</v>
      </c>
      <c r="IM64" t="e">
        <f>AND(#REF!,"AAAAAHfrY/Y=")</f>
        <v>#REF!</v>
      </c>
      <c r="IN64" t="e">
        <f>AND(#REF!,"AAAAAHfrY/c=")</f>
        <v>#REF!</v>
      </c>
      <c r="IO64" t="e">
        <f>AND(#REF!,"AAAAAHfrY/g=")</f>
        <v>#REF!</v>
      </c>
      <c r="IP64" t="e">
        <f>AND(#REF!,"AAAAAHfrY/k=")</f>
        <v>#REF!</v>
      </c>
      <c r="IQ64" t="e">
        <f>AND(#REF!,"AAAAAHfrY/o=")</f>
        <v>#REF!</v>
      </c>
      <c r="IR64" t="e">
        <f>AND(#REF!,"AAAAAHfrY/s=")</f>
        <v>#REF!</v>
      </c>
      <c r="IS64" t="e">
        <f>AND(#REF!,"AAAAAHfrY/w=")</f>
        <v>#REF!</v>
      </c>
      <c r="IT64" t="e">
        <f>AND(#REF!,"AAAAAHfrY/0=")</f>
        <v>#REF!</v>
      </c>
      <c r="IU64" t="e">
        <f>AND(#REF!,"AAAAAHfrY/4=")</f>
        <v>#REF!</v>
      </c>
      <c r="IV64" t="e">
        <f>AND(#REF!,"AAAAAHfrY/8=")</f>
        <v>#REF!</v>
      </c>
    </row>
    <row r="65" spans="1:256">
      <c r="A65" t="e">
        <f>AND(#REF!,"AAAAAH2/jQA=")</f>
        <v>#REF!</v>
      </c>
      <c r="B65" t="e">
        <f>AND(#REF!,"AAAAAH2/jQE=")</f>
        <v>#REF!</v>
      </c>
      <c r="C65" t="e">
        <f>AND(#REF!,"AAAAAH2/jQI=")</f>
        <v>#REF!</v>
      </c>
      <c r="D65" t="e">
        <f>AND(#REF!,"AAAAAH2/jQM=")</f>
        <v>#REF!</v>
      </c>
      <c r="E65" t="e">
        <f>AND(#REF!,"AAAAAH2/jQQ=")</f>
        <v>#REF!</v>
      </c>
      <c r="F65" t="e">
        <f>AND(#REF!,"AAAAAH2/jQU=")</f>
        <v>#REF!</v>
      </c>
      <c r="G65" t="e">
        <f>AND(#REF!,"AAAAAH2/jQY=")</f>
        <v>#REF!</v>
      </c>
      <c r="H65" t="e">
        <f>AND(#REF!,"AAAAAH2/jQc=")</f>
        <v>#REF!</v>
      </c>
      <c r="I65" t="e">
        <f>AND(#REF!,"AAAAAH2/jQg=")</f>
        <v>#REF!</v>
      </c>
      <c r="J65" t="e">
        <f>AND(#REF!,"AAAAAH2/jQk=")</f>
        <v>#REF!</v>
      </c>
      <c r="K65" t="e">
        <f>AND(#REF!,"AAAAAH2/jQo=")</f>
        <v>#REF!</v>
      </c>
      <c r="L65" t="e">
        <f>AND(#REF!,"AAAAAH2/jQs=")</f>
        <v>#REF!</v>
      </c>
      <c r="M65" t="e">
        <f>AND(#REF!,"AAAAAH2/jQw=")</f>
        <v>#REF!</v>
      </c>
      <c r="N65" t="e">
        <f>AND(#REF!,"AAAAAH2/jQ0=")</f>
        <v>#REF!</v>
      </c>
      <c r="O65" t="e">
        <f>AND(#REF!,"AAAAAH2/jQ4=")</f>
        <v>#REF!</v>
      </c>
      <c r="P65" t="e">
        <f>AND(#REF!,"AAAAAH2/jQ8=")</f>
        <v>#REF!</v>
      </c>
      <c r="Q65" t="e">
        <f>AND(#REF!,"AAAAAH2/jRA=")</f>
        <v>#REF!</v>
      </c>
      <c r="R65" t="e">
        <f>AND(#REF!,"AAAAAH2/jRE=")</f>
        <v>#REF!</v>
      </c>
      <c r="S65" t="e">
        <f>AND(#REF!,"AAAAAH2/jRI=")</f>
        <v>#REF!</v>
      </c>
      <c r="T65" t="e">
        <f>AND(#REF!,"AAAAAH2/jRM=")</f>
        <v>#REF!</v>
      </c>
      <c r="U65" t="e">
        <f>AND(#REF!,"AAAAAH2/jRQ=")</f>
        <v>#REF!</v>
      </c>
      <c r="V65" t="e">
        <f>AND(#REF!,"AAAAAH2/jRU=")</f>
        <v>#REF!</v>
      </c>
      <c r="W65" t="e">
        <f>AND(#REF!,"AAAAAH2/jRY=")</f>
        <v>#REF!</v>
      </c>
      <c r="X65" t="e">
        <f>AND(#REF!,"AAAAAH2/jRc=")</f>
        <v>#REF!</v>
      </c>
      <c r="Y65" t="e">
        <f>AND(#REF!,"AAAAAH2/jRg=")</f>
        <v>#REF!</v>
      </c>
      <c r="Z65" t="e">
        <f>AND(#REF!,"AAAAAH2/jRk=")</f>
        <v>#REF!</v>
      </c>
      <c r="AA65" t="e">
        <f>AND(#REF!,"AAAAAH2/jRo=")</f>
        <v>#REF!</v>
      </c>
      <c r="AB65" t="e">
        <f>AND(#REF!,"AAAAAH2/jRs=")</f>
        <v>#REF!</v>
      </c>
      <c r="AC65" t="e">
        <f>AND(#REF!,"AAAAAH2/jRw=")</f>
        <v>#REF!</v>
      </c>
      <c r="AD65" t="e">
        <f>AND(#REF!,"AAAAAH2/jR0=")</f>
        <v>#REF!</v>
      </c>
      <c r="AE65" t="e">
        <f>AND(#REF!,"AAAAAH2/jR4=")</f>
        <v>#REF!</v>
      </c>
      <c r="AF65" t="e">
        <f>AND(#REF!,"AAAAAH2/jR8=")</f>
        <v>#REF!</v>
      </c>
      <c r="AG65" t="e">
        <f>AND(#REF!,"AAAAAH2/jSA=")</f>
        <v>#REF!</v>
      </c>
      <c r="AH65" t="e">
        <f>AND(#REF!,"AAAAAH2/jSE=")</f>
        <v>#REF!</v>
      </c>
      <c r="AI65" t="e">
        <f>AND(#REF!,"AAAAAH2/jSI=")</f>
        <v>#REF!</v>
      </c>
      <c r="AJ65" t="e">
        <f>AND(#REF!,"AAAAAH2/jSM=")</f>
        <v>#REF!</v>
      </c>
      <c r="AK65" t="e">
        <f>AND(#REF!,"AAAAAH2/jSQ=")</f>
        <v>#REF!</v>
      </c>
      <c r="AL65" t="e">
        <f>AND(#REF!,"AAAAAH2/jSU=")</f>
        <v>#REF!</v>
      </c>
      <c r="AM65" t="e">
        <f>AND(#REF!,"AAAAAH2/jSY=")</f>
        <v>#REF!</v>
      </c>
      <c r="AN65" t="e">
        <f>AND(#REF!,"AAAAAH2/jSc=")</f>
        <v>#REF!</v>
      </c>
      <c r="AO65" t="e">
        <f>AND(#REF!,"AAAAAH2/jSg=")</f>
        <v>#REF!</v>
      </c>
      <c r="AP65" t="e">
        <f>AND(#REF!,"AAAAAH2/jSk=")</f>
        <v>#REF!</v>
      </c>
      <c r="AQ65" t="e">
        <f>AND(#REF!,"AAAAAH2/jSo=")</f>
        <v>#REF!</v>
      </c>
      <c r="AR65" t="e">
        <f>AND(#REF!,"AAAAAH2/jSs=")</f>
        <v>#REF!</v>
      </c>
      <c r="AS65" t="e">
        <f>AND(#REF!,"AAAAAH2/jSw=")</f>
        <v>#REF!</v>
      </c>
      <c r="AT65" t="e">
        <f>AND(#REF!,"AAAAAH2/jS0=")</f>
        <v>#REF!</v>
      </c>
      <c r="AU65" t="e">
        <f>AND(#REF!,"AAAAAH2/jS4=")</f>
        <v>#REF!</v>
      </c>
      <c r="AV65" t="e">
        <f>AND(#REF!,"AAAAAH2/jS8=")</f>
        <v>#REF!</v>
      </c>
      <c r="AW65" t="e">
        <f>AND(#REF!,"AAAAAH2/jTA=")</f>
        <v>#REF!</v>
      </c>
      <c r="AX65" t="e">
        <f>AND(#REF!,"AAAAAH2/jTE=")</f>
        <v>#REF!</v>
      </c>
      <c r="AY65" t="e">
        <f>AND(#REF!,"AAAAAH2/jTI=")</f>
        <v>#REF!</v>
      </c>
      <c r="AZ65" t="e">
        <f>AND(#REF!,"AAAAAH2/jTM=")</f>
        <v>#REF!</v>
      </c>
      <c r="BA65" t="e">
        <f>AND(#REF!,"AAAAAH2/jTQ=")</f>
        <v>#REF!</v>
      </c>
      <c r="BB65" t="e">
        <f>AND(#REF!,"AAAAAH2/jTU=")</f>
        <v>#REF!</v>
      </c>
      <c r="BC65" t="e">
        <f>AND(#REF!,"AAAAAH2/jTY=")</f>
        <v>#REF!</v>
      </c>
      <c r="BD65" t="e">
        <f>AND(#REF!,"AAAAAH2/jTc=")</f>
        <v>#REF!</v>
      </c>
      <c r="BE65" t="e">
        <f>AND(#REF!,"AAAAAH2/jTg=")</f>
        <v>#REF!</v>
      </c>
      <c r="BF65" t="e">
        <f>AND(#REF!,"AAAAAH2/jTk=")</f>
        <v>#REF!</v>
      </c>
      <c r="BG65" t="e">
        <f>AND(#REF!,"AAAAAH2/jTo=")</f>
        <v>#REF!</v>
      </c>
      <c r="BH65" t="e">
        <f>AND(#REF!,"AAAAAH2/jTs=")</f>
        <v>#REF!</v>
      </c>
      <c r="BI65" t="e">
        <f>AND(#REF!,"AAAAAH2/jTw=")</f>
        <v>#REF!</v>
      </c>
      <c r="BJ65" t="e">
        <f>AND(#REF!,"AAAAAH2/jT0=")</f>
        <v>#REF!</v>
      </c>
      <c r="BK65" t="e">
        <f>AND(#REF!,"AAAAAH2/jT4=")</f>
        <v>#REF!</v>
      </c>
      <c r="BL65" t="e">
        <f>AND(#REF!,"AAAAAH2/jT8=")</f>
        <v>#REF!</v>
      </c>
      <c r="BM65" t="e">
        <f>AND(#REF!,"AAAAAH2/jUA=")</f>
        <v>#REF!</v>
      </c>
      <c r="BN65" t="e">
        <f>AND(#REF!,"AAAAAH2/jUE=")</f>
        <v>#REF!</v>
      </c>
      <c r="BO65" t="e">
        <f>AND(#REF!,"AAAAAH2/jUI=")</f>
        <v>#REF!</v>
      </c>
      <c r="BP65" t="e">
        <f>AND(#REF!,"AAAAAH2/jUM=")</f>
        <v>#REF!</v>
      </c>
      <c r="BQ65" t="e">
        <f>AND(#REF!,"AAAAAH2/jUQ=")</f>
        <v>#REF!</v>
      </c>
      <c r="BR65" t="e">
        <f>AND(#REF!,"AAAAAH2/jUU=")</f>
        <v>#REF!</v>
      </c>
      <c r="BS65" t="e">
        <f>AND(#REF!,"AAAAAH2/jUY=")</f>
        <v>#REF!</v>
      </c>
      <c r="BT65" t="e">
        <f>AND(#REF!,"AAAAAH2/jUc=")</f>
        <v>#REF!</v>
      </c>
      <c r="BU65" t="e">
        <f>AND(#REF!,"AAAAAH2/jUg=")</f>
        <v>#REF!</v>
      </c>
      <c r="BV65" t="e">
        <f>AND(#REF!,"AAAAAH2/jUk=")</f>
        <v>#REF!</v>
      </c>
      <c r="BW65" t="e">
        <f>AND(#REF!,"AAAAAH2/jUo=")</f>
        <v>#REF!</v>
      </c>
      <c r="BX65" t="e">
        <f>AND(#REF!,"AAAAAH2/jUs=")</f>
        <v>#REF!</v>
      </c>
      <c r="BY65" t="e">
        <f>AND(#REF!,"AAAAAH2/jUw=")</f>
        <v>#REF!</v>
      </c>
      <c r="BZ65" t="e">
        <f>AND(#REF!,"AAAAAH2/jU0=")</f>
        <v>#REF!</v>
      </c>
      <c r="CA65" t="e">
        <f>AND(#REF!,"AAAAAH2/jU4=")</f>
        <v>#REF!</v>
      </c>
      <c r="CB65" t="e">
        <f>AND(#REF!,"AAAAAH2/jU8=")</f>
        <v>#REF!</v>
      </c>
      <c r="CC65" t="e">
        <f>AND(#REF!,"AAAAAH2/jVA=")</f>
        <v>#REF!</v>
      </c>
      <c r="CD65" t="e">
        <f>AND(#REF!,"AAAAAH2/jVE=")</f>
        <v>#REF!</v>
      </c>
      <c r="CE65" t="e">
        <f>AND(#REF!,"AAAAAH2/jVI=")</f>
        <v>#REF!</v>
      </c>
      <c r="CF65" t="e">
        <f>AND(#REF!,"AAAAAH2/jVM=")</f>
        <v>#REF!</v>
      </c>
      <c r="CG65" t="e">
        <f>AND(#REF!,"AAAAAH2/jVQ=")</f>
        <v>#REF!</v>
      </c>
      <c r="CH65" t="e">
        <f>AND(#REF!,"AAAAAH2/jVU=")</f>
        <v>#REF!</v>
      </c>
      <c r="CI65" t="e">
        <f>AND(#REF!,"AAAAAH2/jVY=")</f>
        <v>#REF!</v>
      </c>
      <c r="CJ65" t="e">
        <f>AND(#REF!,"AAAAAH2/jVc=")</f>
        <v>#REF!</v>
      </c>
      <c r="CK65" t="e">
        <f>AND(#REF!,"AAAAAH2/jVg=")</f>
        <v>#REF!</v>
      </c>
      <c r="CL65" t="e">
        <f>AND(#REF!,"AAAAAH2/jVk=")</f>
        <v>#REF!</v>
      </c>
      <c r="CM65" t="e">
        <f>AND(#REF!,"AAAAAH2/jVo=")</f>
        <v>#REF!</v>
      </c>
      <c r="CN65" t="e">
        <f>AND(#REF!,"AAAAAH2/jVs=")</f>
        <v>#REF!</v>
      </c>
      <c r="CO65" t="e">
        <f>IF(#REF!,"AAAAAH2/jVw=",0)</f>
        <v>#REF!</v>
      </c>
      <c r="CP65" t="e">
        <f>AND(#REF!,"AAAAAH2/jV0=")</f>
        <v>#REF!</v>
      </c>
      <c r="CQ65" t="e">
        <f>AND(#REF!,"AAAAAH2/jV4=")</f>
        <v>#REF!</v>
      </c>
      <c r="CR65" t="e">
        <f>AND(#REF!,"AAAAAH2/jV8=")</f>
        <v>#REF!</v>
      </c>
      <c r="CS65" t="e">
        <f>AND(#REF!,"AAAAAH2/jWA=")</f>
        <v>#REF!</v>
      </c>
      <c r="CT65" t="e">
        <f>AND(#REF!,"AAAAAH2/jWE=")</f>
        <v>#REF!</v>
      </c>
      <c r="CU65" t="e">
        <f>AND(#REF!,"AAAAAH2/jWI=")</f>
        <v>#REF!</v>
      </c>
      <c r="CV65" t="e">
        <f>AND(#REF!,"AAAAAH2/jWM=")</f>
        <v>#REF!</v>
      </c>
      <c r="CW65" t="e">
        <f>AND(#REF!,"AAAAAH2/jWQ=")</f>
        <v>#REF!</v>
      </c>
      <c r="CX65" t="e">
        <f>AND(#REF!,"AAAAAH2/jWU=")</f>
        <v>#REF!</v>
      </c>
      <c r="CY65" t="e">
        <f>AND(#REF!,"AAAAAH2/jWY=")</f>
        <v>#REF!</v>
      </c>
      <c r="CZ65" t="e">
        <f>AND(#REF!,"AAAAAH2/jWc=")</f>
        <v>#REF!</v>
      </c>
      <c r="DA65" t="e">
        <f>AND(#REF!,"AAAAAH2/jWg=")</f>
        <v>#REF!</v>
      </c>
      <c r="DB65" t="e">
        <f>AND(#REF!,"AAAAAH2/jWk=")</f>
        <v>#REF!</v>
      </c>
      <c r="DC65" t="e">
        <f>AND(#REF!,"AAAAAH2/jWo=")</f>
        <v>#REF!</v>
      </c>
      <c r="DD65" t="e">
        <f>AND(#REF!,"AAAAAH2/jWs=")</f>
        <v>#REF!</v>
      </c>
      <c r="DE65" t="e">
        <f>AND(#REF!,"AAAAAH2/jWw=")</f>
        <v>#REF!</v>
      </c>
      <c r="DF65" t="e">
        <f>AND(#REF!,"AAAAAH2/jW0=")</f>
        <v>#REF!</v>
      </c>
      <c r="DG65" t="e">
        <f>AND(#REF!,"AAAAAH2/jW4=")</f>
        <v>#REF!</v>
      </c>
      <c r="DH65" t="e">
        <f>AND(#REF!,"AAAAAH2/jW8=")</f>
        <v>#REF!</v>
      </c>
      <c r="DI65" t="e">
        <f>AND(#REF!,"AAAAAH2/jXA=")</f>
        <v>#REF!</v>
      </c>
      <c r="DJ65" t="e">
        <f>AND(#REF!,"AAAAAH2/jXE=")</f>
        <v>#REF!</v>
      </c>
      <c r="DK65" t="e">
        <f>AND(#REF!,"AAAAAH2/jXI=")</f>
        <v>#REF!</v>
      </c>
      <c r="DL65" t="e">
        <f>AND(#REF!,"AAAAAH2/jXM=")</f>
        <v>#REF!</v>
      </c>
      <c r="DM65" t="e">
        <f>AND(#REF!,"AAAAAH2/jXQ=")</f>
        <v>#REF!</v>
      </c>
      <c r="DN65" t="e">
        <f>AND(#REF!,"AAAAAH2/jXU=")</f>
        <v>#REF!</v>
      </c>
      <c r="DO65" t="e">
        <f>AND(#REF!,"AAAAAH2/jXY=")</f>
        <v>#REF!</v>
      </c>
      <c r="DP65" t="e">
        <f>AND(#REF!,"AAAAAH2/jXc=")</f>
        <v>#REF!</v>
      </c>
      <c r="DQ65" t="e">
        <f>AND(#REF!,"AAAAAH2/jXg=")</f>
        <v>#REF!</v>
      </c>
      <c r="DR65" t="e">
        <f>AND(#REF!,"AAAAAH2/jXk=")</f>
        <v>#REF!</v>
      </c>
      <c r="DS65" t="e">
        <f>AND(#REF!,"AAAAAH2/jXo=")</f>
        <v>#REF!</v>
      </c>
      <c r="DT65" t="e">
        <f>AND(#REF!,"AAAAAH2/jXs=")</f>
        <v>#REF!</v>
      </c>
      <c r="DU65" t="e">
        <f>AND(#REF!,"AAAAAH2/jXw=")</f>
        <v>#REF!</v>
      </c>
      <c r="DV65" t="e">
        <f>AND(#REF!,"AAAAAH2/jX0=")</f>
        <v>#REF!</v>
      </c>
      <c r="DW65" t="e">
        <f>AND(#REF!,"AAAAAH2/jX4=")</f>
        <v>#REF!</v>
      </c>
      <c r="DX65" t="e">
        <f>AND(#REF!,"AAAAAH2/jX8=")</f>
        <v>#REF!</v>
      </c>
      <c r="DY65" t="e">
        <f>AND(#REF!,"AAAAAH2/jYA=")</f>
        <v>#REF!</v>
      </c>
      <c r="DZ65" t="e">
        <f>AND(#REF!,"AAAAAH2/jYE=")</f>
        <v>#REF!</v>
      </c>
      <c r="EA65" t="e">
        <f>AND(#REF!,"AAAAAH2/jYI=")</f>
        <v>#REF!</v>
      </c>
      <c r="EB65" t="e">
        <f>AND(#REF!,"AAAAAH2/jYM=")</f>
        <v>#REF!</v>
      </c>
      <c r="EC65" t="e">
        <f>AND(#REF!,"AAAAAH2/jYQ=")</f>
        <v>#REF!</v>
      </c>
      <c r="ED65" t="e">
        <f>AND(#REF!,"AAAAAH2/jYU=")</f>
        <v>#REF!</v>
      </c>
      <c r="EE65" t="e">
        <f>AND(#REF!,"AAAAAH2/jYY=")</f>
        <v>#REF!</v>
      </c>
      <c r="EF65" t="e">
        <f>AND(#REF!,"AAAAAH2/jYc=")</f>
        <v>#REF!</v>
      </c>
      <c r="EG65" t="e">
        <f>AND(#REF!,"AAAAAH2/jYg=")</f>
        <v>#REF!</v>
      </c>
      <c r="EH65" t="e">
        <f>AND(#REF!,"AAAAAH2/jYk=")</f>
        <v>#REF!</v>
      </c>
      <c r="EI65" t="e">
        <f>AND(#REF!,"AAAAAH2/jYo=")</f>
        <v>#REF!</v>
      </c>
      <c r="EJ65" t="e">
        <f>AND(#REF!,"AAAAAH2/jYs=")</f>
        <v>#REF!</v>
      </c>
      <c r="EK65" t="e">
        <f>AND(#REF!,"AAAAAH2/jYw=")</f>
        <v>#REF!</v>
      </c>
      <c r="EL65" t="e">
        <f>AND(#REF!,"AAAAAH2/jY0=")</f>
        <v>#REF!</v>
      </c>
      <c r="EM65" t="e">
        <f>AND(#REF!,"AAAAAH2/jY4=")</f>
        <v>#REF!</v>
      </c>
      <c r="EN65" t="e">
        <f>AND(#REF!,"AAAAAH2/jY8=")</f>
        <v>#REF!</v>
      </c>
      <c r="EO65" t="e">
        <f>AND(#REF!,"AAAAAH2/jZA=")</f>
        <v>#REF!</v>
      </c>
      <c r="EP65" t="e">
        <f>AND(#REF!,"AAAAAH2/jZE=")</f>
        <v>#REF!</v>
      </c>
      <c r="EQ65" t="e">
        <f>AND(#REF!,"AAAAAH2/jZI=")</f>
        <v>#REF!</v>
      </c>
      <c r="ER65" t="e">
        <f>AND(#REF!,"AAAAAH2/jZM=")</f>
        <v>#REF!</v>
      </c>
      <c r="ES65" t="e">
        <f>AND(#REF!,"AAAAAH2/jZQ=")</f>
        <v>#REF!</v>
      </c>
      <c r="ET65" t="e">
        <f>AND(#REF!,"AAAAAH2/jZU=")</f>
        <v>#REF!</v>
      </c>
      <c r="EU65" t="e">
        <f>AND(#REF!,"AAAAAH2/jZY=")</f>
        <v>#REF!</v>
      </c>
      <c r="EV65" t="e">
        <f>AND(#REF!,"AAAAAH2/jZc=")</f>
        <v>#REF!</v>
      </c>
      <c r="EW65" t="e">
        <f>AND(#REF!,"AAAAAH2/jZg=")</f>
        <v>#REF!</v>
      </c>
      <c r="EX65" t="e">
        <f>AND(#REF!,"AAAAAH2/jZk=")</f>
        <v>#REF!</v>
      </c>
      <c r="EY65" t="e">
        <f>AND(#REF!,"AAAAAH2/jZo=")</f>
        <v>#REF!</v>
      </c>
      <c r="EZ65" t="e">
        <f>AND(#REF!,"AAAAAH2/jZs=")</f>
        <v>#REF!</v>
      </c>
      <c r="FA65" t="e">
        <f>AND(#REF!,"AAAAAH2/jZw=")</f>
        <v>#REF!</v>
      </c>
      <c r="FB65" t="e">
        <f>AND(#REF!,"AAAAAH2/jZ0=")</f>
        <v>#REF!</v>
      </c>
      <c r="FC65" t="e">
        <f>AND(#REF!,"AAAAAH2/jZ4=")</f>
        <v>#REF!</v>
      </c>
      <c r="FD65" t="e">
        <f>AND(#REF!,"AAAAAH2/jZ8=")</f>
        <v>#REF!</v>
      </c>
      <c r="FE65" t="e">
        <f>AND(#REF!,"AAAAAH2/jaA=")</f>
        <v>#REF!</v>
      </c>
      <c r="FF65" t="e">
        <f>AND(#REF!,"AAAAAH2/jaE=")</f>
        <v>#REF!</v>
      </c>
      <c r="FG65" t="e">
        <f>AND(#REF!,"AAAAAH2/jaI=")</f>
        <v>#REF!</v>
      </c>
      <c r="FH65" t="e">
        <f>AND(#REF!,"AAAAAH2/jaM=")</f>
        <v>#REF!</v>
      </c>
      <c r="FI65" t="e">
        <f>AND(#REF!,"AAAAAH2/jaQ=")</f>
        <v>#REF!</v>
      </c>
      <c r="FJ65" t="e">
        <f>AND(#REF!,"AAAAAH2/jaU=")</f>
        <v>#REF!</v>
      </c>
      <c r="FK65" t="e">
        <f>AND(#REF!,"AAAAAH2/jaY=")</f>
        <v>#REF!</v>
      </c>
      <c r="FL65" t="e">
        <f>AND(#REF!,"AAAAAH2/jac=")</f>
        <v>#REF!</v>
      </c>
      <c r="FM65" t="e">
        <f>AND(#REF!,"AAAAAH2/jag=")</f>
        <v>#REF!</v>
      </c>
      <c r="FN65" t="e">
        <f>AND(#REF!,"AAAAAH2/jak=")</f>
        <v>#REF!</v>
      </c>
      <c r="FO65" t="e">
        <f>AND(#REF!,"AAAAAH2/jao=")</f>
        <v>#REF!</v>
      </c>
      <c r="FP65" t="e">
        <f>AND(#REF!,"AAAAAH2/jas=")</f>
        <v>#REF!</v>
      </c>
      <c r="FQ65" t="e">
        <f>AND(#REF!,"AAAAAH2/jaw=")</f>
        <v>#REF!</v>
      </c>
      <c r="FR65" t="e">
        <f>AND(#REF!,"AAAAAH2/ja0=")</f>
        <v>#REF!</v>
      </c>
      <c r="FS65" t="e">
        <f>AND(#REF!,"AAAAAH2/ja4=")</f>
        <v>#REF!</v>
      </c>
      <c r="FT65" t="e">
        <f>AND(#REF!,"AAAAAH2/ja8=")</f>
        <v>#REF!</v>
      </c>
      <c r="FU65" t="e">
        <f>AND(#REF!,"AAAAAH2/jbA=")</f>
        <v>#REF!</v>
      </c>
      <c r="FV65" t="e">
        <f>AND(#REF!,"AAAAAH2/jbE=")</f>
        <v>#REF!</v>
      </c>
      <c r="FW65" t="e">
        <f>AND(#REF!,"AAAAAH2/jbI=")</f>
        <v>#REF!</v>
      </c>
      <c r="FX65" t="e">
        <f>AND(#REF!,"AAAAAH2/jbM=")</f>
        <v>#REF!</v>
      </c>
      <c r="FY65" t="e">
        <f>AND(#REF!,"AAAAAH2/jbQ=")</f>
        <v>#REF!</v>
      </c>
      <c r="FZ65" t="e">
        <f>AND(#REF!,"AAAAAH2/jbU=")</f>
        <v>#REF!</v>
      </c>
      <c r="GA65" t="e">
        <f>AND(#REF!,"AAAAAH2/jbY=")</f>
        <v>#REF!</v>
      </c>
      <c r="GB65" t="e">
        <f>AND(#REF!,"AAAAAH2/jbc=")</f>
        <v>#REF!</v>
      </c>
      <c r="GC65" t="e">
        <f>AND(#REF!,"AAAAAH2/jbg=")</f>
        <v>#REF!</v>
      </c>
      <c r="GD65" t="e">
        <f>AND(#REF!,"AAAAAH2/jbk=")</f>
        <v>#REF!</v>
      </c>
      <c r="GE65" t="e">
        <f>AND(#REF!,"AAAAAH2/jbo=")</f>
        <v>#REF!</v>
      </c>
      <c r="GF65" t="e">
        <f>AND(#REF!,"AAAAAH2/jbs=")</f>
        <v>#REF!</v>
      </c>
      <c r="GG65" t="e">
        <f>AND(#REF!,"AAAAAH2/jbw=")</f>
        <v>#REF!</v>
      </c>
      <c r="GH65" t="e">
        <f>AND(#REF!,"AAAAAH2/jb0=")</f>
        <v>#REF!</v>
      </c>
      <c r="GI65" t="e">
        <f>AND(#REF!,"AAAAAH2/jb4=")</f>
        <v>#REF!</v>
      </c>
      <c r="GJ65" t="e">
        <f>AND(#REF!,"AAAAAH2/jb8=")</f>
        <v>#REF!</v>
      </c>
      <c r="GK65" t="e">
        <f>AND(#REF!,"AAAAAH2/jcA=")</f>
        <v>#REF!</v>
      </c>
      <c r="GL65" t="e">
        <f>AND(#REF!,"AAAAAH2/jcE=")</f>
        <v>#REF!</v>
      </c>
      <c r="GM65" t="e">
        <f>AND(#REF!,"AAAAAH2/jcI=")</f>
        <v>#REF!</v>
      </c>
      <c r="GN65" t="e">
        <f>AND(#REF!,"AAAAAH2/jcM=")</f>
        <v>#REF!</v>
      </c>
      <c r="GO65" t="e">
        <f>AND(#REF!,"AAAAAH2/jcQ=")</f>
        <v>#REF!</v>
      </c>
      <c r="GP65" t="e">
        <f>AND(#REF!,"AAAAAH2/jcU=")</f>
        <v>#REF!</v>
      </c>
      <c r="GQ65" t="e">
        <f>AND(#REF!,"AAAAAH2/jcY=")</f>
        <v>#REF!</v>
      </c>
      <c r="GR65" t="e">
        <f>AND(#REF!,"AAAAAH2/jcc=")</f>
        <v>#REF!</v>
      </c>
      <c r="GS65" t="e">
        <f>AND(#REF!,"AAAAAH2/jcg=")</f>
        <v>#REF!</v>
      </c>
      <c r="GT65" t="e">
        <f>AND(#REF!,"AAAAAH2/jck=")</f>
        <v>#REF!</v>
      </c>
      <c r="GU65" t="e">
        <f>AND(#REF!,"AAAAAH2/jco=")</f>
        <v>#REF!</v>
      </c>
      <c r="GV65" t="e">
        <f>AND(#REF!,"AAAAAH2/jcs=")</f>
        <v>#REF!</v>
      </c>
      <c r="GW65" t="e">
        <f>AND(#REF!,"AAAAAH2/jcw=")</f>
        <v>#REF!</v>
      </c>
      <c r="GX65" t="e">
        <f>AND(#REF!,"AAAAAH2/jc0=")</f>
        <v>#REF!</v>
      </c>
      <c r="GY65" t="e">
        <f>AND(#REF!,"AAAAAH2/jc4=")</f>
        <v>#REF!</v>
      </c>
      <c r="GZ65" t="e">
        <f>AND(#REF!,"AAAAAH2/jc8=")</f>
        <v>#REF!</v>
      </c>
      <c r="HA65" t="e">
        <f>AND(#REF!,"AAAAAH2/jdA=")</f>
        <v>#REF!</v>
      </c>
      <c r="HB65" t="e">
        <f>AND(#REF!,"AAAAAH2/jdE=")</f>
        <v>#REF!</v>
      </c>
      <c r="HC65" t="e">
        <f>AND(#REF!,"AAAAAH2/jdI=")</f>
        <v>#REF!</v>
      </c>
      <c r="HD65" t="e">
        <f>AND(#REF!,"AAAAAH2/jdM=")</f>
        <v>#REF!</v>
      </c>
      <c r="HE65" t="e">
        <f>AND(#REF!,"AAAAAH2/jdQ=")</f>
        <v>#REF!</v>
      </c>
      <c r="HF65" t="e">
        <f>IF(#REF!,"AAAAAH2/jdU=",0)</f>
        <v>#REF!</v>
      </c>
      <c r="HG65" t="e">
        <f>AND(#REF!,"AAAAAH2/jdY=")</f>
        <v>#REF!</v>
      </c>
      <c r="HH65" t="e">
        <f>AND(#REF!,"AAAAAH2/jdc=")</f>
        <v>#REF!</v>
      </c>
      <c r="HI65" t="e">
        <f>AND(#REF!,"AAAAAH2/jdg=")</f>
        <v>#REF!</v>
      </c>
      <c r="HJ65" t="e">
        <f>AND(#REF!,"AAAAAH2/jdk=")</f>
        <v>#REF!</v>
      </c>
      <c r="HK65" t="e">
        <f>AND(#REF!,"AAAAAH2/jdo=")</f>
        <v>#REF!</v>
      </c>
      <c r="HL65" t="e">
        <f>AND(#REF!,"AAAAAH2/jds=")</f>
        <v>#REF!</v>
      </c>
      <c r="HM65" t="e">
        <f>AND(#REF!,"AAAAAH2/jdw=")</f>
        <v>#REF!</v>
      </c>
      <c r="HN65" t="e">
        <f>AND(#REF!,"AAAAAH2/jd0=")</f>
        <v>#REF!</v>
      </c>
      <c r="HO65" t="e">
        <f>AND(#REF!,"AAAAAH2/jd4=")</f>
        <v>#REF!</v>
      </c>
      <c r="HP65" t="e">
        <f>AND(#REF!,"AAAAAH2/jd8=")</f>
        <v>#REF!</v>
      </c>
      <c r="HQ65" t="e">
        <f>AND(#REF!,"AAAAAH2/jeA=")</f>
        <v>#REF!</v>
      </c>
      <c r="HR65" t="e">
        <f>AND(#REF!,"AAAAAH2/jeE=")</f>
        <v>#REF!</v>
      </c>
      <c r="HS65" t="e">
        <f>AND(#REF!,"AAAAAH2/jeI=")</f>
        <v>#REF!</v>
      </c>
      <c r="HT65" t="e">
        <f>AND(#REF!,"AAAAAH2/jeM=")</f>
        <v>#REF!</v>
      </c>
      <c r="HU65" t="e">
        <f>AND(#REF!,"AAAAAH2/jeQ=")</f>
        <v>#REF!</v>
      </c>
      <c r="HV65" t="e">
        <f>AND(#REF!,"AAAAAH2/jeU=")</f>
        <v>#REF!</v>
      </c>
      <c r="HW65" t="e">
        <f>AND(#REF!,"AAAAAH2/jeY=")</f>
        <v>#REF!</v>
      </c>
      <c r="HX65" t="e">
        <f>AND(#REF!,"AAAAAH2/jec=")</f>
        <v>#REF!</v>
      </c>
      <c r="HY65" t="e">
        <f>AND(#REF!,"AAAAAH2/jeg=")</f>
        <v>#REF!</v>
      </c>
      <c r="HZ65" t="e">
        <f>AND(#REF!,"AAAAAH2/jek=")</f>
        <v>#REF!</v>
      </c>
      <c r="IA65" t="e">
        <f>AND(#REF!,"AAAAAH2/jeo=")</f>
        <v>#REF!</v>
      </c>
      <c r="IB65" t="e">
        <f>AND(#REF!,"AAAAAH2/jes=")</f>
        <v>#REF!</v>
      </c>
      <c r="IC65" t="e">
        <f>AND(#REF!,"AAAAAH2/jew=")</f>
        <v>#REF!</v>
      </c>
      <c r="ID65" t="e">
        <f>AND(#REF!,"AAAAAH2/je0=")</f>
        <v>#REF!</v>
      </c>
      <c r="IE65" t="e">
        <f>AND(#REF!,"AAAAAH2/je4=")</f>
        <v>#REF!</v>
      </c>
      <c r="IF65" t="e">
        <f>AND(#REF!,"AAAAAH2/je8=")</f>
        <v>#REF!</v>
      </c>
      <c r="IG65" t="e">
        <f>AND(#REF!,"AAAAAH2/jfA=")</f>
        <v>#REF!</v>
      </c>
      <c r="IH65" t="e">
        <f>AND(#REF!,"AAAAAH2/jfE=")</f>
        <v>#REF!</v>
      </c>
      <c r="II65" t="e">
        <f>AND(#REF!,"AAAAAH2/jfI=")</f>
        <v>#REF!</v>
      </c>
      <c r="IJ65" t="e">
        <f>AND(#REF!,"AAAAAH2/jfM=")</f>
        <v>#REF!</v>
      </c>
      <c r="IK65" t="e">
        <f>AND(#REF!,"AAAAAH2/jfQ=")</f>
        <v>#REF!</v>
      </c>
      <c r="IL65" t="e">
        <f>AND(#REF!,"AAAAAH2/jfU=")</f>
        <v>#REF!</v>
      </c>
      <c r="IM65" t="e">
        <f>AND(#REF!,"AAAAAH2/jfY=")</f>
        <v>#REF!</v>
      </c>
      <c r="IN65" t="e">
        <f>AND(#REF!,"AAAAAH2/jfc=")</f>
        <v>#REF!</v>
      </c>
      <c r="IO65" t="e">
        <f>AND(#REF!,"AAAAAH2/jfg=")</f>
        <v>#REF!</v>
      </c>
      <c r="IP65" t="e">
        <f>AND(#REF!,"AAAAAH2/jfk=")</f>
        <v>#REF!</v>
      </c>
      <c r="IQ65" t="e">
        <f>AND(#REF!,"AAAAAH2/jfo=")</f>
        <v>#REF!</v>
      </c>
      <c r="IR65" t="e">
        <f>AND(#REF!,"AAAAAH2/jfs=")</f>
        <v>#REF!</v>
      </c>
      <c r="IS65" t="e">
        <f>AND(#REF!,"AAAAAH2/jfw=")</f>
        <v>#REF!</v>
      </c>
      <c r="IT65" t="e">
        <f>AND(#REF!,"AAAAAH2/jf0=")</f>
        <v>#REF!</v>
      </c>
      <c r="IU65" t="e">
        <f>AND(#REF!,"AAAAAH2/jf4=")</f>
        <v>#REF!</v>
      </c>
      <c r="IV65" t="e">
        <f>AND(#REF!,"AAAAAH2/jf8=")</f>
        <v>#REF!</v>
      </c>
    </row>
    <row r="66" spans="1:256">
      <c r="A66" t="e">
        <f>AND(#REF!,"AAAAACf7/QA=")</f>
        <v>#REF!</v>
      </c>
      <c r="B66" t="e">
        <f>AND(#REF!,"AAAAACf7/QE=")</f>
        <v>#REF!</v>
      </c>
      <c r="C66" t="e">
        <f>AND(#REF!,"AAAAACf7/QI=")</f>
        <v>#REF!</v>
      </c>
      <c r="D66" t="e">
        <f>AND(#REF!,"AAAAACf7/QM=")</f>
        <v>#REF!</v>
      </c>
      <c r="E66" t="e">
        <f>AND(#REF!,"AAAAACf7/QQ=")</f>
        <v>#REF!</v>
      </c>
      <c r="F66" t="e">
        <f>AND(#REF!,"AAAAACf7/QU=")</f>
        <v>#REF!</v>
      </c>
      <c r="G66" t="e">
        <f>AND(#REF!,"AAAAACf7/QY=")</f>
        <v>#REF!</v>
      </c>
      <c r="H66" t="e">
        <f>AND(#REF!,"AAAAACf7/Qc=")</f>
        <v>#REF!</v>
      </c>
      <c r="I66" t="e">
        <f>AND(#REF!,"AAAAACf7/Qg=")</f>
        <v>#REF!</v>
      </c>
      <c r="J66" t="e">
        <f>AND(#REF!,"AAAAACf7/Qk=")</f>
        <v>#REF!</v>
      </c>
      <c r="K66" t="e">
        <f>AND(#REF!,"AAAAACf7/Qo=")</f>
        <v>#REF!</v>
      </c>
      <c r="L66" t="e">
        <f>AND(#REF!,"AAAAACf7/Qs=")</f>
        <v>#REF!</v>
      </c>
      <c r="M66" t="e">
        <f>AND(#REF!,"AAAAACf7/Qw=")</f>
        <v>#REF!</v>
      </c>
      <c r="N66" t="e">
        <f>AND(#REF!,"AAAAACf7/Q0=")</f>
        <v>#REF!</v>
      </c>
      <c r="O66" t="e">
        <f>AND(#REF!,"AAAAACf7/Q4=")</f>
        <v>#REF!</v>
      </c>
      <c r="P66" t="e">
        <f>AND(#REF!,"AAAAACf7/Q8=")</f>
        <v>#REF!</v>
      </c>
      <c r="Q66" t="e">
        <f>AND(#REF!,"AAAAACf7/RA=")</f>
        <v>#REF!</v>
      </c>
      <c r="R66" t="e">
        <f>AND(#REF!,"AAAAACf7/RE=")</f>
        <v>#REF!</v>
      </c>
      <c r="S66" t="e">
        <f>AND(#REF!,"AAAAACf7/RI=")</f>
        <v>#REF!</v>
      </c>
      <c r="T66" t="e">
        <f>AND(#REF!,"AAAAACf7/RM=")</f>
        <v>#REF!</v>
      </c>
      <c r="U66" t="e">
        <f>AND(#REF!,"AAAAACf7/RQ=")</f>
        <v>#REF!</v>
      </c>
      <c r="V66" t="e">
        <f>AND(#REF!,"AAAAACf7/RU=")</f>
        <v>#REF!</v>
      </c>
      <c r="W66" t="e">
        <f>AND(#REF!,"AAAAACf7/RY=")</f>
        <v>#REF!</v>
      </c>
      <c r="X66" t="e">
        <f>AND(#REF!,"AAAAACf7/Rc=")</f>
        <v>#REF!</v>
      </c>
      <c r="Y66" t="e">
        <f>AND(#REF!,"AAAAACf7/Rg=")</f>
        <v>#REF!</v>
      </c>
      <c r="Z66" t="e">
        <f>AND(#REF!,"AAAAACf7/Rk=")</f>
        <v>#REF!</v>
      </c>
      <c r="AA66" t="e">
        <f>AND(#REF!,"AAAAACf7/Ro=")</f>
        <v>#REF!</v>
      </c>
      <c r="AB66" t="e">
        <f>AND(#REF!,"AAAAACf7/Rs=")</f>
        <v>#REF!</v>
      </c>
      <c r="AC66" t="e">
        <f>AND(#REF!,"AAAAACf7/Rw=")</f>
        <v>#REF!</v>
      </c>
      <c r="AD66" t="e">
        <f>AND(#REF!,"AAAAACf7/R0=")</f>
        <v>#REF!</v>
      </c>
      <c r="AE66" t="e">
        <f>AND(#REF!,"AAAAACf7/R4=")</f>
        <v>#REF!</v>
      </c>
      <c r="AF66" t="e">
        <f>AND(#REF!,"AAAAACf7/R8=")</f>
        <v>#REF!</v>
      </c>
      <c r="AG66" t="e">
        <f>AND(#REF!,"AAAAACf7/SA=")</f>
        <v>#REF!</v>
      </c>
      <c r="AH66" t="e">
        <f>AND(#REF!,"AAAAACf7/SE=")</f>
        <v>#REF!</v>
      </c>
      <c r="AI66" t="e">
        <f>AND(#REF!,"AAAAACf7/SI=")</f>
        <v>#REF!</v>
      </c>
      <c r="AJ66" t="e">
        <f>AND(#REF!,"AAAAACf7/SM=")</f>
        <v>#REF!</v>
      </c>
      <c r="AK66" t="e">
        <f>AND(#REF!,"AAAAACf7/SQ=")</f>
        <v>#REF!</v>
      </c>
      <c r="AL66" t="e">
        <f>AND(#REF!,"AAAAACf7/SU=")</f>
        <v>#REF!</v>
      </c>
      <c r="AM66" t="e">
        <f>AND(#REF!,"AAAAACf7/SY=")</f>
        <v>#REF!</v>
      </c>
      <c r="AN66" t="e">
        <f>AND(#REF!,"AAAAACf7/Sc=")</f>
        <v>#REF!</v>
      </c>
      <c r="AO66" t="e">
        <f>AND(#REF!,"AAAAACf7/Sg=")</f>
        <v>#REF!</v>
      </c>
      <c r="AP66" t="e">
        <f>AND(#REF!,"AAAAACf7/Sk=")</f>
        <v>#REF!</v>
      </c>
      <c r="AQ66" t="e">
        <f>AND(#REF!,"AAAAACf7/So=")</f>
        <v>#REF!</v>
      </c>
      <c r="AR66" t="e">
        <f>AND(#REF!,"AAAAACf7/Ss=")</f>
        <v>#REF!</v>
      </c>
      <c r="AS66" t="e">
        <f>AND(#REF!,"AAAAACf7/Sw=")</f>
        <v>#REF!</v>
      </c>
      <c r="AT66" t="e">
        <f>AND(#REF!,"AAAAACf7/S0=")</f>
        <v>#REF!</v>
      </c>
      <c r="AU66" t="e">
        <f>AND(#REF!,"AAAAACf7/S4=")</f>
        <v>#REF!</v>
      </c>
      <c r="AV66" t="e">
        <f>AND(#REF!,"AAAAACf7/S8=")</f>
        <v>#REF!</v>
      </c>
      <c r="AW66" t="e">
        <f>AND(#REF!,"AAAAACf7/TA=")</f>
        <v>#REF!</v>
      </c>
      <c r="AX66" t="e">
        <f>AND(#REF!,"AAAAACf7/TE=")</f>
        <v>#REF!</v>
      </c>
      <c r="AY66" t="e">
        <f>AND(#REF!,"AAAAACf7/TI=")</f>
        <v>#REF!</v>
      </c>
      <c r="AZ66" t="e">
        <f>AND(#REF!,"AAAAACf7/TM=")</f>
        <v>#REF!</v>
      </c>
      <c r="BA66" t="e">
        <f>AND(#REF!,"AAAAACf7/TQ=")</f>
        <v>#REF!</v>
      </c>
      <c r="BB66" t="e">
        <f>AND(#REF!,"AAAAACf7/TU=")</f>
        <v>#REF!</v>
      </c>
      <c r="BC66" t="e">
        <f>AND(#REF!,"AAAAACf7/TY=")</f>
        <v>#REF!</v>
      </c>
      <c r="BD66" t="e">
        <f>AND(#REF!,"AAAAACf7/Tc=")</f>
        <v>#REF!</v>
      </c>
      <c r="BE66" t="e">
        <f>AND(#REF!,"AAAAACf7/Tg=")</f>
        <v>#REF!</v>
      </c>
      <c r="BF66" t="e">
        <f>AND(#REF!,"AAAAACf7/Tk=")</f>
        <v>#REF!</v>
      </c>
      <c r="BG66" t="e">
        <f>AND(#REF!,"AAAAACf7/To=")</f>
        <v>#REF!</v>
      </c>
      <c r="BH66" t="e">
        <f>AND(#REF!,"AAAAACf7/Ts=")</f>
        <v>#REF!</v>
      </c>
      <c r="BI66" t="e">
        <f>AND(#REF!,"AAAAACf7/Tw=")</f>
        <v>#REF!</v>
      </c>
      <c r="BJ66" t="e">
        <f>AND(#REF!,"AAAAACf7/T0=")</f>
        <v>#REF!</v>
      </c>
      <c r="BK66" t="e">
        <f>AND(#REF!,"AAAAACf7/T4=")</f>
        <v>#REF!</v>
      </c>
      <c r="BL66" t="e">
        <f>AND(#REF!,"AAAAACf7/T8=")</f>
        <v>#REF!</v>
      </c>
      <c r="BM66" t="e">
        <f>AND(#REF!,"AAAAACf7/UA=")</f>
        <v>#REF!</v>
      </c>
      <c r="BN66" t="e">
        <f>AND(#REF!,"AAAAACf7/UE=")</f>
        <v>#REF!</v>
      </c>
      <c r="BO66" t="e">
        <f>AND(#REF!,"AAAAACf7/UI=")</f>
        <v>#REF!</v>
      </c>
      <c r="BP66" t="e">
        <f>AND(#REF!,"AAAAACf7/UM=")</f>
        <v>#REF!</v>
      </c>
      <c r="BQ66" t="e">
        <f>AND(#REF!,"AAAAACf7/UQ=")</f>
        <v>#REF!</v>
      </c>
      <c r="BR66" t="e">
        <f>AND(#REF!,"AAAAACf7/UU=")</f>
        <v>#REF!</v>
      </c>
      <c r="BS66" t="e">
        <f>AND(#REF!,"AAAAACf7/UY=")</f>
        <v>#REF!</v>
      </c>
      <c r="BT66" t="e">
        <f>AND(#REF!,"AAAAACf7/Uc=")</f>
        <v>#REF!</v>
      </c>
      <c r="BU66" t="e">
        <f>AND(#REF!,"AAAAACf7/Ug=")</f>
        <v>#REF!</v>
      </c>
      <c r="BV66" t="e">
        <f>AND(#REF!,"AAAAACf7/Uk=")</f>
        <v>#REF!</v>
      </c>
      <c r="BW66" t="e">
        <f>AND(#REF!,"AAAAACf7/Uo=")</f>
        <v>#REF!</v>
      </c>
      <c r="BX66" t="e">
        <f>AND(#REF!,"AAAAACf7/Us=")</f>
        <v>#REF!</v>
      </c>
      <c r="BY66" t="e">
        <f>AND(#REF!,"AAAAACf7/Uw=")</f>
        <v>#REF!</v>
      </c>
      <c r="BZ66" t="e">
        <f>AND(#REF!,"AAAAACf7/U0=")</f>
        <v>#REF!</v>
      </c>
      <c r="CA66" t="e">
        <f>IF(#REF!,"AAAAACf7/U4=",0)</f>
        <v>#REF!</v>
      </c>
      <c r="CB66" t="e">
        <f>AND(#REF!,"AAAAACf7/U8=")</f>
        <v>#REF!</v>
      </c>
      <c r="CC66" t="e">
        <f>AND(#REF!,"AAAAACf7/VA=")</f>
        <v>#REF!</v>
      </c>
      <c r="CD66" t="e">
        <f>AND(#REF!,"AAAAACf7/VE=")</f>
        <v>#REF!</v>
      </c>
      <c r="CE66" t="e">
        <f>AND(#REF!,"AAAAACf7/VI=")</f>
        <v>#REF!</v>
      </c>
      <c r="CF66" t="e">
        <f>AND(#REF!,"AAAAACf7/VM=")</f>
        <v>#REF!</v>
      </c>
      <c r="CG66" t="e">
        <f>AND(#REF!,"AAAAACf7/VQ=")</f>
        <v>#REF!</v>
      </c>
      <c r="CH66" t="e">
        <f>AND(#REF!,"AAAAACf7/VU=")</f>
        <v>#REF!</v>
      </c>
      <c r="CI66" t="e">
        <f>AND(#REF!,"AAAAACf7/VY=")</f>
        <v>#REF!</v>
      </c>
      <c r="CJ66" t="e">
        <f>AND(#REF!,"AAAAACf7/Vc=")</f>
        <v>#REF!</v>
      </c>
      <c r="CK66" t="e">
        <f>AND(#REF!,"AAAAACf7/Vg=")</f>
        <v>#REF!</v>
      </c>
      <c r="CL66" t="e">
        <f>AND(#REF!,"AAAAACf7/Vk=")</f>
        <v>#REF!</v>
      </c>
      <c r="CM66" t="e">
        <f>AND(#REF!,"AAAAACf7/Vo=")</f>
        <v>#REF!</v>
      </c>
      <c r="CN66" t="e">
        <f>AND(#REF!,"AAAAACf7/Vs=")</f>
        <v>#REF!</v>
      </c>
      <c r="CO66" t="e">
        <f>AND(#REF!,"AAAAACf7/Vw=")</f>
        <v>#REF!</v>
      </c>
      <c r="CP66" t="e">
        <f>AND(#REF!,"AAAAACf7/V0=")</f>
        <v>#REF!</v>
      </c>
      <c r="CQ66" t="e">
        <f>AND(#REF!,"AAAAACf7/V4=")</f>
        <v>#REF!</v>
      </c>
      <c r="CR66" t="e">
        <f>AND(#REF!,"AAAAACf7/V8=")</f>
        <v>#REF!</v>
      </c>
      <c r="CS66" t="e">
        <f>AND(#REF!,"AAAAACf7/WA=")</f>
        <v>#REF!</v>
      </c>
      <c r="CT66" t="e">
        <f>AND(#REF!,"AAAAACf7/WE=")</f>
        <v>#REF!</v>
      </c>
      <c r="CU66" t="e">
        <f>AND(#REF!,"AAAAACf7/WI=")</f>
        <v>#REF!</v>
      </c>
      <c r="CV66" t="e">
        <f>AND(#REF!,"AAAAACf7/WM=")</f>
        <v>#REF!</v>
      </c>
      <c r="CW66" t="e">
        <f>AND(#REF!,"AAAAACf7/WQ=")</f>
        <v>#REF!</v>
      </c>
      <c r="CX66" t="e">
        <f>AND(#REF!,"AAAAACf7/WU=")</f>
        <v>#REF!</v>
      </c>
      <c r="CY66" t="e">
        <f>AND(#REF!,"AAAAACf7/WY=")</f>
        <v>#REF!</v>
      </c>
      <c r="CZ66" t="e">
        <f>AND(#REF!,"AAAAACf7/Wc=")</f>
        <v>#REF!</v>
      </c>
      <c r="DA66" t="e">
        <f>AND(#REF!,"AAAAACf7/Wg=")</f>
        <v>#REF!</v>
      </c>
      <c r="DB66" t="e">
        <f>AND(#REF!,"AAAAACf7/Wk=")</f>
        <v>#REF!</v>
      </c>
      <c r="DC66" t="e">
        <f>AND(#REF!,"AAAAACf7/Wo=")</f>
        <v>#REF!</v>
      </c>
      <c r="DD66" t="e">
        <f>AND(#REF!,"AAAAACf7/Ws=")</f>
        <v>#REF!</v>
      </c>
      <c r="DE66" t="e">
        <f>AND(#REF!,"AAAAACf7/Ww=")</f>
        <v>#REF!</v>
      </c>
      <c r="DF66" t="e">
        <f>AND(#REF!,"AAAAACf7/W0=")</f>
        <v>#REF!</v>
      </c>
      <c r="DG66" t="e">
        <f>AND(#REF!,"AAAAACf7/W4=")</f>
        <v>#REF!</v>
      </c>
      <c r="DH66" t="e">
        <f>AND(#REF!,"AAAAACf7/W8=")</f>
        <v>#REF!</v>
      </c>
      <c r="DI66" t="e">
        <f>AND(#REF!,"AAAAACf7/XA=")</f>
        <v>#REF!</v>
      </c>
      <c r="DJ66" t="e">
        <f>AND(#REF!,"AAAAACf7/XE=")</f>
        <v>#REF!</v>
      </c>
      <c r="DK66" t="e">
        <f>AND(#REF!,"AAAAACf7/XI=")</f>
        <v>#REF!</v>
      </c>
      <c r="DL66" t="e">
        <f>AND(#REF!,"AAAAACf7/XM=")</f>
        <v>#REF!</v>
      </c>
      <c r="DM66" t="e">
        <f>AND(#REF!,"AAAAACf7/XQ=")</f>
        <v>#REF!</v>
      </c>
      <c r="DN66" t="e">
        <f>AND(#REF!,"AAAAACf7/XU=")</f>
        <v>#REF!</v>
      </c>
      <c r="DO66" t="e">
        <f>AND(#REF!,"AAAAACf7/XY=")</f>
        <v>#REF!</v>
      </c>
      <c r="DP66" t="e">
        <f>AND(#REF!,"AAAAACf7/Xc=")</f>
        <v>#REF!</v>
      </c>
      <c r="DQ66" t="e">
        <f>AND(#REF!,"AAAAACf7/Xg=")</f>
        <v>#REF!</v>
      </c>
      <c r="DR66" t="e">
        <f>AND(#REF!,"AAAAACf7/Xk=")</f>
        <v>#REF!</v>
      </c>
      <c r="DS66" t="e">
        <f>AND(#REF!,"AAAAACf7/Xo=")</f>
        <v>#REF!</v>
      </c>
      <c r="DT66" t="e">
        <f>AND(#REF!,"AAAAACf7/Xs=")</f>
        <v>#REF!</v>
      </c>
      <c r="DU66" t="e">
        <f>AND(#REF!,"AAAAACf7/Xw=")</f>
        <v>#REF!</v>
      </c>
      <c r="DV66" t="e">
        <f>AND(#REF!,"AAAAACf7/X0=")</f>
        <v>#REF!</v>
      </c>
      <c r="DW66" t="e">
        <f>AND(#REF!,"AAAAACf7/X4=")</f>
        <v>#REF!</v>
      </c>
      <c r="DX66" t="e">
        <f>AND(#REF!,"AAAAACf7/X8=")</f>
        <v>#REF!</v>
      </c>
      <c r="DY66" t="e">
        <f>AND(#REF!,"AAAAACf7/YA=")</f>
        <v>#REF!</v>
      </c>
      <c r="DZ66" t="e">
        <f>AND(#REF!,"AAAAACf7/YE=")</f>
        <v>#REF!</v>
      </c>
      <c r="EA66" t="e">
        <f>AND(#REF!,"AAAAACf7/YI=")</f>
        <v>#REF!</v>
      </c>
      <c r="EB66" t="e">
        <f>AND(#REF!,"AAAAACf7/YM=")</f>
        <v>#REF!</v>
      </c>
      <c r="EC66" t="e">
        <f>AND(#REF!,"AAAAACf7/YQ=")</f>
        <v>#REF!</v>
      </c>
      <c r="ED66" t="e">
        <f>AND(#REF!,"AAAAACf7/YU=")</f>
        <v>#REF!</v>
      </c>
      <c r="EE66" t="e">
        <f>AND(#REF!,"AAAAACf7/YY=")</f>
        <v>#REF!</v>
      </c>
      <c r="EF66" t="e">
        <f>AND(#REF!,"AAAAACf7/Yc=")</f>
        <v>#REF!</v>
      </c>
      <c r="EG66" t="e">
        <f>AND(#REF!,"AAAAACf7/Yg=")</f>
        <v>#REF!</v>
      </c>
      <c r="EH66" t="e">
        <f>AND(#REF!,"AAAAACf7/Yk=")</f>
        <v>#REF!</v>
      </c>
      <c r="EI66" t="e">
        <f>AND(#REF!,"AAAAACf7/Yo=")</f>
        <v>#REF!</v>
      </c>
      <c r="EJ66" t="e">
        <f>AND(#REF!,"AAAAACf7/Ys=")</f>
        <v>#REF!</v>
      </c>
      <c r="EK66" t="e">
        <f>AND(#REF!,"AAAAACf7/Yw=")</f>
        <v>#REF!</v>
      </c>
      <c r="EL66" t="e">
        <f>AND(#REF!,"AAAAACf7/Y0=")</f>
        <v>#REF!</v>
      </c>
      <c r="EM66" t="e">
        <f>AND(#REF!,"AAAAACf7/Y4=")</f>
        <v>#REF!</v>
      </c>
      <c r="EN66" t="e">
        <f>AND(#REF!,"AAAAACf7/Y8=")</f>
        <v>#REF!</v>
      </c>
      <c r="EO66" t="e">
        <f>AND(#REF!,"AAAAACf7/ZA=")</f>
        <v>#REF!</v>
      </c>
      <c r="EP66" t="e">
        <f>AND(#REF!,"AAAAACf7/ZE=")</f>
        <v>#REF!</v>
      </c>
      <c r="EQ66" t="e">
        <f>AND(#REF!,"AAAAACf7/ZI=")</f>
        <v>#REF!</v>
      </c>
      <c r="ER66" t="e">
        <f>AND(#REF!,"AAAAACf7/ZM=")</f>
        <v>#REF!</v>
      </c>
      <c r="ES66" t="e">
        <f>AND(#REF!,"AAAAACf7/ZQ=")</f>
        <v>#REF!</v>
      </c>
      <c r="ET66" t="e">
        <f>AND(#REF!,"AAAAACf7/ZU=")</f>
        <v>#REF!</v>
      </c>
      <c r="EU66" t="e">
        <f>AND(#REF!,"AAAAACf7/ZY=")</f>
        <v>#REF!</v>
      </c>
      <c r="EV66" t="e">
        <f>AND(#REF!,"AAAAACf7/Zc=")</f>
        <v>#REF!</v>
      </c>
      <c r="EW66" t="e">
        <f>AND(#REF!,"AAAAACf7/Zg=")</f>
        <v>#REF!</v>
      </c>
      <c r="EX66" t="e">
        <f>AND(#REF!,"AAAAACf7/Zk=")</f>
        <v>#REF!</v>
      </c>
      <c r="EY66" t="e">
        <f>AND(#REF!,"AAAAACf7/Zo=")</f>
        <v>#REF!</v>
      </c>
      <c r="EZ66" t="e">
        <f>AND(#REF!,"AAAAACf7/Zs=")</f>
        <v>#REF!</v>
      </c>
      <c r="FA66" t="e">
        <f>AND(#REF!,"AAAAACf7/Zw=")</f>
        <v>#REF!</v>
      </c>
      <c r="FB66" t="e">
        <f>AND(#REF!,"AAAAACf7/Z0=")</f>
        <v>#REF!</v>
      </c>
      <c r="FC66" t="e">
        <f>AND(#REF!,"AAAAACf7/Z4=")</f>
        <v>#REF!</v>
      </c>
      <c r="FD66" t="e">
        <f>AND(#REF!,"AAAAACf7/Z8=")</f>
        <v>#REF!</v>
      </c>
      <c r="FE66" t="e">
        <f>AND(#REF!,"AAAAACf7/aA=")</f>
        <v>#REF!</v>
      </c>
      <c r="FF66" t="e">
        <f>AND(#REF!,"AAAAACf7/aE=")</f>
        <v>#REF!</v>
      </c>
      <c r="FG66" t="e">
        <f>AND(#REF!,"AAAAACf7/aI=")</f>
        <v>#REF!</v>
      </c>
      <c r="FH66" t="e">
        <f>AND(#REF!,"AAAAACf7/aM=")</f>
        <v>#REF!</v>
      </c>
      <c r="FI66" t="e">
        <f>AND(#REF!,"AAAAACf7/aQ=")</f>
        <v>#REF!</v>
      </c>
      <c r="FJ66" t="e">
        <f>AND(#REF!,"AAAAACf7/aU=")</f>
        <v>#REF!</v>
      </c>
      <c r="FK66" t="e">
        <f>AND(#REF!,"AAAAACf7/aY=")</f>
        <v>#REF!</v>
      </c>
      <c r="FL66" t="e">
        <f>AND(#REF!,"AAAAACf7/ac=")</f>
        <v>#REF!</v>
      </c>
      <c r="FM66" t="e">
        <f>AND(#REF!,"AAAAACf7/ag=")</f>
        <v>#REF!</v>
      </c>
      <c r="FN66" t="e">
        <f>AND(#REF!,"AAAAACf7/ak=")</f>
        <v>#REF!</v>
      </c>
      <c r="FO66" t="e">
        <f>AND(#REF!,"AAAAACf7/ao=")</f>
        <v>#REF!</v>
      </c>
      <c r="FP66" t="e">
        <f>AND(#REF!,"AAAAACf7/as=")</f>
        <v>#REF!</v>
      </c>
      <c r="FQ66" t="e">
        <f>AND(#REF!,"AAAAACf7/aw=")</f>
        <v>#REF!</v>
      </c>
      <c r="FR66" t="e">
        <f>AND(#REF!,"AAAAACf7/a0=")</f>
        <v>#REF!</v>
      </c>
      <c r="FS66" t="e">
        <f>AND(#REF!,"AAAAACf7/a4=")</f>
        <v>#REF!</v>
      </c>
      <c r="FT66" t="e">
        <f>AND(#REF!,"AAAAACf7/a8=")</f>
        <v>#REF!</v>
      </c>
      <c r="FU66" t="e">
        <f>AND(#REF!,"AAAAACf7/bA=")</f>
        <v>#REF!</v>
      </c>
      <c r="FV66" t="e">
        <f>AND(#REF!,"AAAAACf7/bE=")</f>
        <v>#REF!</v>
      </c>
      <c r="FW66" t="e">
        <f>AND(#REF!,"AAAAACf7/bI=")</f>
        <v>#REF!</v>
      </c>
      <c r="FX66" t="e">
        <f>AND(#REF!,"AAAAACf7/bM=")</f>
        <v>#REF!</v>
      </c>
      <c r="FY66" t="e">
        <f>AND(#REF!,"AAAAACf7/bQ=")</f>
        <v>#REF!</v>
      </c>
      <c r="FZ66" t="e">
        <f>AND(#REF!,"AAAAACf7/bU=")</f>
        <v>#REF!</v>
      </c>
      <c r="GA66" t="e">
        <f>AND(#REF!,"AAAAACf7/bY=")</f>
        <v>#REF!</v>
      </c>
      <c r="GB66" t="e">
        <f>AND(#REF!,"AAAAACf7/bc=")</f>
        <v>#REF!</v>
      </c>
      <c r="GC66" t="e">
        <f>AND(#REF!,"AAAAACf7/bg=")</f>
        <v>#REF!</v>
      </c>
      <c r="GD66" t="e">
        <f>AND(#REF!,"AAAAACf7/bk=")</f>
        <v>#REF!</v>
      </c>
      <c r="GE66" t="e">
        <f>AND(#REF!,"AAAAACf7/bo=")</f>
        <v>#REF!</v>
      </c>
      <c r="GF66" t="e">
        <f>AND(#REF!,"AAAAACf7/bs=")</f>
        <v>#REF!</v>
      </c>
      <c r="GG66" t="e">
        <f>AND(#REF!,"AAAAACf7/bw=")</f>
        <v>#REF!</v>
      </c>
      <c r="GH66" t="e">
        <f>AND(#REF!,"AAAAACf7/b0=")</f>
        <v>#REF!</v>
      </c>
      <c r="GI66" t="e">
        <f>AND(#REF!,"AAAAACf7/b4=")</f>
        <v>#REF!</v>
      </c>
      <c r="GJ66" t="e">
        <f>AND(#REF!,"AAAAACf7/b8=")</f>
        <v>#REF!</v>
      </c>
      <c r="GK66" t="e">
        <f>AND(#REF!,"AAAAACf7/cA=")</f>
        <v>#REF!</v>
      </c>
      <c r="GL66" t="e">
        <f>AND(#REF!,"AAAAACf7/cE=")</f>
        <v>#REF!</v>
      </c>
      <c r="GM66" t="e">
        <f>AND(#REF!,"AAAAACf7/cI=")</f>
        <v>#REF!</v>
      </c>
      <c r="GN66" t="e">
        <f>AND(#REF!,"AAAAACf7/cM=")</f>
        <v>#REF!</v>
      </c>
      <c r="GO66" t="e">
        <f>AND(#REF!,"AAAAACf7/cQ=")</f>
        <v>#REF!</v>
      </c>
      <c r="GP66" t="e">
        <f>AND(#REF!,"AAAAACf7/cU=")</f>
        <v>#REF!</v>
      </c>
      <c r="GQ66" t="e">
        <f>AND(#REF!,"AAAAACf7/cY=")</f>
        <v>#REF!</v>
      </c>
      <c r="GR66" t="e">
        <f>IF(#REF!,"AAAAACf7/cc=",0)</f>
        <v>#REF!</v>
      </c>
      <c r="GS66" t="e">
        <f>AND(#REF!,"AAAAACf7/cg=")</f>
        <v>#REF!</v>
      </c>
      <c r="GT66" t="e">
        <f>AND(#REF!,"AAAAACf7/ck=")</f>
        <v>#REF!</v>
      </c>
      <c r="GU66" t="e">
        <f>AND(#REF!,"AAAAACf7/co=")</f>
        <v>#REF!</v>
      </c>
      <c r="GV66" t="e">
        <f>AND(#REF!,"AAAAACf7/cs=")</f>
        <v>#REF!</v>
      </c>
      <c r="GW66" t="e">
        <f>AND(#REF!,"AAAAACf7/cw=")</f>
        <v>#REF!</v>
      </c>
      <c r="GX66" t="e">
        <f>AND(#REF!,"AAAAACf7/c0=")</f>
        <v>#REF!</v>
      </c>
      <c r="GY66" t="e">
        <f>AND(#REF!,"AAAAACf7/c4=")</f>
        <v>#REF!</v>
      </c>
      <c r="GZ66" t="e">
        <f>AND(#REF!,"AAAAACf7/c8=")</f>
        <v>#REF!</v>
      </c>
      <c r="HA66" t="e">
        <f>AND(#REF!,"AAAAACf7/dA=")</f>
        <v>#REF!</v>
      </c>
      <c r="HB66" t="e">
        <f>AND(#REF!,"AAAAACf7/dE=")</f>
        <v>#REF!</v>
      </c>
      <c r="HC66" t="e">
        <f>AND(#REF!,"AAAAACf7/dI=")</f>
        <v>#REF!</v>
      </c>
      <c r="HD66" t="e">
        <f>AND(#REF!,"AAAAACf7/dM=")</f>
        <v>#REF!</v>
      </c>
      <c r="HE66" t="e">
        <f>AND(#REF!,"AAAAACf7/dQ=")</f>
        <v>#REF!</v>
      </c>
      <c r="HF66" t="e">
        <f>AND(#REF!,"AAAAACf7/dU=")</f>
        <v>#REF!</v>
      </c>
      <c r="HG66" t="e">
        <f>AND(#REF!,"AAAAACf7/dY=")</f>
        <v>#REF!</v>
      </c>
      <c r="HH66" t="e">
        <f>AND(#REF!,"AAAAACf7/dc=")</f>
        <v>#REF!</v>
      </c>
      <c r="HI66" t="e">
        <f>AND(#REF!,"AAAAACf7/dg=")</f>
        <v>#REF!</v>
      </c>
      <c r="HJ66" t="e">
        <f>AND(#REF!,"AAAAACf7/dk=")</f>
        <v>#REF!</v>
      </c>
      <c r="HK66" t="e">
        <f>AND(#REF!,"AAAAACf7/do=")</f>
        <v>#REF!</v>
      </c>
      <c r="HL66" t="e">
        <f>AND(#REF!,"AAAAACf7/ds=")</f>
        <v>#REF!</v>
      </c>
      <c r="HM66" t="e">
        <f>AND(#REF!,"AAAAACf7/dw=")</f>
        <v>#REF!</v>
      </c>
      <c r="HN66" t="e">
        <f>AND(#REF!,"AAAAACf7/d0=")</f>
        <v>#REF!</v>
      </c>
      <c r="HO66" t="e">
        <f>AND(#REF!,"AAAAACf7/d4=")</f>
        <v>#REF!</v>
      </c>
      <c r="HP66" t="e">
        <f>AND(#REF!,"AAAAACf7/d8=")</f>
        <v>#REF!</v>
      </c>
      <c r="HQ66" t="e">
        <f>AND(#REF!,"AAAAACf7/eA=")</f>
        <v>#REF!</v>
      </c>
      <c r="HR66" t="e">
        <f>AND(#REF!,"AAAAACf7/eE=")</f>
        <v>#REF!</v>
      </c>
      <c r="HS66" t="e">
        <f>AND(#REF!,"AAAAACf7/eI=")</f>
        <v>#REF!</v>
      </c>
      <c r="HT66" t="e">
        <f>AND(#REF!,"AAAAACf7/eM=")</f>
        <v>#REF!</v>
      </c>
      <c r="HU66" t="e">
        <f>AND(#REF!,"AAAAACf7/eQ=")</f>
        <v>#REF!</v>
      </c>
      <c r="HV66" t="e">
        <f>AND(#REF!,"AAAAACf7/eU=")</f>
        <v>#REF!</v>
      </c>
      <c r="HW66" t="e">
        <f>AND(#REF!,"AAAAACf7/eY=")</f>
        <v>#REF!</v>
      </c>
      <c r="HX66" t="e">
        <f>AND(#REF!,"AAAAACf7/ec=")</f>
        <v>#REF!</v>
      </c>
      <c r="HY66" t="e">
        <f>AND(#REF!,"AAAAACf7/eg=")</f>
        <v>#REF!</v>
      </c>
      <c r="HZ66" t="e">
        <f>AND(#REF!,"AAAAACf7/ek=")</f>
        <v>#REF!</v>
      </c>
      <c r="IA66" t="e">
        <f>AND(#REF!,"AAAAACf7/eo=")</f>
        <v>#REF!</v>
      </c>
      <c r="IB66" t="e">
        <f>AND(#REF!,"AAAAACf7/es=")</f>
        <v>#REF!</v>
      </c>
      <c r="IC66" t="e">
        <f>AND(#REF!,"AAAAACf7/ew=")</f>
        <v>#REF!</v>
      </c>
      <c r="ID66" t="e">
        <f>AND(#REF!,"AAAAACf7/e0=")</f>
        <v>#REF!</v>
      </c>
      <c r="IE66" t="e">
        <f>AND(#REF!,"AAAAACf7/e4=")</f>
        <v>#REF!</v>
      </c>
      <c r="IF66" t="e">
        <f>AND(#REF!,"AAAAACf7/e8=")</f>
        <v>#REF!</v>
      </c>
      <c r="IG66" t="e">
        <f>AND(#REF!,"AAAAACf7/fA=")</f>
        <v>#REF!</v>
      </c>
      <c r="IH66" t="e">
        <f>AND(#REF!,"AAAAACf7/fE=")</f>
        <v>#REF!</v>
      </c>
      <c r="II66" t="e">
        <f>AND(#REF!,"AAAAACf7/fI=")</f>
        <v>#REF!</v>
      </c>
      <c r="IJ66" t="e">
        <f>AND(#REF!,"AAAAACf7/fM=")</f>
        <v>#REF!</v>
      </c>
      <c r="IK66" t="e">
        <f>AND(#REF!,"AAAAACf7/fQ=")</f>
        <v>#REF!</v>
      </c>
      <c r="IL66" t="e">
        <f>AND(#REF!,"AAAAACf7/fU=")</f>
        <v>#REF!</v>
      </c>
      <c r="IM66" t="e">
        <f>AND(#REF!,"AAAAACf7/fY=")</f>
        <v>#REF!</v>
      </c>
      <c r="IN66" t="e">
        <f>AND(#REF!,"AAAAACf7/fc=")</f>
        <v>#REF!</v>
      </c>
      <c r="IO66" t="e">
        <f>AND(#REF!,"AAAAACf7/fg=")</f>
        <v>#REF!</v>
      </c>
      <c r="IP66" t="e">
        <f>AND(#REF!,"AAAAACf7/fk=")</f>
        <v>#REF!</v>
      </c>
      <c r="IQ66" t="e">
        <f>AND(#REF!,"AAAAACf7/fo=")</f>
        <v>#REF!</v>
      </c>
      <c r="IR66" t="e">
        <f>AND(#REF!,"AAAAACf7/fs=")</f>
        <v>#REF!</v>
      </c>
      <c r="IS66" t="e">
        <f>AND(#REF!,"AAAAACf7/fw=")</f>
        <v>#REF!</v>
      </c>
      <c r="IT66" t="e">
        <f>AND(#REF!,"AAAAACf7/f0=")</f>
        <v>#REF!</v>
      </c>
      <c r="IU66" t="e">
        <f>AND(#REF!,"AAAAACf7/f4=")</f>
        <v>#REF!</v>
      </c>
      <c r="IV66" t="e">
        <f>AND(#REF!,"AAAAACf7/f8=")</f>
        <v>#REF!</v>
      </c>
    </row>
    <row r="67" spans="1:256">
      <c r="A67" t="e">
        <f>AND(#REF!,"AAAAAHX7+wA=")</f>
        <v>#REF!</v>
      </c>
      <c r="B67" t="e">
        <f>AND(#REF!,"AAAAAHX7+wE=")</f>
        <v>#REF!</v>
      </c>
      <c r="C67" t="e">
        <f>AND(#REF!,"AAAAAHX7+wI=")</f>
        <v>#REF!</v>
      </c>
      <c r="D67" t="e">
        <f>AND(#REF!,"AAAAAHX7+wM=")</f>
        <v>#REF!</v>
      </c>
      <c r="E67" t="e">
        <f>AND(#REF!,"AAAAAHX7+wQ=")</f>
        <v>#REF!</v>
      </c>
      <c r="F67" t="e">
        <f>AND(#REF!,"AAAAAHX7+wU=")</f>
        <v>#REF!</v>
      </c>
      <c r="G67" t="e">
        <f>AND(#REF!,"AAAAAHX7+wY=")</f>
        <v>#REF!</v>
      </c>
      <c r="H67" t="e">
        <f>AND(#REF!,"AAAAAHX7+wc=")</f>
        <v>#REF!</v>
      </c>
      <c r="I67" t="e">
        <f>AND(#REF!,"AAAAAHX7+wg=")</f>
        <v>#REF!</v>
      </c>
      <c r="J67" t="e">
        <f>AND(#REF!,"AAAAAHX7+wk=")</f>
        <v>#REF!</v>
      </c>
      <c r="K67" t="e">
        <f>AND(#REF!,"AAAAAHX7+wo=")</f>
        <v>#REF!</v>
      </c>
      <c r="L67" t="e">
        <f>AND(#REF!,"AAAAAHX7+ws=")</f>
        <v>#REF!</v>
      </c>
      <c r="M67" t="e">
        <f>AND(#REF!,"AAAAAHX7+ww=")</f>
        <v>#REF!</v>
      </c>
      <c r="N67" t="e">
        <f>AND(#REF!,"AAAAAHX7+w0=")</f>
        <v>#REF!</v>
      </c>
      <c r="O67" t="e">
        <f>AND(#REF!,"AAAAAHX7+w4=")</f>
        <v>#REF!</v>
      </c>
      <c r="P67" t="e">
        <f>AND(#REF!,"AAAAAHX7+w8=")</f>
        <v>#REF!</v>
      </c>
      <c r="Q67" t="e">
        <f>AND(#REF!,"AAAAAHX7+xA=")</f>
        <v>#REF!</v>
      </c>
      <c r="R67" t="e">
        <f>AND(#REF!,"AAAAAHX7+xE=")</f>
        <v>#REF!</v>
      </c>
      <c r="S67" t="e">
        <f>AND(#REF!,"AAAAAHX7+xI=")</f>
        <v>#REF!</v>
      </c>
      <c r="T67" t="e">
        <f>AND(#REF!,"AAAAAHX7+xM=")</f>
        <v>#REF!</v>
      </c>
      <c r="U67" t="e">
        <f>AND(#REF!,"AAAAAHX7+xQ=")</f>
        <v>#REF!</v>
      </c>
      <c r="V67" t="e">
        <f>AND(#REF!,"AAAAAHX7+xU=")</f>
        <v>#REF!</v>
      </c>
      <c r="W67" t="e">
        <f>AND(#REF!,"AAAAAHX7+xY=")</f>
        <v>#REF!</v>
      </c>
      <c r="X67" t="e">
        <f>AND(#REF!,"AAAAAHX7+xc=")</f>
        <v>#REF!</v>
      </c>
      <c r="Y67" t="e">
        <f>AND(#REF!,"AAAAAHX7+xg=")</f>
        <v>#REF!</v>
      </c>
      <c r="Z67" t="e">
        <f>AND(#REF!,"AAAAAHX7+xk=")</f>
        <v>#REF!</v>
      </c>
      <c r="AA67" t="e">
        <f>AND(#REF!,"AAAAAHX7+xo=")</f>
        <v>#REF!</v>
      </c>
      <c r="AB67" t="e">
        <f>AND(#REF!,"AAAAAHX7+xs=")</f>
        <v>#REF!</v>
      </c>
      <c r="AC67" t="e">
        <f>AND(#REF!,"AAAAAHX7+xw=")</f>
        <v>#REF!</v>
      </c>
      <c r="AD67" t="e">
        <f>AND(#REF!,"AAAAAHX7+x0=")</f>
        <v>#REF!</v>
      </c>
      <c r="AE67" t="e">
        <f>AND(#REF!,"AAAAAHX7+x4=")</f>
        <v>#REF!</v>
      </c>
      <c r="AF67" t="e">
        <f>AND(#REF!,"AAAAAHX7+x8=")</f>
        <v>#REF!</v>
      </c>
      <c r="AG67" t="e">
        <f>AND(#REF!,"AAAAAHX7+yA=")</f>
        <v>#REF!</v>
      </c>
      <c r="AH67" t="e">
        <f>AND(#REF!,"AAAAAHX7+yE=")</f>
        <v>#REF!</v>
      </c>
      <c r="AI67" t="e">
        <f>AND(#REF!,"AAAAAHX7+yI=")</f>
        <v>#REF!</v>
      </c>
      <c r="AJ67" t="e">
        <f>AND(#REF!,"AAAAAHX7+yM=")</f>
        <v>#REF!</v>
      </c>
      <c r="AK67" t="e">
        <f>AND(#REF!,"AAAAAHX7+yQ=")</f>
        <v>#REF!</v>
      </c>
      <c r="AL67" t="e">
        <f>AND(#REF!,"AAAAAHX7+yU=")</f>
        <v>#REF!</v>
      </c>
      <c r="AM67" t="e">
        <f>AND(#REF!,"AAAAAHX7+yY=")</f>
        <v>#REF!</v>
      </c>
      <c r="AN67" t="e">
        <f>AND(#REF!,"AAAAAHX7+yc=")</f>
        <v>#REF!</v>
      </c>
      <c r="AO67" t="e">
        <f>AND(#REF!,"AAAAAHX7+yg=")</f>
        <v>#REF!</v>
      </c>
      <c r="AP67" t="e">
        <f>AND(#REF!,"AAAAAHX7+yk=")</f>
        <v>#REF!</v>
      </c>
      <c r="AQ67" t="e">
        <f>AND(#REF!,"AAAAAHX7+yo=")</f>
        <v>#REF!</v>
      </c>
      <c r="AR67" t="e">
        <f>AND(#REF!,"AAAAAHX7+ys=")</f>
        <v>#REF!</v>
      </c>
      <c r="AS67" t="e">
        <f>AND(#REF!,"AAAAAHX7+yw=")</f>
        <v>#REF!</v>
      </c>
      <c r="AT67" t="e">
        <f>AND(#REF!,"AAAAAHX7+y0=")</f>
        <v>#REF!</v>
      </c>
      <c r="AU67" t="e">
        <f>AND(#REF!,"AAAAAHX7+y4=")</f>
        <v>#REF!</v>
      </c>
      <c r="AV67" t="e">
        <f>AND(#REF!,"AAAAAHX7+y8=")</f>
        <v>#REF!</v>
      </c>
      <c r="AW67" t="e">
        <f>AND(#REF!,"AAAAAHX7+zA=")</f>
        <v>#REF!</v>
      </c>
      <c r="AX67" t="e">
        <f>AND(#REF!,"AAAAAHX7+zE=")</f>
        <v>#REF!</v>
      </c>
      <c r="AY67" t="e">
        <f>AND(#REF!,"AAAAAHX7+zI=")</f>
        <v>#REF!</v>
      </c>
      <c r="AZ67" t="e">
        <f>AND(#REF!,"AAAAAHX7+zM=")</f>
        <v>#REF!</v>
      </c>
      <c r="BA67" t="e">
        <f>AND(#REF!,"AAAAAHX7+zQ=")</f>
        <v>#REF!</v>
      </c>
      <c r="BB67" t="e">
        <f>AND(#REF!,"AAAAAHX7+zU=")</f>
        <v>#REF!</v>
      </c>
      <c r="BC67" t="e">
        <f>AND(#REF!,"AAAAAHX7+zY=")</f>
        <v>#REF!</v>
      </c>
      <c r="BD67" t="e">
        <f>AND(#REF!,"AAAAAHX7+zc=")</f>
        <v>#REF!</v>
      </c>
      <c r="BE67" t="e">
        <f>AND(#REF!,"AAAAAHX7+zg=")</f>
        <v>#REF!</v>
      </c>
      <c r="BF67" t="e">
        <f>AND(#REF!,"AAAAAHX7+zk=")</f>
        <v>#REF!</v>
      </c>
      <c r="BG67" t="e">
        <f>AND(#REF!,"AAAAAHX7+zo=")</f>
        <v>#REF!</v>
      </c>
      <c r="BH67" t="e">
        <f>AND(#REF!,"AAAAAHX7+zs=")</f>
        <v>#REF!</v>
      </c>
      <c r="BI67" t="e">
        <f>AND(#REF!,"AAAAAHX7+zw=")</f>
        <v>#REF!</v>
      </c>
      <c r="BJ67" t="e">
        <f>AND(#REF!,"AAAAAHX7+z0=")</f>
        <v>#REF!</v>
      </c>
      <c r="BK67" t="e">
        <f>AND(#REF!,"AAAAAHX7+z4=")</f>
        <v>#REF!</v>
      </c>
      <c r="BL67" t="e">
        <f>AND(#REF!,"AAAAAHX7+z8=")</f>
        <v>#REF!</v>
      </c>
      <c r="BM67" t="e">
        <f>IF(#REF!,"AAAAAHX7+0A=",0)</f>
        <v>#REF!</v>
      </c>
      <c r="BN67" t="e">
        <f>AND(#REF!,"AAAAAHX7+0E=")</f>
        <v>#REF!</v>
      </c>
      <c r="BO67" t="e">
        <f>AND(#REF!,"AAAAAHX7+0I=")</f>
        <v>#REF!</v>
      </c>
      <c r="BP67" t="e">
        <f>AND(#REF!,"AAAAAHX7+0M=")</f>
        <v>#REF!</v>
      </c>
      <c r="BQ67" t="e">
        <f>AND(#REF!,"AAAAAHX7+0Q=")</f>
        <v>#REF!</v>
      </c>
      <c r="BR67" t="e">
        <f>AND(#REF!,"AAAAAHX7+0U=")</f>
        <v>#REF!</v>
      </c>
      <c r="BS67" t="e">
        <f>AND(#REF!,"AAAAAHX7+0Y=")</f>
        <v>#REF!</v>
      </c>
      <c r="BT67" t="e">
        <f>AND(#REF!,"AAAAAHX7+0c=")</f>
        <v>#REF!</v>
      </c>
      <c r="BU67" t="e">
        <f>AND(#REF!,"AAAAAHX7+0g=")</f>
        <v>#REF!</v>
      </c>
      <c r="BV67" t="e">
        <f>AND(#REF!,"AAAAAHX7+0k=")</f>
        <v>#REF!</v>
      </c>
      <c r="BW67" t="e">
        <f>AND(#REF!,"AAAAAHX7+0o=")</f>
        <v>#REF!</v>
      </c>
      <c r="BX67" t="e">
        <f>AND(#REF!,"AAAAAHX7+0s=")</f>
        <v>#REF!</v>
      </c>
      <c r="BY67" t="e">
        <f>AND(#REF!,"AAAAAHX7+0w=")</f>
        <v>#REF!</v>
      </c>
      <c r="BZ67" t="e">
        <f>AND(#REF!,"AAAAAHX7+00=")</f>
        <v>#REF!</v>
      </c>
      <c r="CA67" t="e">
        <f>AND(#REF!,"AAAAAHX7+04=")</f>
        <v>#REF!</v>
      </c>
      <c r="CB67" t="e">
        <f>AND(#REF!,"AAAAAHX7+08=")</f>
        <v>#REF!</v>
      </c>
      <c r="CC67" t="e">
        <f>AND(#REF!,"AAAAAHX7+1A=")</f>
        <v>#REF!</v>
      </c>
      <c r="CD67" t="e">
        <f>AND(#REF!,"AAAAAHX7+1E=")</f>
        <v>#REF!</v>
      </c>
      <c r="CE67" t="e">
        <f>AND(#REF!,"AAAAAHX7+1I=")</f>
        <v>#REF!</v>
      </c>
      <c r="CF67" t="e">
        <f>AND(#REF!,"AAAAAHX7+1M=")</f>
        <v>#REF!</v>
      </c>
      <c r="CG67" t="e">
        <f>AND(#REF!,"AAAAAHX7+1Q=")</f>
        <v>#REF!</v>
      </c>
      <c r="CH67" t="e">
        <f>AND(#REF!,"AAAAAHX7+1U=")</f>
        <v>#REF!</v>
      </c>
      <c r="CI67" t="e">
        <f>AND(#REF!,"AAAAAHX7+1Y=")</f>
        <v>#REF!</v>
      </c>
      <c r="CJ67" t="e">
        <f>AND(#REF!,"AAAAAHX7+1c=")</f>
        <v>#REF!</v>
      </c>
      <c r="CK67" t="e">
        <f>AND(#REF!,"AAAAAHX7+1g=")</f>
        <v>#REF!</v>
      </c>
      <c r="CL67" t="e">
        <f>AND(#REF!,"AAAAAHX7+1k=")</f>
        <v>#REF!</v>
      </c>
      <c r="CM67" t="e">
        <f>AND(#REF!,"AAAAAHX7+1o=")</f>
        <v>#REF!</v>
      </c>
      <c r="CN67" t="e">
        <f>AND(#REF!,"AAAAAHX7+1s=")</f>
        <v>#REF!</v>
      </c>
      <c r="CO67" t="e">
        <f>AND(#REF!,"AAAAAHX7+1w=")</f>
        <v>#REF!</v>
      </c>
      <c r="CP67" t="e">
        <f>AND(#REF!,"AAAAAHX7+10=")</f>
        <v>#REF!</v>
      </c>
      <c r="CQ67" t="e">
        <f>AND(#REF!,"AAAAAHX7+14=")</f>
        <v>#REF!</v>
      </c>
      <c r="CR67" t="e">
        <f>AND(#REF!,"AAAAAHX7+18=")</f>
        <v>#REF!</v>
      </c>
      <c r="CS67" t="e">
        <f>AND(#REF!,"AAAAAHX7+2A=")</f>
        <v>#REF!</v>
      </c>
      <c r="CT67" t="e">
        <f>AND(#REF!,"AAAAAHX7+2E=")</f>
        <v>#REF!</v>
      </c>
      <c r="CU67" t="e">
        <f>AND(#REF!,"AAAAAHX7+2I=")</f>
        <v>#REF!</v>
      </c>
      <c r="CV67" t="e">
        <f>AND(#REF!,"AAAAAHX7+2M=")</f>
        <v>#REF!</v>
      </c>
      <c r="CW67" t="e">
        <f>AND(#REF!,"AAAAAHX7+2Q=")</f>
        <v>#REF!</v>
      </c>
      <c r="CX67" t="e">
        <f>AND(#REF!,"AAAAAHX7+2U=")</f>
        <v>#REF!</v>
      </c>
      <c r="CY67" t="e">
        <f>AND(#REF!,"AAAAAHX7+2Y=")</f>
        <v>#REF!</v>
      </c>
      <c r="CZ67" t="e">
        <f>AND(#REF!,"AAAAAHX7+2c=")</f>
        <v>#REF!</v>
      </c>
      <c r="DA67" t="e">
        <f>AND(#REF!,"AAAAAHX7+2g=")</f>
        <v>#REF!</v>
      </c>
      <c r="DB67" t="e">
        <f>AND(#REF!,"AAAAAHX7+2k=")</f>
        <v>#REF!</v>
      </c>
      <c r="DC67" t="e">
        <f>AND(#REF!,"AAAAAHX7+2o=")</f>
        <v>#REF!</v>
      </c>
      <c r="DD67" t="e">
        <f>AND(#REF!,"AAAAAHX7+2s=")</f>
        <v>#REF!</v>
      </c>
      <c r="DE67" t="e">
        <f>AND(#REF!,"AAAAAHX7+2w=")</f>
        <v>#REF!</v>
      </c>
      <c r="DF67" t="e">
        <f>AND(#REF!,"AAAAAHX7+20=")</f>
        <v>#REF!</v>
      </c>
      <c r="DG67" t="e">
        <f>AND(#REF!,"AAAAAHX7+24=")</f>
        <v>#REF!</v>
      </c>
      <c r="DH67" t="e">
        <f>AND(#REF!,"AAAAAHX7+28=")</f>
        <v>#REF!</v>
      </c>
      <c r="DI67" t="e">
        <f>AND(#REF!,"AAAAAHX7+3A=")</f>
        <v>#REF!</v>
      </c>
      <c r="DJ67" t="e">
        <f>AND(#REF!,"AAAAAHX7+3E=")</f>
        <v>#REF!</v>
      </c>
      <c r="DK67" t="e">
        <f>AND(#REF!,"AAAAAHX7+3I=")</f>
        <v>#REF!</v>
      </c>
      <c r="DL67" t="e">
        <f>AND(#REF!,"AAAAAHX7+3M=")</f>
        <v>#REF!</v>
      </c>
      <c r="DM67" t="e">
        <f>AND(#REF!,"AAAAAHX7+3Q=")</f>
        <v>#REF!</v>
      </c>
      <c r="DN67" t="e">
        <f>AND(#REF!,"AAAAAHX7+3U=")</f>
        <v>#REF!</v>
      </c>
      <c r="DO67" t="e">
        <f>AND(#REF!,"AAAAAHX7+3Y=")</f>
        <v>#REF!</v>
      </c>
      <c r="DP67" t="e">
        <f>AND(#REF!,"AAAAAHX7+3c=")</f>
        <v>#REF!</v>
      </c>
      <c r="DQ67" t="e">
        <f>AND(#REF!,"AAAAAHX7+3g=")</f>
        <v>#REF!</v>
      </c>
      <c r="DR67" t="e">
        <f>AND(#REF!,"AAAAAHX7+3k=")</f>
        <v>#REF!</v>
      </c>
      <c r="DS67" t="e">
        <f>AND(#REF!,"AAAAAHX7+3o=")</f>
        <v>#REF!</v>
      </c>
      <c r="DT67" t="e">
        <f>AND(#REF!,"AAAAAHX7+3s=")</f>
        <v>#REF!</v>
      </c>
      <c r="DU67" t="e">
        <f>AND(#REF!,"AAAAAHX7+3w=")</f>
        <v>#REF!</v>
      </c>
      <c r="DV67" t="e">
        <f>AND(#REF!,"AAAAAHX7+30=")</f>
        <v>#REF!</v>
      </c>
      <c r="DW67" t="e">
        <f>AND(#REF!,"AAAAAHX7+34=")</f>
        <v>#REF!</v>
      </c>
      <c r="DX67" t="e">
        <f>AND(#REF!,"AAAAAHX7+38=")</f>
        <v>#REF!</v>
      </c>
      <c r="DY67" t="e">
        <f>AND(#REF!,"AAAAAHX7+4A=")</f>
        <v>#REF!</v>
      </c>
      <c r="DZ67" t="e">
        <f>AND(#REF!,"AAAAAHX7+4E=")</f>
        <v>#REF!</v>
      </c>
      <c r="EA67" t="e">
        <f>AND(#REF!,"AAAAAHX7+4I=")</f>
        <v>#REF!</v>
      </c>
      <c r="EB67" t="e">
        <f>AND(#REF!,"AAAAAHX7+4M=")</f>
        <v>#REF!</v>
      </c>
      <c r="EC67" t="e">
        <f>AND(#REF!,"AAAAAHX7+4Q=")</f>
        <v>#REF!</v>
      </c>
      <c r="ED67" t="e">
        <f>AND(#REF!,"AAAAAHX7+4U=")</f>
        <v>#REF!</v>
      </c>
      <c r="EE67" t="e">
        <f>AND(#REF!,"AAAAAHX7+4Y=")</f>
        <v>#REF!</v>
      </c>
      <c r="EF67" t="e">
        <f>AND(#REF!,"AAAAAHX7+4c=")</f>
        <v>#REF!</v>
      </c>
      <c r="EG67" t="e">
        <f>AND(#REF!,"AAAAAHX7+4g=")</f>
        <v>#REF!</v>
      </c>
      <c r="EH67" t="e">
        <f>AND(#REF!,"AAAAAHX7+4k=")</f>
        <v>#REF!</v>
      </c>
      <c r="EI67" t="e">
        <f>AND(#REF!,"AAAAAHX7+4o=")</f>
        <v>#REF!</v>
      </c>
      <c r="EJ67" t="e">
        <f>AND(#REF!,"AAAAAHX7+4s=")</f>
        <v>#REF!</v>
      </c>
      <c r="EK67" t="e">
        <f>AND(#REF!,"AAAAAHX7+4w=")</f>
        <v>#REF!</v>
      </c>
      <c r="EL67" t="e">
        <f>AND(#REF!,"AAAAAHX7+40=")</f>
        <v>#REF!</v>
      </c>
      <c r="EM67" t="e">
        <f>AND(#REF!,"AAAAAHX7+44=")</f>
        <v>#REF!</v>
      </c>
      <c r="EN67" t="e">
        <f>AND(#REF!,"AAAAAHX7+48=")</f>
        <v>#REF!</v>
      </c>
      <c r="EO67" t="e">
        <f>AND(#REF!,"AAAAAHX7+5A=")</f>
        <v>#REF!</v>
      </c>
      <c r="EP67" t="e">
        <f>AND(#REF!,"AAAAAHX7+5E=")</f>
        <v>#REF!</v>
      </c>
      <c r="EQ67" t="e">
        <f>AND(#REF!,"AAAAAHX7+5I=")</f>
        <v>#REF!</v>
      </c>
      <c r="ER67" t="e">
        <f>AND(#REF!,"AAAAAHX7+5M=")</f>
        <v>#REF!</v>
      </c>
      <c r="ES67" t="e">
        <f>AND(#REF!,"AAAAAHX7+5Q=")</f>
        <v>#REF!</v>
      </c>
      <c r="ET67" t="e">
        <f>AND(#REF!,"AAAAAHX7+5U=")</f>
        <v>#REF!</v>
      </c>
      <c r="EU67" t="e">
        <f>AND(#REF!,"AAAAAHX7+5Y=")</f>
        <v>#REF!</v>
      </c>
      <c r="EV67" t="e">
        <f>AND(#REF!,"AAAAAHX7+5c=")</f>
        <v>#REF!</v>
      </c>
      <c r="EW67" t="e">
        <f>AND(#REF!,"AAAAAHX7+5g=")</f>
        <v>#REF!</v>
      </c>
      <c r="EX67" t="e">
        <f>AND(#REF!,"AAAAAHX7+5k=")</f>
        <v>#REF!</v>
      </c>
      <c r="EY67" t="e">
        <f>AND(#REF!,"AAAAAHX7+5o=")</f>
        <v>#REF!</v>
      </c>
      <c r="EZ67" t="e">
        <f>AND(#REF!,"AAAAAHX7+5s=")</f>
        <v>#REF!</v>
      </c>
      <c r="FA67" t="e">
        <f>AND(#REF!,"AAAAAHX7+5w=")</f>
        <v>#REF!</v>
      </c>
      <c r="FB67" t="e">
        <f>AND(#REF!,"AAAAAHX7+50=")</f>
        <v>#REF!</v>
      </c>
      <c r="FC67" t="e">
        <f>AND(#REF!,"AAAAAHX7+54=")</f>
        <v>#REF!</v>
      </c>
      <c r="FD67" t="e">
        <f>AND(#REF!,"AAAAAHX7+58=")</f>
        <v>#REF!</v>
      </c>
      <c r="FE67" t="e">
        <f>AND(#REF!,"AAAAAHX7+6A=")</f>
        <v>#REF!</v>
      </c>
      <c r="FF67" t="e">
        <f>AND(#REF!,"AAAAAHX7+6E=")</f>
        <v>#REF!</v>
      </c>
      <c r="FG67" t="e">
        <f>AND(#REF!,"AAAAAHX7+6I=")</f>
        <v>#REF!</v>
      </c>
      <c r="FH67" t="e">
        <f>AND(#REF!,"AAAAAHX7+6M=")</f>
        <v>#REF!</v>
      </c>
      <c r="FI67" t="e">
        <f>AND(#REF!,"AAAAAHX7+6Q=")</f>
        <v>#REF!</v>
      </c>
      <c r="FJ67" t="e">
        <f>AND(#REF!,"AAAAAHX7+6U=")</f>
        <v>#REF!</v>
      </c>
      <c r="FK67" t="e">
        <f>AND(#REF!,"AAAAAHX7+6Y=")</f>
        <v>#REF!</v>
      </c>
      <c r="FL67" t="e">
        <f>AND(#REF!,"AAAAAHX7+6c=")</f>
        <v>#REF!</v>
      </c>
      <c r="FM67" t="e">
        <f>AND(#REF!,"AAAAAHX7+6g=")</f>
        <v>#REF!</v>
      </c>
      <c r="FN67" t="e">
        <f>AND(#REF!,"AAAAAHX7+6k=")</f>
        <v>#REF!</v>
      </c>
      <c r="FO67" t="e">
        <f>AND(#REF!,"AAAAAHX7+6o=")</f>
        <v>#REF!</v>
      </c>
      <c r="FP67" t="e">
        <f>AND(#REF!,"AAAAAHX7+6s=")</f>
        <v>#REF!</v>
      </c>
      <c r="FQ67" t="e">
        <f>AND(#REF!,"AAAAAHX7+6w=")</f>
        <v>#REF!</v>
      </c>
      <c r="FR67" t="e">
        <f>AND(#REF!,"AAAAAHX7+60=")</f>
        <v>#REF!</v>
      </c>
      <c r="FS67" t="e">
        <f>AND(#REF!,"AAAAAHX7+64=")</f>
        <v>#REF!</v>
      </c>
      <c r="FT67" t="e">
        <f>AND(#REF!,"AAAAAHX7+68=")</f>
        <v>#REF!</v>
      </c>
      <c r="FU67" t="e">
        <f>AND(#REF!,"AAAAAHX7+7A=")</f>
        <v>#REF!</v>
      </c>
      <c r="FV67" t="e">
        <f>AND(#REF!,"AAAAAHX7+7E=")</f>
        <v>#REF!</v>
      </c>
      <c r="FW67" t="e">
        <f>AND(#REF!,"AAAAAHX7+7I=")</f>
        <v>#REF!</v>
      </c>
      <c r="FX67" t="e">
        <f>AND(#REF!,"AAAAAHX7+7M=")</f>
        <v>#REF!</v>
      </c>
      <c r="FY67" t="e">
        <f>AND(#REF!,"AAAAAHX7+7Q=")</f>
        <v>#REF!</v>
      </c>
      <c r="FZ67" t="e">
        <f>AND(#REF!,"AAAAAHX7+7U=")</f>
        <v>#REF!</v>
      </c>
      <c r="GA67" t="e">
        <f>AND(#REF!,"AAAAAHX7+7Y=")</f>
        <v>#REF!</v>
      </c>
      <c r="GB67" t="e">
        <f>AND(#REF!,"AAAAAHX7+7c=")</f>
        <v>#REF!</v>
      </c>
      <c r="GC67" t="e">
        <f>AND(#REF!,"AAAAAHX7+7g=")</f>
        <v>#REF!</v>
      </c>
      <c r="GD67" t="e">
        <f>IF(#REF!,"AAAAAHX7+7k=",0)</f>
        <v>#REF!</v>
      </c>
      <c r="GE67" t="e">
        <f>AND(#REF!,"AAAAAHX7+7o=")</f>
        <v>#REF!</v>
      </c>
      <c r="GF67" t="e">
        <f>AND(#REF!,"AAAAAHX7+7s=")</f>
        <v>#REF!</v>
      </c>
      <c r="GG67" t="e">
        <f>AND(#REF!,"AAAAAHX7+7w=")</f>
        <v>#REF!</v>
      </c>
      <c r="GH67" t="e">
        <f>AND(#REF!,"AAAAAHX7+70=")</f>
        <v>#REF!</v>
      </c>
      <c r="GI67" t="e">
        <f>AND(#REF!,"AAAAAHX7+74=")</f>
        <v>#REF!</v>
      </c>
      <c r="GJ67" t="e">
        <f>AND(#REF!,"AAAAAHX7+78=")</f>
        <v>#REF!</v>
      </c>
      <c r="GK67" t="e">
        <f>AND(#REF!,"AAAAAHX7+8A=")</f>
        <v>#REF!</v>
      </c>
      <c r="GL67" t="e">
        <f>AND(#REF!,"AAAAAHX7+8E=")</f>
        <v>#REF!</v>
      </c>
      <c r="GM67" t="e">
        <f>AND(#REF!,"AAAAAHX7+8I=")</f>
        <v>#REF!</v>
      </c>
      <c r="GN67" t="e">
        <f>AND(#REF!,"AAAAAHX7+8M=")</f>
        <v>#REF!</v>
      </c>
      <c r="GO67" t="e">
        <f>AND(#REF!,"AAAAAHX7+8Q=")</f>
        <v>#REF!</v>
      </c>
      <c r="GP67" t="e">
        <f>AND(#REF!,"AAAAAHX7+8U=")</f>
        <v>#REF!</v>
      </c>
      <c r="GQ67" t="e">
        <f>AND(#REF!,"AAAAAHX7+8Y=")</f>
        <v>#REF!</v>
      </c>
      <c r="GR67" t="e">
        <f>AND(#REF!,"AAAAAHX7+8c=")</f>
        <v>#REF!</v>
      </c>
      <c r="GS67" t="e">
        <f>AND(#REF!,"AAAAAHX7+8g=")</f>
        <v>#REF!</v>
      </c>
      <c r="GT67" t="e">
        <f>AND(#REF!,"AAAAAHX7+8k=")</f>
        <v>#REF!</v>
      </c>
      <c r="GU67" t="e">
        <f>AND(#REF!,"AAAAAHX7+8o=")</f>
        <v>#REF!</v>
      </c>
      <c r="GV67" t="e">
        <f>AND(#REF!,"AAAAAHX7+8s=")</f>
        <v>#REF!</v>
      </c>
      <c r="GW67" t="e">
        <f>AND(#REF!,"AAAAAHX7+8w=")</f>
        <v>#REF!</v>
      </c>
      <c r="GX67" t="e">
        <f>AND(#REF!,"AAAAAHX7+80=")</f>
        <v>#REF!</v>
      </c>
      <c r="GY67" t="e">
        <f>AND(#REF!,"AAAAAHX7+84=")</f>
        <v>#REF!</v>
      </c>
      <c r="GZ67" t="e">
        <f>AND(#REF!,"AAAAAHX7+88=")</f>
        <v>#REF!</v>
      </c>
      <c r="HA67" t="e">
        <f>AND(#REF!,"AAAAAHX7+9A=")</f>
        <v>#REF!</v>
      </c>
      <c r="HB67" t="e">
        <f>AND(#REF!,"AAAAAHX7+9E=")</f>
        <v>#REF!</v>
      </c>
      <c r="HC67" t="e">
        <f>AND(#REF!,"AAAAAHX7+9I=")</f>
        <v>#REF!</v>
      </c>
      <c r="HD67" t="e">
        <f>AND(#REF!,"AAAAAHX7+9M=")</f>
        <v>#REF!</v>
      </c>
      <c r="HE67" t="e">
        <f>AND(#REF!,"AAAAAHX7+9Q=")</f>
        <v>#REF!</v>
      </c>
      <c r="HF67" t="e">
        <f>AND(#REF!,"AAAAAHX7+9U=")</f>
        <v>#REF!</v>
      </c>
      <c r="HG67" t="e">
        <f>AND(#REF!,"AAAAAHX7+9Y=")</f>
        <v>#REF!</v>
      </c>
      <c r="HH67" t="e">
        <f>AND(#REF!,"AAAAAHX7+9c=")</f>
        <v>#REF!</v>
      </c>
      <c r="HI67" t="e">
        <f>AND(#REF!,"AAAAAHX7+9g=")</f>
        <v>#REF!</v>
      </c>
      <c r="HJ67" t="e">
        <f>AND(#REF!,"AAAAAHX7+9k=")</f>
        <v>#REF!</v>
      </c>
      <c r="HK67" t="e">
        <f>AND(#REF!,"AAAAAHX7+9o=")</f>
        <v>#REF!</v>
      </c>
      <c r="HL67" t="e">
        <f>AND(#REF!,"AAAAAHX7+9s=")</f>
        <v>#REF!</v>
      </c>
      <c r="HM67" t="e">
        <f>AND(#REF!,"AAAAAHX7+9w=")</f>
        <v>#REF!</v>
      </c>
      <c r="HN67" t="e">
        <f>AND(#REF!,"AAAAAHX7+90=")</f>
        <v>#REF!</v>
      </c>
      <c r="HO67" t="e">
        <f>AND(#REF!,"AAAAAHX7+94=")</f>
        <v>#REF!</v>
      </c>
      <c r="HP67" t="e">
        <f>AND(#REF!,"AAAAAHX7+98=")</f>
        <v>#REF!</v>
      </c>
      <c r="HQ67" t="e">
        <f>AND(#REF!,"AAAAAHX7++A=")</f>
        <v>#REF!</v>
      </c>
      <c r="HR67" t="e">
        <f>AND(#REF!,"AAAAAHX7++E=")</f>
        <v>#REF!</v>
      </c>
      <c r="HS67" t="e">
        <f>AND(#REF!,"AAAAAHX7++I=")</f>
        <v>#REF!</v>
      </c>
      <c r="HT67" t="e">
        <f>AND(#REF!,"AAAAAHX7++M=")</f>
        <v>#REF!</v>
      </c>
      <c r="HU67" t="e">
        <f>AND(#REF!,"AAAAAHX7++Q=")</f>
        <v>#REF!</v>
      </c>
      <c r="HV67" t="e">
        <f>AND(#REF!,"AAAAAHX7++U=")</f>
        <v>#REF!</v>
      </c>
      <c r="HW67" t="e">
        <f>AND(#REF!,"AAAAAHX7++Y=")</f>
        <v>#REF!</v>
      </c>
      <c r="HX67" t="e">
        <f>AND(#REF!,"AAAAAHX7++c=")</f>
        <v>#REF!</v>
      </c>
      <c r="HY67" t="e">
        <f>AND(#REF!,"AAAAAHX7++g=")</f>
        <v>#REF!</v>
      </c>
      <c r="HZ67" t="e">
        <f>AND(#REF!,"AAAAAHX7++k=")</f>
        <v>#REF!</v>
      </c>
      <c r="IA67" t="e">
        <f>AND(#REF!,"AAAAAHX7++o=")</f>
        <v>#REF!</v>
      </c>
      <c r="IB67" t="e">
        <f>AND(#REF!,"AAAAAHX7++s=")</f>
        <v>#REF!</v>
      </c>
      <c r="IC67" t="e">
        <f>AND(#REF!,"AAAAAHX7++w=")</f>
        <v>#REF!</v>
      </c>
      <c r="ID67" t="e">
        <f>AND(#REF!,"AAAAAHX7++0=")</f>
        <v>#REF!</v>
      </c>
      <c r="IE67" t="e">
        <f>AND(#REF!,"AAAAAHX7++4=")</f>
        <v>#REF!</v>
      </c>
      <c r="IF67" t="e">
        <f>AND(#REF!,"AAAAAHX7++8=")</f>
        <v>#REF!</v>
      </c>
      <c r="IG67" t="e">
        <f>AND(#REF!,"AAAAAHX7+/A=")</f>
        <v>#REF!</v>
      </c>
      <c r="IH67" t="e">
        <f>AND(#REF!,"AAAAAHX7+/E=")</f>
        <v>#REF!</v>
      </c>
      <c r="II67" t="e">
        <f>AND(#REF!,"AAAAAHX7+/I=")</f>
        <v>#REF!</v>
      </c>
      <c r="IJ67" t="e">
        <f>AND(#REF!,"AAAAAHX7+/M=")</f>
        <v>#REF!</v>
      </c>
      <c r="IK67" t="e">
        <f>AND(#REF!,"AAAAAHX7+/Q=")</f>
        <v>#REF!</v>
      </c>
      <c r="IL67" t="e">
        <f>AND(#REF!,"AAAAAHX7+/U=")</f>
        <v>#REF!</v>
      </c>
      <c r="IM67" t="e">
        <f>AND(#REF!,"AAAAAHX7+/Y=")</f>
        <v>#REF!</v>
      </c>
      <c r="IN67" t="e">
        <f>AND(#REF!,"AAAAAHX7+/c=")</f>
        <v>#REF!</v>
      </c>
      <c r="IO67" t="e">
        <f>AND(#REF!,"AAAAAHX7+/g=")</f>
        <v>#REF!</v>
      </c>
      <c r="IP67" t="e">
        <f>AND(#REF!,"AAAAAHX7+/k=")</f>
        <v>#REF!</v>
      </c>
      <c r="IQ67" t="e">
        <f>AND(#REF!,"AAAAAHX7+/o=")</f>
        <v>#REF!</v>
      </c>
      <c r="IR67" t="e">
        <f>AND(#REF!,"AAAAAHX7+/s=")</f>
        <v>#REF!</v>
      </c>
      <c r="IS67" t="e">
        <f>AND(#REF!,"AAAAAHX7+/w=")</f>
        <v>#REF!</v>
      </c>
      <c r="IT67" t="e">
        <f>AND(#REF!,"AAAAAHX7+/0=")</f>
        <v>#REF!</v>
      </c>
      <c r="IU67" t="e">
        <f>AND(#REF!,"AAAAAHX7+/4=")</f>
        <v>#REF!</v>
      </c>
      <c r="IV67" t="e">
        <f>AND(#REF!,"AAAAAHX7+/8=")</f>
        <v>#REF!</v>
      </c>
    </row>
    <row r="68" spans="1:256">
      <c r="A68" t="e">
        <f>AND(#REF!,"AAAAAG43/QA=")</f>
        <v>#REF!</v>
      </c>
      <c r="B68" t="e">
        <f>AND(#REF!,"AAAAAG43/QE=")</f>
        <v>#REF!</v>
      </c>
      <c r="C68" t="e">
        <f>AND(#REF!,"AAAAAG43/QI=")</f>
        <v>#REF!</v>
      </c>
      <c r="D68" t="e">
        <f>AND(#REF!,"AAAAAG43/QM=")</f>
        <v>#REF!</v>
      </c>
      <c r="E68" t="e">
        <f>AND(#REF!,"AAAAAG43/QQ=")</f>
        <v>#REF!</v>
      </c>
      <c r="F68" t="e">
        <f>AND(#REF!,"AAAAAG43/QU=")</f>
        <v>#REF!</v>
      </c>
      <c r="G68" t="e">
        <f>AND(#REF!,"AAAAAG43/QY=")</f>
        <v>#REF!</v>
      </c>
      <c r="H68" t="e">
        <f>AND(#REF!,"AAAAAG43/Qc=")</f>
        <v>#REF!</v>
      </c>
      <c r="I68" t="e">
        <f>AND(#REF!,"AAAAAG43/Qg=")</f>
        <v>#REF!</v>
      </c>
      <c r="J68" t="e">
        <f>AND(#REF!,"AAAAAG43/Qk=")</f>
        <v>#REF!</v>
      </c>
      <c r="K68" t="e">
        <f>AND(#REF!,"AAAAAG43/Qo=")</f>
        <v>#REF!</v>
      </c>
      <c r="L68" t="e">
        <f>AND(#REF!,"AAAAAG43/Qs=")</f>
        <v>#REF!</v>
      </c>
      <c r="M68" t="e">
        <f>AND(#REF!,"AAAAAG43/Qw=")</f>
        <v>#REF!</v>
      </c>
      <c r="N68" t="e">
        <f>AND(#REF!,"AAAAAG43/Q0=")</f>
        <v>#REF!</v>
      </c>
      <c r="O68" t="e">
        <f>AND(#REF!,"AAAAAG43/Q4=")</f>
        <v>#REF!</v>
      </c>
      <c r="P68" t="e">
        <f>AND(#REF!,"AAAAAG43/Q8=")</f>
        <v>#REF!</v>
      </c>
      <c r="Q68" t="e">
        <f>AND(#REF!,"AAAAAG43/RA=")</f>
        <v>#REF!</v>
      </c>
      <c r="R68" t="e">
        <f>AND(#REF!,"AAAAAG43/RE=")</f>
        <v>#REF!</v>
      </c>
      <c r="S68" t="e">
        <f>AND(#REF!,"AAAAAG43/RI=")</f>
        <v>#REF!</v>
      </c>
      <c r="T68" t="e">
        <f>AND(#REF!,"AAAAAG43/RM=")</f>
        <v>#REF!</v>
      </c>
      <c r="U68" t="e">
        <f>AND(#REF!,"AAAAAG43/RQ=")</f>
        <v>#REF!</v>
      </c>
      <c r="V68" t="e">
        <f>AND(#REF!,"AAAAAG43/RU=")</f>
        <v>#REF!</v>
      </c>
      <c r="W68" t="e">
        <f>AND(#REF!,"AAAAAG43/RY=")</f>
        <v>#REF!</v>
      </c>
      <c r="X68" t="e">
        <f>AND(#REF!,"AAAAAG43/Rc=")</f>
        <v>#REF!</v>
      </c>
      <c r="Y68" t="e">
        <f>AND(#REF!,"AAAAAG43/Rg=")</f>
        <v>#REF!</v>
      </c>
      <c r="Z68" t="e">
        <f>AND(#REF!,"AAAAAG43/Rk=")</f>
        <v>#REF!</v>
      </c>
      <c r="AA68" t="e">
        <f>AND(#REF!,"AAAAAG43/Ro=")</f>
        <v>#REF!</v>
      </c>
      <c r="AB68" t="e">
        <f>AND(#REF!,"AAAAAG43/Rs=")</f>
        <v>#REF!</v>
      </c>
      <c r="AC68" t="e">
        <f>AND(#REF!,"AAAAAG43/Rw=")</f>
        <v>#REF!</v>
      </c>
      <c r="AD68" t="e">
        <f>AND(#REF!,"AAAAAG43/R0=")</f>
        <v>#REF!</v>
      </c>
      <c r="AE68" t="e">
        <f>AND(#REF!,"AAAAAG43/R4=")</f>
        <v>#REF!</v>
      </c>
      <c r="AF68" t="e">
        <f>AND(#REF!,"AAAAAG43/R8=")</f>
        <v>#REF!</v>
      </c>
      <c r="AG68" t="e">
        <f>AND(#REF!,"AAAAAG43/SA=")</f>
        <v>#REF!</v>
      </c>
      <c r="AH68" t="e">
        <f>AND(#REF!,"AAAAAG43/SE=")</f>
        <v>#REF!</v>
      </c>
      <c r="AI68" t="e">
        <f>AND(#REF!,"AAAAAG43/SI=")</f>
        <v>#REF!</v>
      </c>
      <c r="AJ68" t="e">
        <f>AND(#REF!,"AAAAAG43/SM=")</f>
        <v>#REF!</v>
      </c>
      <c r="AK68" t="e">
        <f>AND(#REF!,"AAAAAG43/SQ=")</f>
        <v>#REF!</v>
      </c>
      <c r="AL68" t="e">
        <f>AND(#REF!,"AAAAAG43/SU=")</f>
        <v>#REF!</v>
      </c>
      <c r="AM68" t="e">
        <f>AND(#REF!,"AAAAAG43/SY=")</f>
        <v>#REF!</v>
      </c>
      <c r="AN68" t="e">
        <f>AND(#REF!,"AAAAAG43/Sc=")</f>
        <v>#REF!</v>
      </c>
      <c r="AO68" t="e">
        <f>AND(#REF!,"AAAAAG43/Sg=")</f>
        <v>#REF!</v>
      </c>
      <c r="AP68" t="e">
        <f>AND(#REF!,"AAAAAG43/Sk=")</f>
        <v>#REF!</v>
      </c>
      <c r="AQ68" t="e">
        <f>AND(#REF!,"AAAAAG43/So=")</f>
        <v>#REF!</v>
      </c>
      <c r="AR68" t="e">
        <f>AND(#REF!,"AAAAAG43/Ss=")</f>
        <v>#REF!</v>
      </c>
      <c r="AS68" t="e">
        <f>AND(#REF!,"AAAAAG43/Sw=")</f>
        <v>#REF!</v>
      </c>
      <c r="AT68" t="e">
        <f>AND(#REF!,"AAAAAG43/S0=")</f>
        <v>#REF!</v>
      </c>
      <c r="AU68" t="e">
        <f>AND(#REF!,"AAAAAG43/S4=")</f>
        <v>#REF!</v>
      </c>
      <c r="AV68" t="e">
        <f>AND(#REF!,"AAAAAG43/S8=")</f>
        <v>#REF!</v>
      </c>
      <c r="AW68" t="e">
        <f>AND(#REF!,"AAAAAG43/TA=")</f>
        <v>#REF!</v>
      </c>
      <c r="AX68" t="e">
        <f>AND(#REF!,"AAAAAG43/TE=")</f>
        <v>#REF!</v>
      </c>
      <c r="AY68" t="e">
        <f>IF(#REF!,"AAAAAG43/TI=",0)</f>
        <v>#REF!</v>
      </c>
      <c r="AZ68" t="e">
        <f>AND(#REF!,"AAAAAG43/TM=")</f>
        <v>#REF!</v>
      </c>
      <c r="BA68" t="e">
        <f>AND(#REF!,"AAAAAG43/TQ=")</f>
        <v>#REF!</v>
      </c>
      <c r="BB68" t="e">
        <f>AND(#REF!,"AAAAAG43/TU=")</f>
        <v>#REF!</v>
      </c>
      <c r="BC68" t="e">
        <f>AND(#REF!,"AAAAAG43/TY=")</f>
        <v>#REF!</v>
      </c>
      <c r="BD68" t="e">
        <f>AND(#REF!,"AAAAAG43/Tc=")</f>
        <v>#REF!</v>
      </c>
      <c r="BE68" t="e">
        <f>AND(#REF!,"AAAAAG43/Tg=")</f>
        <v>#REF!</v>
      </c>
      <c r="BF68" t="e">
        <f>AND(#REF!,"AAAAAG43/Tk=")</f>
        <v>#REF!</v>
      </c>
      <c r="BG68" t="e">
        <f>AND(#REF!,"AAAAAG43/To=")</f>
        <v>#REF!</v>
      </c>
      <c r="BH68" t="e">
        <f>AND(#REF!,"AAAAAG43/Ts=")</f>
        <v>#REF!</v>
      </c>
      <c r="BI68" t="e">
        <f>AND(#REF!,"AAAAAG43/Tw=")</f>
        <v>#REF!</v>
      </c>
      <c r="BJ68" t="e">
        <f>AND(#REF!,"AAAAAG43/T0=")</f>
        <v>#REF!</v>
      </c>
      <c r="BK68" t="e">
        <f>AND(#REF!,"AAAAAG43/T4=")</f>
        <v>#REF!</v>
      </c>
      <c r="BL68" t="e">
        <f>AND(#REF!,"AAAAAG43/T8=")</f>
        <v>#REF!</v>
      </c>
      <c r="BM68" t="e">
        <f>AND(#REF!,"AAAAAG43/UA=")</f>
        <v>#REF!</v>
      </c>
      <c r="BN68" t="e">
        <f>AND(#REF!,"AAAAAG43/UE=")</f>
        <v>#REF!</v>
      </c>
      <c r="BO68" t="e">
        <f>AND(#REF!,"AAAAAG43/UI=")</f>
        <v>#REF!</v>
      </c>
      <c r="BP68" t="e">
        <f>AND(#REF!,"AAAAAG43/UM=")</f>
        <v>#REF!</v>
      </c>
      <c r="BQ68" t="e">
        <f>AND(#REF!,"AAAAAG43/UQ=")</f>
        <v>#REF!</v>
      </c>
      <c r="BR68" t="e">
        <f>AND(#REF!,"AAAAAG43/UU=")</f>
        <v>#REF!</v>
      </c>
      <c r="BS68" t="e">
        <f>AND(#REF!,"AAAAAG43/UY=")</f>
        <v>#REF!</v>
      </c>
      <c r="BT68" t="e">
        <f>AND(#REF!,"AAAAAG43/Uc=")</f>
        <v>#REF!</v>
      </c>
      <c r="BU68" t="e">
        <f>AND(#REF!,"AAAAAG43/Ug=")</f>
        <v>#REF!</v>
      </c>
      <c r="BV68" t="e">
        <f>AND(#REF!,"AAAAAG43/Uk=")</f>
        <v>#REF!</v>
      </c>
      <c r="BW68" t="e">
        <f>AND(#REF!,"AAAAAG43/Uo=")</f>
        <v>#REF!</v>
      </c>
      <c r="BX68" t="e">
        <f>AND(#REF!,"AAAAAG43/Us=")</f>
        <v>#REF!</v>
      </c>
      <c r="BY68" t="e">
        <f>AND(#REF!,"AAAAAG43/Uw=")</f>
        <v>#REF!</v>
      </c>
      <c r="BZ68" t="e">
        <f>AND(#REF!,"AAAAAG43/U0=")</f>
        <v>#REF!</v>
      </c>
      <c r="CA68" t="e">
        <f>AND(#REF!,"AAAAAG43/U4=")</f>
        <v>#REF!</v>
      </c>
      <c r="CB68" t="e">
        <f>AND(#REF!,"AAAAAG43/U8=")</f>
        <v>#REF!</v>
      </c>
      <c r="CC68" t="e">
        <f>AND(#REF!,"AAAAAG43/VA=")</f>
        <v>#REF!</v>
      </c>
      <c r="CD68" t="e">
        <f>AND(#REF!,"AAAAAG43/VE=")</f>
        <v>#REF!</v>
      </c>
      <c r="CE68" t="e">
        <f>AND(#REF!,"AAAAAG43/VI=")</f>
        <v>#REF!</v>
      </c>
      <c r="CF68" t="e">
        <f>AND(#REF!,"AAAAAG43/VM=")</f>
        <v>#REF!</v>
      </c>
      <c r="CG68" t="e">
        <f>AND(#REF!,"AAAAAG43/VQ=")</f>
        <v>#REF!</v>
      </c>
      <c r="CH68" t="e">
        <f>AND(#REF!,"AAAAAG43/VU=")</f>
        <v>#REF!</v>
      </c>
      <c r="CI68" t="e">
        <f>AND(#REF!,"AAAAAG43/VY=")</f>
        <v>#REF!</v>
      </c>
      <c r="CJ68" t="e">
        <f>AND(#REF!,"AAAAAG43/Vc=")</f>
        <v>#REF!</v>
      </c>
      <c r="CK68" t="e">
        <f>AND(#REF!,"AAAAAG43/Vg=")</f>
        <v>#REF!</v>
      </c>
      <c r="CL68" t="e">
        <f>AND(#REF!,"AAAAAG43/Vk=")</f>
        <v>#REF!</v>
      </c>
      <c r="CM68" t="e">
        <f>AND(#REF!,"AAAAAG43/Vo=")</f>
        <v>#REF!</v>
      </c>
      <c r="CN68" t="e">
        <f>AND(#REF!,"AAAAAG43/Vs=")</f>
        <v>#REF!</v>
      </c>
      <c r="CO68" t="e">
        <f>AND(#REF!,"AAAAAG43/Vw=")</f>
        <v>#REF!</v>
      </c>
      <c r="CP68" t="e">
        <f>AND(#REF!,"AAAAAG43/V0=")</f>
        <v>#REF!</v>
      </c>
      <c r="CQ68" t="e">
        <f>AND(#REF!,"AAAAAG43/V4=")</f>
        <v>#REF!</v>
      </c>
      <c r="CR68" t="e">
        <f>AND(#REF!,"AAAAAG43/V8=")</f>
        <v>#REF!</v>
      </c>
      <c r="CS68" t="e">
        <f>AND(#REF!,"AAAAAG43/WA=")</f>
        <v>#REF!</v>
      </c>
      <c r="CT68" t="e">
        <f>AND(#REF!,"AAAAAG43/WE=")</f>
        <v>#REF!</v>
      </c>
      <c r="CU68" t="e">
        <f>AND(#REF!,"AAAAAG43/WI=")</f>
        <v>#REF!</v>
      </c>
      <c r="CV68" t="e">
        <f>AND(#REF!,"AAAAAG43/WM=")</f>
        <v>#REF!</v>
      </c>
      <c r="CW68" t="e">
        <f>AND(#REF!,"AAAAAG43/WQ=")</f>
        <v>#REF!</v>
      </c>
      <c r="CX68" t="e">
        <f>AND(#REF!,"AAAAAG43/WU=")</f>
        <v>#REF!</v>
      </c>
      <c r="CY68" t="e">
        <f>AND(#REF!,"AAAAAG43/WY=")</f>
        <v>#REF!</v>
      </c>
      <c r="CZ68" t="e">
        <f>AND(#REF!,"AAAAAG43/Wc=")</f>
        <v>#REF!</v>
      </c>
      <c r="DA68" t="e">
        <f>AND(#REF!,"AAAAAG43/Wg=")</f>
        <v>#REF!</v>
      </c>
      <c r="DB68" t="e">
        <f>AND(#REF!,"AAAAAG43/Wk=")</f>
        <v>#REF!</v>
      </c>
      <c r="DC68" t="e">
        <f>AND(#REF!,"AAAAAG43/Wo=")</f>
        <v>#REF!</v>
      </c>
      <c r="DD68" t="e">
        <f>AND(#REF!,"AAAAAG43/Ws=")</f>
        <v>#REF!</v>
      </c>
      <c r="DE68" t="e">
        <f>AND(#REF!,"AAAAAG43/Ww=")</f>
        <v>#REF!</v>
      </c>
      <c r="DF68" t="e">
        <f>AND(#REF!,"AAAAAG43/W0=")</f>
        <v>#REF!</v>
      </c>
      <c r="DG68" t="e">
        <f>AND(#REF!,"AAAAAG43/W4=")</f>
        <v>#REF!</v>
      </c>
      <c r="DH68" t="e">
        <f>AND(#REF!,"AAAAAG43/W8=")</f>
        <v>#REF!</v>
      </c>
      <c r="DI68" t="e">
        <f>AND(#REF!,"AAAAAG43/XA=")</f>
        <v>#REF!</v>
      </c>
      <c r="DJ68" t="e">
        <f>AND(#REF!,"AAAAAG43/XE=")</f>
        <v>#REF!</v>
      </c>
      <c r="DK68" t="e">
        <f>AND(#REF!,"AAAAAG43/XI=")</f>
        <v>#REF!</v>
      </c>
      <c r="DL68" t="e">
        <f>AND(#REF!,"AAAAAG43/XM=")</f>
        <v>#REF!</v>
      </c>
      <c r="DM68" t="e">
        <f>AND(#REF!,"AAAAAG43/XQ=")</f>
        <v>#REF!</v>
      </c>
      <c r="DN68" t="e">
        <f>AND(#REF!,"AAAAAG43/XU=")</f>
        <v>#REF!</v>
      </c>
      <c r="DO68" t="e">
        <f>AND(#REF!,"AAAAAG43/XY=")</f>
        <v>#REF!</v>
      </c>
      <c r="DP68" t="e">
        <f>AND(#REF!,"AAAAAG43/Xc=")</f>
        <v>#REF!</v>
      </c>
      <c r="DQ68" t="e">
        <f>AND(#REF!,"AAAAAG43/Xg=")</f>
        <v>#REF!</v>
      </c>
      <c r="DR68" t="e">
        <f>AND(#REF!,"AAAAAG43/Xk=")</f>
        <v>#REF!</v>
      </c>
      <c r="DS68" t="e">
        <f>AND(#REF!,"AAAAAG43/Xo=")</f>
        <v>#REF!</v>
      </c>
      <c r="DT68" t="e">
        <f>AND(#REF!,"AAAAAG43/Xs=")</f>
        <v>#REF!</v>
      </c>
      <c r="DU68" t="e">
        <f>AND(#REF!,"AAAAAG43/Xw=")</f>
        <v>#REF!</v>
      </c>
      <c r="DV68" t="e">
        <f>AND(#REF!,"AAAAAG43/X0=")</f>
        <v>#REF!</v>
      </c>
      <c r="DW68" t="e">
        <f>AND(#REF!,"AAAAAG43/X4=")</f>
        <v>#REF!</v>
      </c>
      <c r="DX68" t="e">
        <f>AND(#REF!,"AAAAAG43/X8=")</f>
        <v>#REF!</v>
      </c>
      <c r="DY68" t="e">
        <f>AND(#REF!,"AAAAAG43/YA=")</f>
        <v>#REF!</v>
      </c>
      <c r="DZ68" t="e">
        <f>AND(#REF!,"AAAAAG43/YE=")</f>
        <v>#REF!</v>
      </c>
      <c r="EA68" t="e">
        <f>AND(#REF!,"AAAAAG43/YI=")</f>
        <v>#REF!</v>
      </c>
      <c r="EB68" t="e">
        <f>AND(#REF!,"AAAAAG43/YM=")</f>
        <v>#REF!</v>
      </c>
      <c r="EC68" t="e">
        <f>AND(#REF!,"AAAAAG43/YQ=")</f>
        <v>#REF!</v>
      </c>
      <c r="ED68" t="e">
        <f>AND(#REF!,"AAAAAG43/YU=")</f>
        <v>#REF!</v>
      </c>
      <c r="EE68" t="e">
        <f>AND(#REF!,"AAAAAG43/YY=")</f>
        <v>#REF!</v>
      </c>
      <c r="EF68" t="e">
        <f>AND(#REF!,"AAAAAG43/Yc=")</f>
        <v>#REF!</v>
      </c>
      <c r="EG68" t="e">
        <f>AND(#REF!,"AAAAAG43/Yg=")</f>
        <v>#REF!</v>
      </c>
      <c r="EH68" t="e">
        <f>AND(#REF!,"AAAAAG43/Yk=")</f>
        <v>#REF!</v>
      </c>
      <c r="EI68" t="e">
        <f>AND(#REF!,"AAAAAG43/Yo=")</f>
        <v>#REF!</v>
      </c>
      <c r="EJ68" t="e">
        <f>AND(#REF!,"AAAAAG43/Ys=")</f>
        <v>#REF!</v>
      </c>
      <c r="EK68" t="e">
        <f>AND(#REF!,"AAAAAG43/Yw=")</f>
        <v>#REF!</v>
      </c>
      <c r="EL68" t="e">
        <f>AND(#REF!,"AAAAAG43/Y0=")</f>
        <v>#REF!</v>
      </c>
      <c r="EM68" t="e">
        <f>AND(#REF!,"AAAAAG43/Y4=")</f>
        <v>#REF!</v>
      </c>
      <c r="EN68" t="e">
        <f>AND(#REF!,"AAAAAG43/Y8=")</f>
        <v>#REF!</v>
      </c>
      <c r="EO68" t="e">
        <f>AND(#REF!,"AAAAAG43/ZA=")</f>
        <v>#REF!</v>
      </c>
      <c r="EP68" t="e">
        <f>AND(#REF!,"AAAAAG43/ZE=")</f>
        <v>#REF!</v>
      </c>
      <c r="EQ68" t="e">
        <f>AND(#REF!,"AAAAAG43/ZI=")</f>
        <v>#REF!</v>
      </c>
      <c r="ER68" t="e">
        <f>AND(#REF!,"AAAAAG43/ZM=")</f>
        <v>#REF!</v>
      </c>
      <c r="ES68" t="e">
        <f>AND(#REF!,"AAAAAG43/ZQ=")</f>
        <v>#REF!</v>
      </c>
      <c r="ET68" t="e">
        <f>AND(#REF!,"AAAAAG43/ZU=")</f>
        <v>#REF!</v>
      </c>
      <c r="EU68" t="e">
        <f>AND(#REF!,"AAAAAG43/ZY=")</f>
        <v>#REF!</v>
      </c>
      <c r="EV68" t="e">
        <f>AND(#REF!,"AAAAAG43/Zc=")</f>
        <v>#REF!</v>
      </c>
      <c r="EW68" t="e">
        <f>AND(#REF!,"AAAAAG43/Zg=")</f>
        <v>#REF!</v>
      </c>
      <c r="EX68" t="e">
        <f>AND(#REF!,"AAAAAG43/Zk=")</f>
        <v>#REF!</v>
      </c>
      <c r="EY68" t="e">
        <f>AND(#REF!,"AAAAAG43/Zo=")</f>
        <v>#REF!</v>
      </c>
      <c r="EZ68" t="e">
        <f>AND(#REF!,"AAAAAG43/Zs=")</f>
        <v>#REF!</v>
      </c>
      <c r="FA68" t="e">
        <f>AND(#REF!,"AAAAAG43/Zw=")</f>
        <v>#REF!</v>
      </c>
      <c r="FB68" t="e">
        <f>AND(#REF!,"AAAAAG43/Z0=")</f>
        <v>#REF!</v>
      </c>
      <c r="FC68" t="e">
        <f>AND(#REF!,"AAAAAG43/Z4=")</f>
        <v>#REF!</v>
      </c>
      <c r="FD68" t="e">
        <f>AND(#REF!,"AAAAAG43/Z8=")</f>
        <v>#REF!</v>
      </c>
      <c r="FE68" t="e">
        <f>AND(#REF!,"AAAAAG43/aA=")</f>
        <v>#REF!</v>
      </c>
      <c r="FF68" t="e">
        <f>AND(#REF!,"AAAAAG43/aE=")</f>
        <v>#REF!</v>
      </c>
      <c r="FG68" t="e">
        <f>AND(#REF!,"AAAAAG43/aI=")</f>
        <v>#REF!</v>
      </c>
      <c r="FH68" t="e">
        <f>AND(#REF!,"AAAAAG43/aM=")</f>
        <v>#REF!</v>
      </c>
      <c r="FI68" t="e">
        <f>AND(#REF!,"AAAAAG43/aQ=")</f>
        <v>#REF!</v>
      </c>
      <c r="FJ68" t="e">
        <f>AND(#REF!,"AAAAAG43/aU=")</f>
        <v>#REF!</v>
      </c>
      <c r="FK68" t="e">
        <f>AND(#REF!,"AAAAAG43/aY=")</f>
        <v>#REF!</v>
      </c>
      <c r="FL68" t="e">
        <f>AND(#REF!,"AAAAAG43/ac=")</f>
        <v>#REF!</v>
      </c>
      <c r="FM68" t="e">
        <f>AND(#REF!,"AAAAAG43/ag=")</f>
        <v>#REF!</v>
      </c>
      <c r="FN68" t="e">
        <f>AND(#REF!,"AAAAAG43/ak=")</f>
        <v>#REF!</v>
      </c>
      <c r="FO68" t="e">
        <f>AND(#REF!,"AAAAAG43/ao=")</f>
        <v>#REF!</v>
      </c>
      <c r="FP68" t="e">
        <f>IF(#REF!,"AAAAAG43/as=",0)</f>
        <v>#REF!</v>
      </c>
      <c r="FQ68" t="e">
        <f>AND(#REF!,"AAAAAG43/aw=")</f>
        <v>#REF!</v>
      </c>
      <c r="FR68" t="e">
        <f>AND(#REF!,"AAAAAG43/a0=")</f>
        <v>#REF!</v>
      </c>
      <c r="FS68" t="e">
        <f>AND(#REF!,"AAAAAG43/a4=")</f>
        <v>#REF!</v>
      </c>
      <c r="FT68" t="e">
        <f>AND(#REF!,"AAAAAG43/a8=")</f>
        <v>#REF!</v>
      </c>
      <c r="FU68" t="e">
        <f>AND(#REF!,"AAAAAG43/bA=")</f>
        <v>#REF!</v>
      </c>
      <c r="FV68" t="e">
        <f>AND(#REF!,"AAAAAG43/bE=")</f>
        <v>#REF!</v>
      </c>
      <c r="FW68" t="e">
        <f>AND(#REF!,"AAAAAG43/bI=")</f>
        <v>#REF!</v>
      </c>
      <c r="FX68" t="e">
        <f>AND(#REF!,"AAAAAG43/bM=")</f>
        <v>#REF!</v>
      </c>
      <c r="FY68" t="e">
        <f>AND(#REF!,"AAAAAG43/bQ=")</f>
        <v>#REF!</v>
      </c>
      <c r="FZ68" t="e">
        <f>AND(#REF!,"AAAAAG43/bU=")</f>
        <v>#REF!</v>
      </c>
      <c r="GA68" t="e">
        <f>AND(#REF!,"AAAAAG43/bY=")</f>
        <v>#REF!</v>
      </c>
      <c r="GB68" t="e">
        <f>AND(#REF!,"AAAAAG43/bc=")</f>
        <v>#REF!</v>
      </c>
      <c r="GC68" t="e">
        <f>AND(#REF!,"AAAAAG43/bg=")</f>
        <v>#REF!</v>
      </c>
      <c r="GD68" t="e">
        <f>AND(#REF!,"AAAAAG43/bk=")</f>
        <v>#REF!</v>
      </c>
      <c r="GE68" t="e">
        <f>AND(#REF!,"AAAAAG43/bo=")</f>
        <v>#REF!</v>
      </c>
      <c r="GF68" t="e">
        <f>AND(#REF!,"AAAAAG43/bs=")</f>
        <v>#REF!</v>
      </c>
      <c r="GG68" t="e">
        <f>AND(#REF!,"AAAAAG43/bw=")</f>
        <v>#REF!</v>
      </c>
      <c r="GH68" t="e">
        <f>AND(#REF!,"AAAAAG43/b0=")</f>
        <v>#REF!</v>
      </c>
      <c r="GI68" t="e">
        <f>AND(#REF!,"AAAAAG43/b4=")</f>
        <v>#REF!</v>
      </c>
      <c r="GJ68" t="e">
        <f>AND(#REF!,"AAAAAG43/b8=")</f>
        <v>#REF!</v>
      </c>
      <c r="GK68" t="e">
        <f>AND(#REF!,"AAAAAG43/cA=")</f>
        <v>#REF!</v>
      </c>
      <c r="GL68" t="e">
        <f>AND(#REF!,"AAAAAG43/cE=")</f>
        <v>#REF!</v>
      </c>
      <c r="GM68" t="e">
        <f>AND(#REF!,"AAAAAG43/cI=")</f>
        <v>#REF!</v>
      </c>
      <c r="GN68" t="e">
        <f>AND(#REF!,"AAAAAG43/cM=")</f>
        <v>#REF!</v>
      </c>
      <c r="GO68" t="e">
        <f>AND(#REF!,"AAAAAG43/cQ=")</f>
        <v>#REF!</v>
      </c>
      <c r="GP68" t="e">
        <f>AND(#REF!,"AAAAAG43/cU=")</f>
        <v>#REF!</v>
      </c>
      <c r="GQ68" t="e">
        <f>AND(#REF!,"AAAAAG43/cY=")</f>
        <v>#REF!</v>
      </c>
      <c r="GR68" t="e">
        <f>AND(#REF!,"AAAAAG43/cc=")</f>
        <v>#REF!</v>
      </c>
      <c r="GS68" t="e">
        <f>AND(#REF!,"AAAAAG43/cg=")</f>
        <v>#REF!</v>
      </c>
      <c r="GT68" t="e">
        <f>AND(#REF!,"AAAAAG43/ck=")</f>
        <v>#REF!</v>
      </c>
      <c r="GU68" t="e">
        <f>AND(#REF!,"AAAAAG43/co=")</f>
        <v>#REF!</v>
      </c>
      <c r="GV68" t="e">
        <f>AND(#REF!,"AAAAAG43/cs=")</f>
        <v>#REF!</v>
      </c>
      <c r="GW68" t="e">
        <f>AND(#REF!,"AAAAAG43/cw=")</f>
        <v>#REF!</v>
      </c>
      <c r="GX68" t="e">
        <f>AND(#REF!,"AAAAAG43/c0=")</f>
        <v>#REF!</v>
      </c>
      <c r="GY68" t="e">
        <f>AND(#REF!,"AAAAAG43/c4=")</f>
        <v>#REF!</v>
      </c>
      <c r="GZ68" t="e">
        <f>AND(#REF!,"AAAAAG43/c8=")</f>
        <v>#REF!</v>
      </c>
      <c r="HA68" t="e">
        <f>AND(#REF!,"AAAAAG43/dA=")</f>
        <v>#REF!</v>
      </c>
      <c r="HB68" t="e">
        <f>AND(#REF!,"AAAAAG43/dE=")</f>
        <v>#REF!</v>
      </c>
      <c r="HC68" t="e">
        <f>AND(#REF!,"AAAAAG43/dI=")</f>
        <v>#REF!</v>
      </c>
      <c r="HD68" t="e">
        <f>AND(#REF!,"AAAAAG43/dM=")</f>
        <v>#REF!</v>
      </c>
      <c r="HE68" t="e">
        <f>AND(#REF!,"AAAAAG43/dQ=")</f>
        <v>#REF!</v>
      </c>
      <c r="HF68" t="e">
        <f>AND(#REF!,"AAAAAG43/dU=")</f>
        <v>#REF!</v>
      </c>
      <c r="HG68" t="e">
        <f>AND(#REF!,"AAAAAG43/dY=")</f>
        <v>#REF!</v>
      </c>
      <c r="HH68" t="e">
        <f>AND(#REF!,"AAAAAG43/dc=")</f>
        <v>#REF!</v>
      </c>
      <c r="HI68" t="e">
        <f>AND(#REF!,"AAAAAG43/dg=")</f>
        <v>#REF!</v>
      </c>
      <c r="HJ68" t="e">
        <f>AND(#REF!,"AAAAAG43/dk=")</f>
        <v>#REF!</v>
      </c>
      <c r="HK68" t="e">
        <f>AND(#REF!,"AAAAAG43/do=")</f>
        <v>#REF!</v>
      </c>
      <c r="HL68" t="e">
        <f>AND(#REF!,"AAAAAG43/ds=")</f>
        <v>#REF!</v>
      </c>
      <c r="HM68" t="e">
        <f>AND(#REF!,"AAAAAG43/dw=")</f>
        <v>#REF!</v>
      </c>
      <c r="HN68" t="e">
        <f>AND(#REF!,"AAAAAG43/d0=")</f>
        <v>#REF!</v>
      </c>
      <c r="HO68" t="e">
        <f>AND(#REF!,"AAAAAG43/d4=")</f>
        <v>#REF!</v>
      </c>
      <c r="HP68" t="e">
        <f>AND(#REF!,"AAAAAG43/d8=")</f>
        <v>#REF!</v>
      </c>
      <c r="HQ68" t="e">
        <f>AND(#REF!,"AAAAAG43/eA=")</f>
        <v>#REF!</v>
      </c>
      <c r="HR68" t="e">
        <f>AND(#REF!,"AAAAAG43/eE=")</f>
        <v>#REF!</v>
      </c>
      <c r="HS68" t="e">
        <f>AND(#REF!,"AAAAAG43/eI=")</f>
        <v>#REF!</v>
      </c>
      <c r="HT68" t="e">
        <f>AND(#REF!,"AAAAAG43/eM=")</f>
        <v>#REF!</v>
      </c>
      <c r="HU68" t="e">
        <f>AND(#REF!,"AAAAAG43/eQ=")</f>
        <v>#REF!</v>
      </c>
      <c r="HV68" t="e">
        <f>AND(#REF!,"AAAAAG43/eU=")</f>
        <v>#REF!</v>
      </c>
      <c r="HW68" t="e">
        <f>AND(#REF!,"AAAAAG43/eY=")</f>
        <v>#REF!</v>
      </c>
      <c r="HX68" t="e">
        <f>AND(#REF!,"AAAAAG43/ec=")</f>
        <v>#REF!</v>
      </c>
      <c r="HY68" t="e">
        <f>AND(#REF!,"AAAAAG43/eg=")</f>
        <v>#REF!</v>
      </c>
      <c r="HZ68" t="e">
        <f>AND(#REF!,"AAAAAG43/ek=")</f>
        <v>#REF!</v>
      </c>
      <c r="IA68" t="e">
        <f>AND(#REF!,"AAAAAG43/eo=")</f>
        <v>#REF!</v>
      </c>
      <c r="IB68" t="e">
        <f>AND(#REF!,"AAAAAG43/es=")</f>
        <v>#REF!</v>
      </c>
      <c r="IC68" t="e">
        <f>AND(#REF!,"AAAAAG43/ew=")</f>
        <v>#REF!</v>
      </c>
      <c r="ID68" t="e">
        <f>AND(#REF!,"AAAAAG43/e0=")</f>
        <v>#REF!</v>
      </c>
      <c r="IE68" t="e">
        <f>AND(#REF!,"AAAAAG43/e4=")</f>
        <v>#REF!</v>
      </c>
      <c r="IF68" t="e">
        <f>AND(#REF!,"AAAAAG43/e8=")</f>
        <v>#REF!</v>
      </c>
      <c r="IG68" t="e">
        <f>AND(#REF!,"AAAAAG43/fA=")</f>
        <v>#REF!</v>
      </c>
      <c r="IH68" t="e">
        <f>AND(#REF!,"AAAAAG43/fE=")</f>
        <v>#REF!</v>
      </c>
      <c r="II68" t="e">
        <f>AND(#REF!,"AAAAAG43/fI=")</f>
        <v>#REF!</v>
      </c>
      <c r="IJ68" t="e">
        <f>AND(#REF!,"AAAAAG43/fM=")</f>
        <v>#REF!</v>
      </c>
      <c r="IK68" t="e">
        <f>AND(#REF!,"AAAAAG43/fQ=")</f>
        <v>#REF!</v>
      </c>
      <c r="IL68" t="e">
        <f>AND(#REF!,"AAAAAG43/fU=")</f>
        <v>#REF!</v>
      </c>
      <c r="IM68" t="e">
        <f>AND(#REF!,"AAAAAG43/fY=")</f>
        <v>#REF!</v>
      </c>
      <c r="IN68" t="e">
        <f>AND(#REF!,"AAAAAG43/fc=")</f>
        <v>#REF!</v>
      </c>
      <c r="IO68" t="e">
        <f>AND(#REF!,"AAAAAG43/fg=")</f>
        <v>#REF!</v>
      </c>
      <c r="IP68" t="e">
        <f>AND(#REF!,"AAAAAG43/fk=")</f>
        <v>#REF!</v>
      </c>
      <c r="IQ68" t="e">
        <f>AND(#REF!,"AAAAAG43/fo=")</f>
        <v>#REF!</v>
      </c>
      <c r="IR68" t="e">
        <f>AND(#REF!,"AAAAAG43/fs=")</f>
        <v>#REF!</v>
      </c>
      <c r="IS68" t="e">
        <f>AND(#REF!,"AAAAAG43/fw=")</f>
        <v>#REF!</v>
      </c>
      <c r="IT68" t="e">
        <f>AND(#REF!,"AAAAAG43/f0=")</f>
        <v>#REF!</v>
      </c>
      <c r="IU68" t="e">
        <f>AND(#REF!,"AAAAAG43/f4=")</f>
        <v>#REF!</v>
      </c>
      <c r="IV68" t="e">
        <f>AND(#REF!,"AAAAAG43/f8=")</f>
        <v>#REF!</v>
      </c>
    </row>
    <row r="69" spans="1:256">
      <c r="A69" t="e">
        <f>AND(#REF!,"AAAAAHt6aQA=")</f>
        <v>#REF!</v>
      </c>
      <c r="B69" t="e">
        <f>AND(#REF!,"AAAAAHt6aQE=")</f>
        <v>#REF!</v>
      </c>
      <c r="C69" t="e">
        <f>AND(#REF!,"AAAAAHt6aQI=")</f>
        <v>#REF!</v>
      </c>
      <c r="D69" t="e">
        <f>AND(#REF!,"AAAAAHt6aQM=")</f>
        <v>#REF!</v>
      </c>
      <c r="E69" t="e">
        <f>AND(#REF!,"AAAAAHt6aQQ=")</f>
        <v>#REF!</v>
      </c>
      <c r="F69" t="e">
        <f>AND(#REF!,"AAAAAHt6aQU=")</f>
        <v>#REF!</v>
      </c>
      <c r="G69" t="e">
        <f>AND(#REF!,"AAAAAHt6aQY=")</f>
        <v>#REF!</v>
      </c>
      <c r="H69" t="e">
        <f>AND(#REF!,"AAAAAHt6aQc=")</f>
        <v>#REF!</v>
      </c>
      <c r="I69" t="e">
        <f>AND(#REF!,"AAAAAHt6aQg=")</f>
        <v>#REF!</v>
      </c>
      <c r="J69" t="e">
        <f>AND(#REF!,"AAAAAHt6aQk=")</f>
        <v>#REF!</v>
      </c>
      <c r="K69" t="e">
        <f>AND(#REF!,"AAAAAHt6aQo=")</f>
        <v>#REF!</v>
      </c>
      <c r="L69" t="e">
        <f>AND(#REF!,"AAAAAHt6aQs=")</f>
        <v>#REF!</v>
      </c>
      <c r="M69" t="e">
        <f>AND(#REF!,"AAAAAHt6aQw=")</f>
        <v>#REF!</v>
      </c>
      <c r="N69" t="e">
        <f>AND(#REF!,"AAAAAHt6aQ0=")</f>
        <v>#REF!</v>
      </c>
      <c r="O69" t="e">
        <f>AND(#REF!,"AAAAAHt6aQ4=")</f>
        <v>#REF!</v>
      </c>
      <c r="P69" t="e">
        <f>AND(#REF!,"AAAAAHt6aQ8=")</f>
        <v>#REF!</v>
      </c>
      <c r="Q69" t="e">
        <f>AND(#REF!,"AAAAAHt6aRA=")</f>
        <v>#REF!</v>
      </c>
      <c r="R69" t="e">
        <f>AND(#REF!,"AAAAAHt6aRE=")</f>
        <v>#REF!</v>
      </c>
      <c r="S69" t="e">
        <f>AND(#REF!,"AAAAAHt6aRI=")</f>
        <v>#REF!</v>
      </c>
      <c r="T69" t="e">
        <f>AND(#REF!,"AAAAAHt6aRM=")</f>
        <v>#REF!</v>
      </c>
      <c r="U69" t="e">
        <f>AND(#REF!,"AAAAAHt6aRQ=")</f>
        <v>#REF!</v>
      </c>
      <c r="V69" t="e">
        <f>AND(#REF!,"AAAAAHt6aRU=")</f>
        <v>#REF!</v>
      </c>
      <c r="W69" t="e">
        <f>AND(#REF!,"AAAAAHt6aRY=")</f>
        <v>#REF!</v>
      </c>
      <c r="X69" t="e">
        <f>AND(#REF!,"AAAAAHt6aRc=")</f>
        <v>#REF!</v>
      </c>
      <c r="Y69" t="e">
        <f>AND(#REF!,"AAAAAHt6aRg=")</f>
        <v>#REF!</v>
      </c>
      <c r="Z69" t="e">
        <f>AND(#REF!,"AAAAAHt6aRk=")</f>
        <v>#REF!</v>
      </c>
      <c r="AA69" t="e">
        <f>AND(#REF!,"AAAAAHt6aRo=")</f>
        <v>#REF!</v>
      </c>
      <c r="AB69" t="e">
        <f>AND(#REF!,"AAAAAHt6aRs=")</f>
        <v>#REF!</v>
      </c>
      <c r="AC69" t="e">
        <f>AND(#REF!,"AAAAAHt6aRw=")</f>
        <v>#REF!</v>
      </c>
      <c r="AD69" t="e">
        <f>AND(#REF!,"AAAAAHt6aR0=")</f>
        <v>#REF!</v>
      </c>
      <c r="AE69" t="e">
        <f>AND(#REF!,"AAAAAHt6aR4=")</f>
        <v>#REF!</v>
      </c>
      <c r="AF69" t="e">
        <f>AND(#REF!,"AAAAAHt6aR8=")</f>
        <v>#REF!</v>
      </c>
      <c r="AG69" t="e">
        <f>AND(#REF!,"AAAAAHt6aSA=")</f>
        <v>#REF!</v>
      </c>
      <c r="AH69" t="e">
        <f>AND(#REF!,"AAAAAHt6aSE=")</f>
        <v>#REF!</v>
      </c>
      <c r="AI69" t="e">
        <f>AND(#REF!,"AAAAAHt6aSI=")</f>
        <v>#REF!</v>
      </c>
      <c r="AJ69" t="e">
        <f>AND(#REF!,"AAAAAHt6aSM=")</f>
        <v>#REF!</v>
      </c>
      <c r="AK69" t="e">
        <f>IF(#REF!,"AAAAAHt6aSQ=",0)</f>
        <v>#REF!</v>
      </c>
      <c r="AL69" t="e">
        <f>AND(#REF!,"AAAAAHt6aSU=")</f>
        <v>#REF!</v>
      </c>
      <c r="AM69" t="e">
        <f>AND(#REF!,"AAAAAHt6aSY=")</f>
        <v>#REF!</v>
      </c>
      <c r="AN69" t="e">
        <f>AND(#REF!,"AAAAAHt6aSc=")</f>
        <v>#REF!</v>
      </c>
      <c r="AO69" t="e">
        <f>AND(#REF!,"AAAAAHt6aSg=")</f>
        <v>#REF!</v>
      </c>
      <c r="AP69" t="e">
        <f>AND(#REF!,"AAAAAHt6aSk=")</f>
        <v>#REF!</v>
      </c>
      <c r="AQ69" t="e">
        <f>AND(#REF!,"AAAAAHt6aSo=")</f>
        <v>#REF!</v>
      </c>
      <c r="AR69" t="e">
        <f>AND(#REF!,"AAAAAHt6aSs=")</f>
        <v>#REF!</v>
      </c>
      <c r="AS69" t="e">
        <f>AND(#REF!,"AAAAAHt6aSw=")</f>
        <v>#REF!</v>
      </c>
      <c r="AT69" t="e">
        <f>AND(#REF!,"AAAAAHt6aS0=")</f>
        <v>#REF!</v>
      </c>
      <c r="AU69" t="e">
        <f>AND(#REF!,"AAAAAHt6aS4=")</f>
        <v>#REF!</v>
      </c>
      <c r="AV69" t="e">
        <f>AND(#REF!,"AAAAAHt6aS8=")</f>
        <v>#REF!</v>
      </c>
      <c r="AW69" t="e">
        <f>AND(#REF!,"AAAAAHt6aTA=")</f>
        <v>#REF!</v>
      </c>
      <c r="AX69" t="e">
        <f>AND(#REF!,"AAAAAHt6aTE=")</f>
        <v>#REF!</v>
      </c>
      <c r="AY69" t="e">
        <f>AND(#REF!,"AAAAAHt6aTI=")</f>
        <v>#REF!</v>
      </c>
      <c r="AZ69" t="e">
        <f>AND(#REF!,"AAAAAHt6aTM=")</f>
        <v>#REF!</v>
      </c>
      <c r="BA69" t="e">
        <f>AND(#REF!,"AAAAAHt6aTQ=")</f>
        <v>#REF!</v>
      </c>
      <c r="BB69" t="e">
        <f>AND(#REF!,"AAAAAHt6aTU=")</f>
        <v>#REF!</v>
      </c>
      <c r="BC69" t="e">
        <f>AND(#REF!,"AAAAAHt6aTY=")</f>
        <v>#REF!</v>
      </c>
      <c r="BD69" t="e">
        <f>AND(#REF!,"AAAAAHt6aTc=")</f>
        <v>#REF!</v>
      </c>
      <c r="BE69" t="e">
        <f>AND(#REF!,"AAAAAHt6aTg=")</f>
        <v>#REF!</v>
      </c>
      <c r="BF69" t="e">
        <f>AND(#REF!,"AAAAAHt6aTk=")</f>
        <v>#REF!</v>
      </c>
      <c r="BG69" t="e">
        <f>AND(#REF!,"AAAAAHt6aTo=")</f>
        <v>#REF!</v>
      </c>
      <c r="BH69" t="e">
        <f>AND(#REF!,"AAAAAHt6aTs=")</f>
        <v>#REF!</v>
      </c>
      <c r="BI69" t="e">
        <f>AND(#REF!,"AAAAAHt6aTw=")</f>
        <v>#REF!</v>
      </c>
      <c r="BJ69" t="e">
        <f>AND(#REF!,"AAAAAHt6aT0=")</f>
        <v>#REF!</v>
      </c>
      <c r="BK69" t="e">
        <f>AND(#REF!,"AAAAAHt6aT4=")</f>
        <v>#REF!</v>
      </c>
      <c r="BL69" t="e">
        <f>AND(#REF!,"AAAAAHt6aT8=")</f>
        <v>#REF!</v>
      </c>
      <c r="BM69" t="e">
        <f>AND(#REF!,"AAAAAHt6aUA=")</f>
        <v>#REF!</v>
      </c>
      <c r="BN69" t="e">
        <f>AND(#REF!,"AAAAAHt6aUE=")</f>
        <v>#REF!</v>
      </c>
      <c r="BO69" t="e">
        <f>AND(#REF!,"AAAAAHt6aUI=")</f>
        <v>#REF!</v>
      </c>
      <c r="BP69" t="e">
        <f>AND(#REF!,"AAAAAHt6aUM=")</f>
        <v>#REF!</v>
      </c>
      <c r="BQ69" t="e">
        <f>AND(#REF!,"AAAAAHt6aUQ=")</f>
        <v>#REF!</v>
      </c>
      <c r="BR69" t="e">
        <f>AND(#REF!,"AAAAAHt6aUU=")</f>
        <v>#REF!</v>
      </c>
      <c r="BS69" t="e">
        <f>AND(#REF!,"AAAAAHt6aUY=")</f>
        <v>#REF!</v>
      </c>
      <c r="BT69" t="e">
        <f>AND(#REF!,"AAAAAHt6aUc=")</f>
        <v>#REF!</v>
      </c>
      <c r="BU69" t="e">
        <f>AND(#REF!,"AAAAAHt6aUg=")</f>
        <v>#REF!</v>
      </c>
      <c r="BV69" t="e">
        <f>AND(#REF!,"AAAAAHt6aUk=")</f>
        <v>#REF!</v>
      </c>
      <c r="BW69" t="e">
        <f>AND(#REF!,"AAAAAHt6aUo=")</f>
        <v>#REF!</v>
      </c>
      <c r="BX69" t="e">
        <f>AND(#REF!,"AAAAAHt6aUs=")</f>
        <v>#REF!</v>
      </c>
      <c r="BY69" t="e">
        <f>AND(#REF!,"AAAAAHt6aUw=")</f>
        <v>#REF!</v>
      </c>
      <c r="BZ69" t="e">
        <f>AND(#REF!,"AAAAAHt6aU0=")</f>
        <v>#REF!</v>
      </c>
      <c r="CA69" t="e">
        <f>AND(#REF!,"AAAAAHt6aU4=")</f>
        <v>#REF!</v>
      </c>
      <c r="CB69" t="e">
        <f>AND(#REF!,"AAAAAHt6aU8=")</f>
        <v>#REF!</v>
      </c>
      <c r="CC69" t="e">
        <f>AND(#REF!,"AAAAAHt6aVA=")</f>
        <v>#REF!</v>
      </c>
      <c r="CD69" t="e">
        <f>AND(#REF!,"AAAAAHt6aVE=")</f>
        <v>#REF!</v>
      </c>
      <c r="CE69" t="e">
        <f>AND(#REF!,"AAAAAHt6aVI=")</f>
        <v>#REF!</v>
      </c>
      <c r="CF69" t="e">
        <f>AND(#REF!,"AAAAAHt6aVM=")</f>
        <v>#REF!</v>
      </c>
      <c r="CG69" t="e">
        <f>AND(#REF!,"AAAAAHt6aVQ=")</f>
        <v>#REF!</v>
      </c>
      <c r="CH69" t="e">
        <f>AND(#REF!,"AAAAAHt6aVU=")</f>
        <v>#REF!</v>
      </c>
      <c r="CI69" t="e">
        <f>AND(#REF!,"AAAAAHt6aVY=")</f>
        <v>#REF!</v>
      </c>
      <c r="CJ69" t="e">
        <f>AND(#REF!,"AAAAAHt6aVc=")</f>
        <v>#REF!</v>
      </c>
      <c r="CK69" t="e">
        <f>AND(#REF!,"AAAAAHt6aVg=")</f>
        <v>#REF!</v>
      </c>
      <c r="CL69" t="e">
        <f>AND(#REF!,"AAAAAHt6aVk=")</f>
        <v>#REF!</v>
      </c>
      <c r="CM69" t="e">
        <f>AND(#REF!,"AAAAAHt6aVo=")</f>
        <v>#REF!</v>
      </c>
      <c r="CN69" t="e">
        <f>AND(#REF!,"AAAAAHt6aVs=")</f>
        <v>#REF!</v>
      </c>
      <c r="CO69" t="e">
        <f>AND(#REF!,"AAAAAHt6aVw=")</f>
        <v>#REF!</v>
      </c>
      <c r="CP69" t="e">
        <f>AND(#REF!,"AAAAAHt6aV0=")</f>
        <v>#REF!</v>
      </c>
      <c r="CQ69" t="e">
        <f>AND(#REF!,"AAAAAHt6aV4=")</f>
        <v>#REF!</v>
      </c>
      <c r="CR69" t="e">
        <f>AND(#REF!,"AAAAAHt6aV8=")</f>
        <v>#REF!</v>
      </c>
      <c r="CS69" t="e">
        <f>AND(#REF!,"AAAAAHt6aWA=")</f>
        <v>#REF!</v>
      </c>
      <c r="CT69" t="e">
        <f>AND(#REF!,"AAAAAHt6aWE=")</f>
        <v>#REF!</v>
      </c>
      <c r="CU69" t="e">
        <f>AND(#REF!,"AAAAAHt6aWI=")</f>
        <v>#REF!</v>
      </c>
      <c r="CV69" t="e">
        <f>AND(#REF!,"AAAAAHt6aWM=")</f>
        <v>#REF!</v>
      </c>
      <c r="CW69" t="e">
        <f>AND(#REF!,"AAAAAHt6aWQ=")</f>
        <v>#REF!</v>
      </c>
      <c r="CX69" t="e">
        <f>AND(#REF!,"AAAAAHt6aWU=")</f>
        <v>#REF!</v>
      </c>
      <c r="CY69" t="e">
        <f>AND(#REF!,"AAAAAHt6aWY=")</f>
        <v>#REF!</v>
      </c>
      <c r="CZ69" t="e">
        <f>AND(#REF!,"AAAAAHt6aWc=")</f>
        <v>#REF!</v>
      </c>
      <c r="DA69" t="e">
        <f>AND(#REF!,"AAAAAHt6aWg=")</f>
        <v>#REF!</v>
      </c>
      <c r="DB69" t="e">
        <f>AND(#REF!,"AAAAAHt6aWk=")</f>
        <v>#REF!</v>
      </c>
      <c r="DC69" t="e">
        <f>AND(#REF!,"AAAAAHt6aWo=")</f>
        <v>#REF!</v>
      </c>
      <c r="DD69" t="e">
        <f>AND(#REF!,"AAAAAHt6aWs=")</f>
        <v>#REF!</v>
      </c>
      <c r="DE69" t="e">
        <f>AND(#REF!,"AAAAAHt6aWw=")</f>
        <v>#REF!</v>
      </c>
      <c r="DF69" t="e">
        <f>AND(#REF!,"AAAAAHt6aW0=")</f>
        <v>#REF!</v>
      </c>
      <c r="DG69" t="e">
        <f>AND(#REF!,"AAAAAHt6aW4=")</f>
        <v>#REF!</v>
      </c>
      <c r="DH69" t="e">
        <f>AND(#REF!,"AAAAAHt6aW8=")</f>
        <v>#REF!</v>
      </c>
      <c r="DI69" t="e">
        <f>AND(#REF!,"AAAAAHt6aXA=")</f>
        <v>#REF!</v>
      </c>
      <c r="DJ69" t="e">
        <f>AND(#REF!,"AAAAAHt6aXE=")</f>
        <v>#REF!</v>
      </c>
      <c r="DK69" t="e">
        <f>AND(#REF!,"AAAAAHt6aXI=")</f>
        <v>#REF!</v>
      </c>
      <c r="DL69" t="e">
        <f>AND(#REF!,"AAAAAHt6aXM=")</f>
        <v>#REF!</v>
      </c>
      <c r="DM69" t="e">
        <f>AND(#REF!,"AAAAAHt6aXQ=")</f>
        <v>#REF!</v>
      </c>
      <c r="DN69" t="e">
        <f>AND(#REF!,"AAAAAHt6aXU=")</f>
        <v>#REF!</v>
      </c>
      <c r="DO69" t="e">
        <f>AND(#REF!,"AAAAAHt6aXY=")</f>
        <v>#REF!</v>
      </c>
      <c r="DP69" t="e">
        <f>AND(#REF!,"AAAAAHt6aXc=")</f>
        <v>#REF!</v>
      </c>
      <c r="DQ69" t="e">
        <f>AND(#REF!,"AAAAAHt6aXg=")</f>
        <v>#REF!</v>
      </c>
      <c r="DR69" t="e">
        <f>AND(#REF!,"AAAAAHt6aXk=")</f>
        <v>#REF!</v>
      </c>
      <c r="DS69" t="e">
        <f>AND(#REF!,"AAAAAHt6aXo=")</f>
        <v>#REF!</v>
      </c>
      <c r="DT69" t="e">
        <f>AND(#REF!,"AAAAAHt6aXs=")</f>
        <v>#REF!</v>
      </c>
      <c r="DU69" t="e">
        <f>AND(#REF!,"AAAAAHt6aXw=")</f>
        <v>#REF!</v>
      </c>
      <c r="DV69" t="e">
        <f>AND(#REF!,"AAAAAHt6aX0=")</f>
        <v>#REF!</v>
      </c>
      <c r="DW69" t="e">
        <f>AND(#REF!,"AAAAAHt6aX4=")</f>
        <v>#REF!</v>
      </c>
      <c r="DX69" t="e">
        <f>AND(#REF!,"AAAAAHt6aX8=")</f>
        <v>#REF!</v>
      </c>
      <c r="DY69" t="e">
        <f>AND(#REF!,"AAAAAHt6aYA=")</f>
        <v>#REF!</v>
      </c>
      <c r="DZ69" t="e">
        <f>AND(#REF!,"AAAAAHt6aYE=")</f>
        <v>#REF!</v>
      </c>
      <c r="EA69" t="e">
        <f>AND(#REF!,"AAAAAHt6aYI=")</f>
        <v>#REF!</v>
      </c>
      <c r="EB69" t="e">
        <f>AND(#REF!,"AAAAAHt6aYM=")</f>
        <v>#REF!</v>
      </c>
      <c r="EC69" t="e">
        <f>AND(#REF!,"AAAAAHt6aYQ=")</f>
        <v>#REF!</v>
      </c>
      <c r="ED69" t="e">
        <f>AND(#REF!,"AAAAAHt6aYU=")</f>
        <v>#REF!</v>
      </c>
      <c r="EE69" t="e">
        <f>AND(#REF!,"AAAAAHt6aYY=")</f>
        <v>#REF!</v>
      </c>
      <c r="EF69" t="e">
        <f>AND(#REF!,"AAAAAHt6aYc=")</f>
        <v>#REF!</v>
      </c>
      <c r="EG69" t="e">
        <f>AND(#REF!,"AAAAAHt6aYg=")</f>
        <v>#REF!</v>
      </c>
      <c r="EH69" t="e">
        <f>AND(#REF!,"AAAAAHt6aYk=")</f>
        <v>#REF!</v>
      </c>
      <c r="EI69" t="e">
        <f>AND(#REF!,"AAAAAHt6aYo=")</f>
        <v>#REF!</v>
      </c>
      <c r="EJ69" t="e">
        <f>AND(#REF!,"AAAAAHt6aYs=")</f>
        <v>#REF!</v>
      </c>
      <c r="EK69" t="e">
        <f>AND(#REF!,"AAAAAHt6aYw=")</f>
        <v>#REF!</v>
      </c>
      <c r="EL69" t="e">
        <f>AND(#REF!,"AAAAAHt6aY0=")</f>
        <v>#REF!</v>
      </c>
      <c r="EM69" t="e">
        <f>AND(#REF!,"AAAAAHt6aY4=")</f>
        <v>#REF!</v>
      </c>
      <c r="EN69" t="e">
        <f>AND(#REF!,"AAAAAHt6aY8=")</f>
        <v>#REF!</v>
      </c>
      <c r="EO69" t="e">
        <f>AND(#REF!,"AAAAAHt6aZA=")</f>
        <v>#REF!</v>
      </c>
      <c r="EP69" t="e">
        <f>AND(#REF!,"AAAAAHt6aZE=")</f>
        <v>#REF!</v>
      </c>
      <c r="EQ69" t="e">
        <f>AND(#REF!,"AAAAAHt6aZI=")</f>
        <v>#REF!</v>
      </c>
      <c r="ER69" t="e">
        <f>AND(#REF!,"AAAAAHt6aZM=")</f>
        <v>#REF!</v>
      </c>
      <c r="ES69" t="e">
        <f>AND(#REF!,"AAAAAHt6aZQ=")</f>
        <v>#REF!</v>
      </c>
      <c r="ET69" t="e">
        <f>AND(#REF!,"AAAAAHt6aZU=")</f>
        <v>#REF!</v>
      </c>
      <c r="EU69" t="e">
        <f>AND(#REF!,"AAAAAHt6aZY=")</f>
        <v>#REF!</v>
      </c>
      <c r="EV69" t="e">
        <f>AND(#REF!,"AAAAAHt6aZc=")</f>
        <v>#REF!</v>
      </c>
      <c r="EW69" t="e">
        <f>AND(#REF!,"AAAAAHt6aZg=")</f>
        <v>#REF!</v>
      </c>
      <c r="EX69" t="e">
        <f>AND(#REF!,"AAAAAHt6aZk=")</f>
        <v>#REF!</v>
      </c>
      <c r="EY69" t="e">
        <f>AND(#REF!,"AAAAAHt6aZo=")</f>
        <v>#REF!</v>
      </c>
      <c r="EZ69" t="e">
        <f>AND(#REF!,"AAAAAHt6aZs=")</f>
        <v>#REF!</v>
      </c>
      <c r="FA69" t="e">
        <f>AND(#REF!,"AAAAAHt6aZw=")</f>
        <v>#REF!</v>
      </c>
      <c r="FB69" t="e">
        <f>IF(#REF!,"AAAAAHt6aZ0=",0)</f>
        <v>#REF!</v>
      </c>
      <c r="FC69" t="e">
        <f>AND(#REF!,"AAAAAHt6aZ4=")</f>
        <v>#REF!</v>
      </c>
      <c r="FD69" t="e">
        <f>AND(#REF!,"AAAAAHt6aZ8=")</f>
        <v>#REF!</v>
      </c>
      <c r="FE69" t="e">
        <f>AND(#REF!,"AAAAAHt6aaA=")</f>
        <v>#REF!</v>
      </c>
      <c r="FF69" t="e">
        <f>AND(#REF!,"AAAAAHt6aaE=")</f>
        <v>#REF!</v>
      </c>
      <c r="FG69" t="e">
        <f>AND(#REF!,"AAAAAHt6aaI=")</f>
        <v>#REF!</v>
      </c>
      <c r="FH69" t="e">
        <f>AND(#REF!,"AAAAAHt6aaM=")</f>
        <v>#REF!</v>
      </c>
      <c r="FI69" t="e">
        <f>AND(#REF!,"AAAAAHt6aaQ=")</f>
        <v>#REF!</v>
      </c>
      <c r="FJ69" t="e">
        <f>AND(#REF!,"AAAAAHt6aaU=")</f>
        <v>#REF!</v>
      </c>
      <c r="FK69" t="e">
        <f>AND(#REF!,"AAAAAHt6aaY=")</f>
        <v>#REF!</v>
      </c>
      <c r="FL69" t="e">
        <f>AND(#REF!,"AAAAAHt6aac=")</f>
        <v>#REF!</v>
      </c>
      <c r="FM69" t="e">
        <f>AND(#REF!,"AAAAAHt6aag=")</f>
        <v>#REF!</v>
      </c>
      <c r="FN69" t="e">
        <f>AND(#REF!,"AAAAAHt6aak=")</f>
        <v>#REF!</v>
      </c>
      <c r="FO69" t="e">
        <f>AND(#REF!,"AAAAAHt6aao=")</f>
        <v>#REF!</v>
      </c>
      <c r="FP69" t="e">
        <f>AND(#REF!,"AAAAAHt6aas=")</f>
        <v>#REF!</v>
      </c>
      <c r="FQ69" t="e">
        <f>AND(#REF!,"AAAAAHt6aaw=")</f>
        <v>#REF!</v>
      </c>
      <c r="FR69" t="e">
        <f>AND(#REF!,"AAAAAHt6aa0=")</f>
        <v>#REF!</v>
      </c>
      <c r="FS69" t="e">
        <f>AND(#REF!,"AAAAAHt6aa4=")</f>
        <v>#REF!</v>
      </c>
      <c r="FT69" t="e">
        <f>AND(#REF!,"AAAAAHt6aa8=")</f>
        <v>#REF!</v>
      </c>
      <c r="FU69" t="e">
        <f>AND(#REF!,"AAAAAHt6abA=")</f>
        <v>#REF!</v>
      </c>
      <c r="FV69" t="e">
        <f>AND(#REF!,"AAAAAHt6abE=")</f>
        <v>#REF!</v>
      </c>
      <c r="FW69" t="e">
        <f>AND(#REF!,"AAAAAHt6abI=")</f>
        <v>#REF!</v>
      </c>
      <c r="FX69" t="e">
        <f>AND(#REF!,"AAAAAHt6abM=")</f>
        <v>#REF!</v>
      </c>
      <c r="FY69" t="e">
        <f>AND(#REF!,"AAAAAHt6abQ=")</f>
        <v>#REF!</v>
      </c>
      <c r="FZ69" t="e">
        <f>AND(#REF!,"AAAAAHt6abU=")</f>
        <v>#REF!</v>
      </c>
      <c r="GA69" t="e">
        <f>AND(#REF!,"AAAAAHt6abY=")</f>
        <v>#REF!</v>
      </c>
      <c r="GB69" t="e">
        <f>AND(#REF!,"AAAAAHt6abc=")</f>
        <v>#REF!</v>
      </c>
      <c r="GC69" t="e">
        <f>AND(#REF!,"AAAAAHt6abg=")</f>
        <v>#REF!</v>
      </c>
      <c r="GD69" t="e">
        <f>AND(#REF!,"AAAAAHt6abk=")</f>
        <v>#REF!</v>
      </c>
      <c r="GE69" t="e">
        <f>AND(#REF!,"AAAAAHt6abo=")</f>
        <v>#REF!</v>
      </c>
      <c r="GF69" t="e">
        <f>AND(#REF!,"AAAAAHt6abs=")</f>
        <v>#REF!</v>
      </c>
      <c r="GG69" t="e">
        <f>AND(#REF!,"AAAAAHt6abw=")</f>
        <v>#REF!</v>
      </c>
      <c r="GH69" t="e">
        <f>AND(#REF!,"AAAAAHt6ab0=")</f>
        <v>#REF!</v>
      </c>
      <c r="GI69" t="e">
        <f>AND(#REF!,"AAAAAHt6ab4=")</f>
        <v>#REF!</v>
      </c>
      <c r="GJ69" t="e">
        <f>AND(#REF!,"AAAAAHt6ab8=")</f>
        <v>#REF!</v>
      </c>
      <c r="GK69" t="e">
        <f>AND(#REF!,"AAAAAHt6acA=")</f>
        <v>#REF!</v>
      </c>
      <c r="GL69" t="e">
        <f>AND(#REF!,"AAAAAHt6acE=")</f>
        <v>#REF!</v>
      </c>
      <c r="GM69" t="e">
        <f>AND(#REF!,"AAAAAHt6acI=")</f>
        <v>#REF!</v>
      </c>
      <c r="GN69" t="e">
        <f>AND(#REF!,"AAAAAHt6acM=")</f>
        <v>#REF!</v>
      </c>
      <c r="GO69" t="e">
        <f>AND(#REF!,"AAAAAHt6acQ=")</f>
        <v>#REF!</v>
      </c>
      <c r="GP69" t="e">
        <f>AND(#REF!,"AAAAAHt6acU=")</f>
        <v>#REF!</v>
      </c>
      <c r="GQ69" t="e">
        <f>AND(#REF!,"AAAAAHt6acY=")</f>
        <v>#REF!</v>
      </c>
      <c r="GR69" t="e">
        <f>AND(#REF!,"AAAAAHt6acc=")</f>
        <v>#REF!</v>
      </c>
      <c r="GS69" t="e">
        <f>AND(#REF!,"AAAAAHt6acg=")</f>
        <v>#REF!</v>
      </c>
      <c r="GT69" t="e">
        <f>AND(#REF!,"AAAAAHt6ack=")</f>
        <v>#REF!</v>
      </c>
      <c r="GU69" t="e">
        <f>AND(#REF!,"AAAAAHt6aco=")</f>
        <v>#REF!</v>
      </c>
      <c r="GV69" t="e">
        <f>AND(#REF!,"AAAAAHt6acs=")</f>
        <v>#REF!</v>
      </c>
      <c r="GW69" t="e">
        <f>AND(#REF!,"AAAAAHt6acw=")</f>
        <v>#REF!</v>
      </c>
      <c r="GX69" t="e">
        <f>AND(#REF!,"AAAAAHt6ac0=")</f>
        <v>#REF!</v>
      </c>
      <c r="GY69" t="e">
        <f>AND(#REF!,"AAAAAHt6ac4=")</f>
        <v>#REF!</v>
      </c>
      <c r="GZ69" t="e">
        <f>AND(#REF!,"AAAAAHt6ac8=")</f>
        <v>#REF!</v>
      </c>
      <c r="HA69" t="e">
        <f>AND(#REF!,"AAAAAHt6adA=")</f>
        <v>#REF!</v>
      </c>
      <c r="HB69" t="e">
        <f>AND(#REF!,"AAAAAHt6adE=")</f>
        <v>#REF!</v>
      </c>
      <c r="HC69" t="e">
        <f>AND(#REF!,"AAAAAHt6adI=")</f>
        <v>#REF!</v>
      </c>
      <c r="HD69" t="e">
        <f>AND(#REF!,"AAAAAHt6adM=")</f>
        <v>#REF!</v>
      </c>
      <c r="HE69" t="e">
        <f>AND(#REF!,"AAAAAHt6adQ=")</f>
        <v>#REF!</v>
      </c>
      <c r="HF69" t="e">
        <f>AND(#REF!,"AAAAAHt6adU=")</f>
        <v>#REF!</v>
      </c>
      <c r="HG69" t="e">
        <f>AND(#REF!,"AAAAAHt6adY=")</f>
        <v>#REF!</v>
      </c>
      <c r="HH69" t="e">
        <f>AND(#REF!,"AAAAAHt6adc=")</f>
        <v>#REF!</v>
      </c>
      <c r="HI69" t="e">
        <f>AND(#REF!,"AAAAAHt6adg=")</f>
        <v>#REF!</v>
      </c>
      <c r="HJ69" t="e">
        <f>AND(#REF!,"AAAAAHt6adk=")</f>
        <v>#REF!</v>
      </c>
      <c r="HK69" t="e">
        <f>AND(#REF!,"AAAAAHt6ado=")</f>
        <v>#REF!</v>
      </c>
      <c r="HL69" t="e">
        <f>AND(#REF!,"AAAAAHt6ads=")</f>
        <v>#REF!</v>
      </c>
      <c r="HM69" t="e">
        <f>AND(#REF!,"AAAAAHt6adw=")</f>
        <v>#REF!</v>
      </c>
      <c r="HN69" t="e">
        <f>AND(#REF!,"AAAAAHt6ad0=")</f>
        <v>#REF!</v>
      </c>
      <c r="HO69" t="e">
        <f>AND(#REF!,"AAAAAHt6ad4=")</f>
        <v>#REF!</v>
      </c>
      <c r="HP69" t="e">
        <f>AND(#REF!,"AAAAAHt6ad8=")</f>
        <v>#REF!</v>
      </c>
      <c r="HQ69" t="e">
        <f>AND(#REF!,"AAAAAHt6aeA=")</f>
        <v>#REF!</v>
      </c>
      <c r="HR69" t="e">
        <f>AND(#REF!,"AAAAAHt6aeE=")</f>
        <v>#REF!</v>
      </c>
      <c r="HS69" t="e">
        <f>AND(#REF!,"AAAAAHt6aeI=")</f>
        <v>#REF!</v>
      </c>
      <c r="HT69" t="e">
        <f>AND(#REF!,"AAAAAHt6aeM=")</f>
        <v>#REF!</v>
      </c>
      <c r="HU69" t="e">
        <f>AND(#REF!,"AAAAAHt6aeQ=")</f>
        <v>#REF!</v>
      </c>
      <c r="HV69" t="e">
        <f>AND(#REF!,"AAAAAHt6aeU=")</f>
        <v>#REF!</v>
      </c>
      <c r="HW69" t="e">
        <f>AND(#REF!,"AAAAAHt6aeY=")</f>
        <v>#REF!</v>
      </c>
      <c r="HX69" t="e">
        <f>AND(#REF!,"AAAAAHt6aec=")</f>
        <v>#REF!</v>
      </c>
      <c r="HY69" t="e">
        <f>AND(#REF!,"AAAAAHt6aeg=")</f>
        <v>#REF!</v>
      </c>
      <c r="HZ69" t="e">
        <f>AND(#REF!,"AAAAAHt6aek=")</f>
        <v>#REF!</v>
      </c>
      <c r="IA69" t="e">
        <f>AND(#REF!,"AAAAAHt6aeo=")</f>
        <v>#REF!</v>
      </c>
      <c r="IB69" t="e">
        <f>AND(#REF!,"AAAAAHt6aes=")</f>
        <v>#REF!</v>
      </c>
      <c r="IC69" t="e">
        <f>AND(#REF!,"AAAAAHt6aew=")</f>
        <v>#REF!</v>
      </c>
      <c r="ID69" t="e">
        <f>AND(#REF!,"AAAAAHt6ae0=")</f>
        <v>#REF!</v>
      </c>
      <c r="IE69" t="e">
        <f>AND(#REF!,"AAAAAHt6ae4=")</f>
        <v>#REF!</v>
      </c>
      <c r="IF69" t="e">
        <f>AND(#REF!,"AAAAAHt6ae8=")</f>
        <v>#REF!</v>
      </c>
      <c r="IG69" t="e">
        <f>AND(#REF!,"AAAAAHt6afA=")</f>
        <v>#REF!</v>
      </c>
      <c r="IH69" t="e">
        <f>AND(#REF!,"AAAAAHt6afE=")</f>
        <v>#REF!</v>
      </c>
      <c r="II69" t="e">
        <f>AND(#REF!,"AAAAAHt6afI=")</f>
        <v>#REF!</v>
      </c>
      <c r="IJ69" t="e">
        <f>AND(#REF!,"AAAAAHt6afM=")</f>
        <v>#REF!</v>
      </c>
      <c r="IK69" t="e">
        <f>AND(#REF!,"AAAAAHt6afQ=")</f>
        <v>#REF!</v>
      </c>
      <c r="IL69" t="e">
        <f>AND(#REF!,"AAAAAHt6afU=")</f>
        <v>#REF!</v>
      </c>
      <c r="IM69" t="e">
        <f>AND(#REF!,"AAAAAHt6afY=")</f>
        <v>#REF!</v>
      </c>
      <c r="IN69" t="e">
        <f>AND(#REF!,"AAAAAHt6afc=")</f>
        <v>#REF!</v>
      </c>
      <c r="IO69" t="e">
        <f>AND(#REF!,"AAAAAHt6afg=")</f>
        <v>#REF!</v>
      </c>
      <c r="IP69" t="e">
        <f>AND(#REF!,"AAAAAHt6afk=")</f>
        <v>#REF!</v>
      </c>
      <c r="IQ69" t="e">
        <f>AND(#REF!,"AAAAAHt6afo=")</f>
        <v>#REF!</v>
      </c>
      <c r="IR69" t="e">
        <f>AND(#REF!,"AAAAAHt6afs=")</f>
        <v>#REF!</v>
      </c>
      <c r="IS69" t="e">
        <f>AND(#REF!,"AAAAAHt6afw=")</f>
        <v>#REF!</v>
      </c>
      <c r="IT69" t="e">
        <f>AND(#REF!,"AAAAAHt6af0=")</f>
        <v>#REF!</v>
      </c>
      <c r="IU69" t="e">
        <f>AND(#REF!,"AAAAAHt6af4=")</f>
        <v>#REF!</v>
      </c>
      <c r="IV69" t="e">
        <f>AND(#REF!,"AAAAAHt6af8=")</f>
        <v>#REF!</v>
      </c>
    </row>
    <row r="70" spans="1:256">
      <c r="A70" t="e">
        <f>AND(#REF!,"AAAAAFvvfgA=")</f>
        <v>#REF!</v>
      </c>
      <c r="B70" t="e">
        <f>AND(#REF!,"AAAAAFvvfgE=")</f>
        <v>#REF!</v>
      </c>
      <c r="C70" t="e">
        <f>AND(#REF!,"AAAAAFvvfgI=")</f>
        <v>#REF!</v>
      </c>
      <c r="D70" t="e">
        <f>AND(#REF!,"AAAAAFvvfgM=")</f>
        <v>#REF!</v>
      </c>
      <c r="E70" t="e">
        <f>AND(#REF!,"AAAAAFvvfgQ=")</f>
        <v>#REF!</v>
      </c>
      <c r="F70" t="e">
        <f>AND(#REF!,"AAAAAFvvfgU=")</f>
        <v>#REF!</v>
      </c>
      <c r="G70" t="e">
        <f>AND(#REF!,"AAAAAFvvfgY=")</f>
        <v>#REF!</v>
      </c>
      <c r="H70" t="e">
        <f>AND(#REF!,"AAAAAFvvfgc=")</f>
        <v>#REF!</v>
      </c>
      <c r="I70" t="e">
        <f>AND(#REF!,"AAAAAFvvfgg=")</f>
        <v>#REF!</v>
      </c>
      <c r="J70" t="e">
        <f>AND(#REF!,"AAAAAFvvfgk=")</f>
        <v>#REF!</v>
      </c>
      <c r="K70" t="e">
        <f>AND(#REF!,"AAAAAFvvfgo=")</f>
        <v>#REF!</v>
      </c>
      <c r="L70" t="e">
        <f>AND(#REF!,"AAAAAFvvfgs=")</f>
        <v>#REF!</v>
      </c>
      <c r="M70" t="e">
        <f>AND(#REF!,"AAAAAFvvfgw=")</f>
        <v>#REF!</v>
      </c>
      <c r="N70" t="e">
        <f>AND(#REF!,"AAAAAFvvfg0=")</f>
        <v>#REF!</v>
      </c>
      <c r="O70" t="e">
        <f>AND(#REF!,"AAAAAFvvfg4=")</f>
        <v>#REF!</v>
      </c>
      <c r="P70" t="e">
        <f>AND(#REF!,"AAAAAFvvfg8=")</f>
        <v>#REF!</v>
      </c>
      <c r="Q70" t="e">
        <f>AND(#REF!,"AAAAAFvvfhA=")</f>
        <v>#REF!</v>
      </c>
      <c r="R70" t="e">
        <f>AND(#REF!,"AAAAAFvvfhE=")</f>
        <v>#REF!</v>
      </c>
      <c r="S70" t="e">
        <f>AND(#REF!,"AAAAAFvvfhI=")</f>
        <v>#REF!</v>
      </c>
      <c r="T70" t="e">
        <f>AND(#REF!,"AAAAAFvvfhM=")</f>
        <v>#REF!</v>
      </c>
      <c r="U70" t="e">
        <f>AND(#REF!,"AAAAAFvvfhQ=")</f>
        <v>#REF!</v>
      </c>
      <c r="V70" t="e">
        <f>AND(#REF!,"AAAAAFvvfhU=")</f>
        <v>#REF!</v>
      </c>
      <c r="W70" t="e">
        <f>IF(#REF!,"AAAAAFvvfhY=",0)</f>
        <v>#REF!</v>
      </c>
      <c r="X70" t="e">
        <f>AND(#REF!,"AAAAAFvvfhc=")</f>
        <v>#REF!</v>
      </c>
      <c r="Y70" t="e">
        <f>AND(#REF!,"AAAAAFvvfhg=")</f>
        <v>#REF!</v>
      </c>
      <c r="Z70" t="e">
        <f>AND(#REF!,"AAAAAFvvfhk=")</f>
        <v>#REF!</v>
      </c>
      <c r="AA70" t="e">
        <f>AND(#REF!,"AAAAAFvvfho=")</f>
        <v>#REF!</v>
      </c>
      <c r="AB70" t="e">
        <f>AND(#REF!,"AAAAAFvvfhs=")</f>
        <v>#REF!</v>
      </c>
      <c r="AC70" t="e">
        <f>AND(#REF!,"AAAAAFvvfhw=")</f>
        <v>#REF!</v>
      </c>
      <c r="AD70" t="e">
        <f>AND(#REF!,"AAAAAFvvfh0=")</f>
        <v>#REF!</v>
      </c>
      <c r="AE70" t="e">
        <f>AND(#REF!,"AAAAAFvvfh4=")</f>
        <v>#REF!</v>
      </c>
      <c r="AF70" t="e">
        <f>AND(#REF!,"AAAAAFvvfh8=")</f>
        <v>#REF!</v>
      </c>
      <c r="AG70" t="e">
        <f>AND(#REF!,"AAAAAFvvfiA=")</f>
        <v>#REF!</v>
      </c>
      <c r="AH70" t="e">
        <f>AND(#REF!,"AAAAAFvvfiE=")</f>
        <v>#REF!</v>
      </c>
      <c r="AI70" t="e">
        <f>AND(#REF!,"AAAAAFvvfiI=")</f>
        <v>#REF!</v>
      </c>
      <c r="AJ70" t="e">
        <f>AND(#REF!,"AAAAAFvvfiM=")</f>
        <v>#REF!</v>
      </c>
      <c r="AK70" t="e">
        <f>AND(#REF!,"AAAAAFvvfiQ=")</f>
        <v>#REF!</v>
      </c>
      <c r="AL70" t="e">
        <f>AND(#REF!,"AAAAAFvvfiU=")</f>
        <v>#REF!</v>
      </c>
      <c r="AM70" t="e">
        <f>AND(#REF!,"AAAAAFvvfiY=")</f>
        <v>#REF!</v>
      </c>
      <c r="AN70" t="e">
        <f>AND(#REF!,"AAAAAFvvfic=")</f>
        <v>#REF!</v>
      </c>
      <c r="AO70" t="e">
        <f>AND(#REF!,"AAAAAFvvfig=")</f>
        <v>#REF!</v>
      </c>
      <c r="AP70" t="e">
        <f>AND(#REF!,"AAAAAFvvfik=")</f>
        <v>#REF!</v>
      </c>
      <c r="AQ70" t="e">
        <f>AND(#REF!,"AAAAAFvvfio=")</f>
        <v>#REF!</v>
      </c>
      <c r="AR70" t="e">
        <f>AND(#REF!,"AAAAAFvvfis=")</f>
        <v>#REF!</v>
      </c>
      <c r="AS70" t="e">
        <f>AND(#REF!,"AAAAAFvvfiw=")</f>
        <v>#REF!</v>
      </c>
      <c r="AT70" t="e">
        <f>AND(#REF!,"AAAAAFvvfi0=")</f>
        <v>#REF!</v>
      </c>
      <c r="AU70" t="e">
        <f>AND(#REF!,"AAAAAFvvfi4=")</f>
        <v>#REF!</v>
      </c>
      <c r="AV70" t="e">
        <f>AND(#REF!,"AAAAAFvvfi8=")</f>
        <v>#REF!</v>
      </c>
      <c r="AW70" t="e">
        <f>AND(#REF!,"AAAAAFvvfjA=")</f>
        <v>#REF!</v>
      </c>
      <c r="AX70" t="e">
        <f>AND(#REF!,"AAAAAFvvfjE=")</f>
        <v>#REF!</v>
      </c>
      <c r="AY70" t="e">
        <f>AND(#REF!,"AAAAAFvvfjI=")</f>
        <v>#REF!</v>
      </c>
      <c r="AZ70" t="e">
        <f>AND(#REF!,"AAAAAFvvfjM=")</f>
        <v>#REF!</v>
      </c>
      <c r="BA70" t="e">
        <f>AND(#REF!,"AAAAAFvvfjQ=")</f>
        <v>#REF!</v>
      </c>
      <c r="BB70" t="e">
        <f>AND(#REF!,"AAAAAFvvfjU=")</f>
        <v>#REF!</v>
      </c>
      <c r="BC70" t="e">
        <f>AND(#REF!,"AAAAAFvvfjY=")</f>
        <v>#REF!</v>
      </c>
      <c r="BD70" t="e">
        <f>AND(#REF!,"AAAAAFvvfjc=")</f>
        <v>#REF!</v>
      </c>
      <c r="BE70" t="e">
        <f>AND(#REF!,"AAAAAFvvfjg=")</f>
        <v>#REF!</v>
      </c>
      <c r="BF70" t="e">
        <f>AND(#REF!,"AAAAAFvvfjk=")</f>
        <v>#REF!</v>
      </c>
      <c r="BG70" t="e">
        <f>AND(#REF!,"AAAAAFvvfjo=")</f>
        <v>#REF!</v>
      </c>
      <c r="BH70" t="e">
        <f>AND(#REF!,"AAAAAFvvfjs=")</f>
        <v>#REF!</v>
      </c>
      <c r="BI70" t="e">
        <f>AND(#REF!,"AAAAAFvvfjw=")</f>
        <v>#REF!</v>
      </c>
      <c r="BJ70" t="e">
        <f>AND(#REF!,"AAAAAFvvfj0=")</f>
        <v>#REF!</v>
      </c>
      <c r="BK70" t="e">
        <f>AND(#REF!,"AAAAAFvvfj4=")</f>
        <v>#REF!</v>
      </c>
      <c r="BL70" t="e">
        <f>AND(#REF!,"AAAAAFvvfj8=")</f>
        <v>#REF!</v>
      </c>
      <c r="BM70" t="e">
        <f>AND(#REF!,"AAAAAFvvfkA=")</f>
        <v>#REF!</v>
      </c>
      <c r="BN70" t="e">
        <f>AND(#REF!,"AAAAAFvvfkE=")</f>
        <v>#REF!</v>
      </c>
      <c r="BO70" t="e">
        <f>AND(#REF!,"AAAAAFvvfkI=")</f>
        <v>#REF!</v>
      </c>
      <c r="BP70" t="e">
        <f>AND(#REF!,"AAAAAFvvfkM=")</f>
        <v>#REF!</v>
      </c>
      <c r="BQ70" t="e">
        <f>AND(#REF!,"AAAAAFvvfkQ=")</f>
        <v>#REF!</v>
      </c>
      <c r="BR70" t="e">
        <f>AND(#REF!,"AAAAAFvvfkU=")</f>
        <v>#REF!</v>
      </c>
      <c r="BS70" t="e">
        <f>AND(#REF!,"AAAAAFvvfkY=")</f>
        <v>#REF!</v>
      </c>
      <c r="BT70" t="e">
        <f>AND(#REF!,"AAAAAFvvfkc=")</f>
        <v>#REF!</v>
      </c>
      <c r="BU70" t="e">
        <f>AND(#REF!,"AAAAAFvvfkg=")</f>
        <v>#REF!</v>
      </c>
      <c r="BV70" t="e">
        <f>AND(#REF!,"AAAAAFvvfkk=")</f>
        <v>#REF!</v>
      </c>
      <c r="BW70" t="e">
        <f>AND(#REF!,"AAAAAFvvfko=")</f>
        <v>#REF!</v>
      </c>
      <c r="BX70" t="e">
        <f>AND(#REF!,"AAAAAFvvfks=")</f>
        <v>#REF!</v>
      </c>
      <c r="BY70" t="e">
        <f>AND(#REF!,"AAAAAFvvfkw=")</f>
        <v>#REF!</v>
      </c>
      <c r="BZ70" t="e">
        <f>AND(#REF!,"AAAAAFvvfk0=")</f>
        <v>#REF!</v>
      </c>
      <c r="CA70" t="e">
        <f>AND(#REF!,"AAAAAFvvfk4=")</f>
        <v>#REF!</v>
      </c>
      <c r="CB70" t="e">
        <f>AND(#REF!,"AAAAAFvvfk8=")</f>
        <v>#REF!</v>
      </c>
      <c r="CC70" t="e">
        <f>AND(#REF!,"AAAAAFvvflA=")</f>
        <v>#REF!</v>
      </c>
      <c r="CD70" t="e">
        <f>AND(#REF!,"AAAAAFvvflE=")</f>
        <v>#REF!</v>
      </c>
      <c r="CE70" t="e">
        <f>AND(#REF!,"AAAAAFvvflI=")</f>
        <v>#REF!</v>
      </c>
      <c r="CF70" t="e">
        <f>AND(#REF!,"AAAAAFvvflM=")</f>
        <v>#REF!</v>
      </c>
      <c r="CG70" t="e">
        <f>AND(#REF!,"AAAAAFvvflQ=")</f>
        <v>#REF!</v>
      </c>
      <c r="CH70" t="e">
        <f>AND(#REF!,"AAAAAFvvflU=")</f>
        <v>#REF!</v>
      </c>
      <c r="CI70" t="e">
        <f>AND(#REF!,"AAAAAFvvflY=")</f>
        <v>#REF!</v>
      </c>
      <c r="CJ70" t="e">
        <f>AND(#REF!,"AAAAAFvvflc=")</f>
        <v>#REF!</v>
      </c>
      <c r="CK70" t="e">
        <f>AND(#REF!,"AAAAAFvvflg=")</f>
        <v>#REF!</v>
      </c>
      <c r="CL70" t="e">
        <f>AND(#REF!,"AAAAAFvvflk=")</f>
        <v>#REF!</v>
      </c>
      <c r="CM70" t="e">
        <f>AND(#REF!,"AAAAAFvvflo=")</f>
        <v>#REF!</v>
      </c>
      <c r="CN70" t="e">
        <f>AND(#REF!,"AAAAAFvvfls=")</f>
        <v>#REF!</v>
      </c>
      <c r="CO70" t="e">
        <f>AND(#REF!,"AAAAAFvvflw=")</f>
        <v>#REF!</v>
      </c>
      <c r="CP70" t="e">
        <f>AND(#REF!,"AAAAAFvvfl0=")</f>
        <v>#REF!</v>
      </c>
      <c r="CQ70" t="e">
        <f>AND(#REF!,"AAAAAFvvfl4=")</f>
        <v>#REF!</v>
      </c>
      <c r="CR70" t="e">
        <f>AND(#REF!,"AAAAAFvvfl8=")</f>
        <v>#REF!</v>
      </c>
      <c r="CS70" t="e">
        <f>AND(#REF!,"AAAAAFvvfmA=")</f>
        <v>#REF!</v>
      </c>
      <c r="CT70" t="e">
        <f>AND(#REF!,"AAAAAFvvfmE=")</f>
        <v>#REF!</v>
      </c>
      <c r="CU70" t="e">
        <f>AND(#REF!,"AAAAAFvvfmI=")</f>
        <v>#REF!</v>
      </c>
      <c r="CV70" t="e">
        <f>AND(#REF!,"AAAAAFvvfmM=")</f>
        <v>#REF!</v>
      </c>
      <c r="CW70" t="e">
        <f>AND(#REF!,"AAAAAFvvfmQ=")</f>
        <v>#REF!</v>
      </c>
      <c r="CX70" t="e">
        <f>AND(#REF!,"AAAAAFvvfmU=")</f>
        <v>#REF!</v>
      </c>
      <c r="CY70" t="e">
        <f>AND(#REF!,"AAAAAFvvfmY=")</f>
        <v>#REF!</v>
      </c>
      <c r="CZ70" t="e">
        <f>AND(#REF!,"AAAAAFvvfmc=")</f>
        <v>#REF!</v>
      </c>
      <c r="DA70" t="e">
        <f>AND(#REF!,"AAAAAFvvfmg=")</f>
        <v>#REF!</v>
      </c>
      <c r="DB70" t="e">
        <f>AND(#REF!,"AAAAAFvvfmk=")</f>
        <v>#REF!</v>
      </c>
      <c r="DC70" t="e">
        <f>AND(#REF!,"AAAAAFvvfmo=")</f>
        <v>#REF!</v>
      </c>
      <c r="DD70" t="e">
        <f>AND(#REF!,"AAAAAFvvfms=")</f>
        <v>#REF!</v>
      </c>
      <c r="DE70" t="e">
        <f>AND(#REF!,"AAAAAFvvfmw=")</f>
        <v>#REF!</v>
      </c>
      <c r="DF70" t="e">
        <f>AND(#REF!,"AAAAAFvvfm0=")</f>
        <v>#REF!</v>
      </c>
      <c r="DG70" t="e">
        <f>AND(#REF!,"AAAAAFvvfm4=")</f>
        <v>#REF!</v>
      </c>
      <c r="DH70" t="e">
        <f>AND(#REF!,"AAAAAFvvfm8=")</f>
        <v>#REF!</v>
      </c>
      <c r="DI70" t="e">
        <f>AND(#REF!,"AAAAAFvvfnA=")</f>
        <v>#REF!</v>
      </c>
      <c r="DJ70" t="e">
        <f>AND(#REF!,"AAAAAFvvfnE=")</f>
        <v>#REF!</v>
      </c>
      <c r="DK70" t="e">
        <f>AND(#REF!,"AAAAAFvvfnI=")</f>
        <v>#REF!</v>
      </c>
      <c r="DL70" t="e">
        <f>AND(#REF!,"AAAAAFvvfnM=")</f>
        <v>#REF!</v>
      </c>
      <c r="DM70" t="e">
        <f>AND(#REF!,"AAAAAFvvfnQ=")</f>
        <v>#REF!</v>
      </c>
      <c r="DN70" t="e">
        <f>AND(#REF!,"AAAAAFvvfnU=")</f>
        <v>#REF!</v>
      </c>
      <c r="DO70" t="e">
        <f>AND(#REF!,"AAAAAFvvfnY=")</f>
        <v>#REF!</v>
      </c>
      <c r="DP70" t="e">
        <f>AND(#REF!,"AAAAAFvvfnc=")</f>
        <v>#REF!</v>
      </c>
      <c r="DQ70" t="e">
        <f>AND(#REF!,"AAAAAFvvfng=")</f>
        <v>#REF!</v>
      </c>
      <c r="DR70" t="e">
        <f>AND(#REF!,"AAAAAFvvfnk=")</f>
        <v>#REF!</v>
      </c>
      <c r="DS70" t="e">
        <f>AND(#REF!,"AAAAAFvvfno=")</f>
        <v>#REF!</v>
      </c>
      <c r="DT70" t="e">
        <f>AND(#REF!,"AAAAAFvvfns=")</f>
        <v>#REF!</v>
      </c>
      <c r="DU70" t="e">
        <f>AND(#REF!,"AAAAAFvvfnw=")</f>
        <v>#REF!</v>
      </c>
      <c r="DV70" t="e">
        <f>AND(#REF!,"AAAAAFvvfn0=")</f>
        <v>#REF!</v>
      </c>
      <c r="DW70" t="e">
        <f>AND(#REF!,"AAAAAFvvfn4=")</f>
        <v>#REF!</v>
      </c>
      <c r="DX70" t="e">
        <f>AND(#REF!,"AAAAAFvvfn8=")</f>
        <v>#REF!</v>
      </c>
      <c r="DY70" t="e">
        <f>AND(#REF!,"AAAAAFvvfoA=")</f>
        <v>#REF!</v>
      </c>
      <c r="DZ70" t="e">
        <f>AND(#REF!,"AAAAAFvvfoE=")</f>
        <v>#REF!</v>
      </c>
      <c r="EA70" t="e">
        <f>AND(#REF!,"AAAAAFvvfoI=")</f>
        <v>#REF!</v>
      </c>
      <c r="EB70" t="e">
        <f>AND(#REF!,"AAAAAFvvfoM=")</f>
        <v>#REF!</v>
      </c>
      <c r="EC70" t="e">
        <f>AND(#REF!,"AAAAAFvvfoQ=")</f>
        <v>#REF!</v>
      </c>
      <c r="ED70" t="e">
        <f>AND(#REF!,"AAAAAFvvfoU=")</f>
        <v>#REF!</v>
      </c>
      <c r="EE70" t="e">
        <f>AND(#REF!,"AAAAAFvvfoY=")</f>
        <v>#REF!</v>
      </c>
      <c r="EF70" t="e">
        <f>AND(#REF!,"AAAAAFvvfoc=")</f>
        <v>#REF!</v>
      </c>
      <c r="EG70" t="e">
        <f>AND(#REF!,"AAAAAFvvfog=")</f>
        <v>#REF!</v>
      </c>
      <c r="EH70" t="e">
        <f>AND(#REF!,"AAAAAFvvfok=")</f>
        <v>#REF!</v>
      </c>
      <c r="EI70" t="e">
        <f>AND(#REF!,"AAAAAFvvfoo=")</f>
        <v>#REF!</v>
      </c>
      <c r="EJ70" t="e">
        <f>AND(#REF!,"AAAAAFvvfos=")</f>
        <v>#REF!</v>
      </c>
      <c r="EK70" t="e">
        <f>AND(#REF!,"AAAAAFvvfow=")</f>
        <v>#REF!</v>
      </c>
      <c r="EL70" t="e">
        <f>AND(#REF!,"AAAAAFvvfo0=")</f>
        <v>#REF!</v>
      </c>
      <c r="EM70" t="e">
        <f>AND(#REF!,"AAAAAFvvfo4=")</f>
        <v>#REF!</v>
      </c>
      <c r="EN70" t="e">
        <f>IF(#REF!,"AAAAAFvvfo8=",0)</f>
        <v>#REF!</v>
      </c>
      <c r="EO70" t="e">
        <f>AND(#REF!,"AAAAAFvvfpA=")</f>
        <v>#REF!</v>
      </c>
      <c r="EP70" t="e">
        <f>AND(#REF!,"AAAAAFvvfpE=")</f>
        <v>#REF!</v>
      </c>
      <c r="EQ70" t="e">
        <f>AND(#REF!,"AAAAAFvvfpI=")</f>
        <v>#REF!</v>
      </c>
      <c r="ER70" t="e">
        <f>AND(#REF!,"AAAAAFvvfpM=")</f>
        <v>#REF!</v>
      </c>
      <c r="ES70" t="e">
        <f>AND(#REF!,"AAAAAFvvfpQ=")</f>
        <v>#REF!</v>
      </c>
      <c r="ET70" t="e">
        <f>AND(#REF!,"AAAAAFvvfpU=")</f>
        <v>#REF!</v>
      </c>
      <c r="EU70" t="e">
        <f>AND(#REF!,"AAAAAFvvfpY=")</f>
        <v>#REF!</v>
      </c>
      <c r="EV70" t="e">
        <f>AND(#REF!,"AAAAAFvvfpc=")</f>
        <v>#REF!</v>
      </c>
      <c r="EW70" t="e">
        <f>AND(#REF!,"AAAAAFvvfpg=")</f>
        <v>#REF!</v>
      </c>
      <c r="EX70" t="e">
        <f>AND(#REF!,"AAAAAFvvfpk=")</f>
        <v>#REF!</v>
      </c>
      <c r="EY70" t="e">
        <f>AND(#REF!,"AAAAAFvvfpo=")</f>
        <v>#REF!</v>
      </c>
      <c r="EZ70" t="e">
        <f>AND(#REF!,"AAAAAFvvfps=")</f>
        <v>#REF!</v>
      </c>
      <c r="FA70" t="e">
        <f>AND(#REF!,"AAAAAFvvfpw=")</f>
        <v>#REF!</v>
      </c>
      <c r="FB70" t="e">
        <f>AND(#REF!,"AAAAAFvvfp0=")</f>
        <v>#REF!</v>
      </c>
      <c r="FC70" t="e">
        <f>AND(#REF!,"AAAAAFvvfp4=")</f>
        <v>#REF!</v>
      </c>
      <c r="FD70" t="e">
        <f>AND(#REF!,"AAAAAFvvfp8=")</f>
        <v>#REF!</v>
      </c>
      <c r="FE70" t="e">
        <f>AND(#REF!,"AAAAAFvvfqA=")</f>
        <v>#REF!</v>
      </c>
      <c r="FF70" t="e">
        <f>AND(#REF!,"AAAAAFvvfqE=")</f>
        <v>#REF!</v>
      </c>
      <c r="FG70" t="e">
        <f>AND(#REF!,"AAAAAFvvfqI=")</f>
        <v>#REF!</v>
      </c>
      <c r="FH70" t="e">
        <f>AND(#REF!,"AAAAAFvvfqM=")</f>
        <v>#REF!</v>
      </c>
      <c r="FI70" t="e">
        <f>AND(#REF!,"AAAAAFvvfqQ=")</f>
        <v>#REF!</v>
      </c>
      <c r="FJ70" t="e">
        <f>AND(#REF!,"AAAAAFvvfqU=")</f>
        <v>#REF!</v>
      </c>
      <c r="FK70" t="e">
        <f>AND(#REF!,"AAAAAFvvfqY=")</f>
        <v>#REF!</v>
      </c>
      <c r="FL70" t="e">
        <f>AND(#REF!,"AAAAAFvvfqc=")</f>
        <v>#REF!</v>
      </c>
      <c r="FM70" t="e">
        <f>AND(#REF!,"AAAAAFvvfqg=")</f>
        <v>#REF!</v>
      </c>
      <c r="FN70" t="e">
        <f>AND(#REF!,"AAAAAFvvfqk=")</f>
        <v>#REF!</v>
      </c>
      <c r="FO70" t="e">
        <f>AND(#REF!,"AAAAAFvvfqo=")</f>
        <v>#REF!</v>
      </c>
      <c r="FP70" t="e">
        <f>AND(#REF!,"AAAAAFvvfqs=")</f>
        <v>#REF!</v>
      </c>
      <c r="FQ70" t="e">
        <f>AND(#REF!,"AAAAAFvvfqw=")</f>
        <v>#REF!</v>
      </c>
      <c r="FR70" t="e">
        <f>AND(#REF!,"AAAAAFvvfq0=")</f>
        <v>#REF!</v>
      </c>
      <c r="FS70" t="e">
        <f>AND(#REF!,"AAAAAFvvfq4=")</f>
        <v>#REF!</v>
      </c>
      <c r="FT70" t="e">
        <f>AND(#REF!,"AAAAAFvvfq8=")</f>
        <v>#REF!</v>
      </c>
      <c r="FU70" t="e">
        <f>AND(#REF!,"AAAAAFvvfrA=")</f>
        <v>#REF!</v>
      </c>
      <c r="FV70" t="e">
        <f>AND(#REF!,"AAAAAFvvfrE=")</f>
        <v>#REF!</v>
      </c>
      <c r="FW70" t="e">
        <f>AND(#REF!,"AAAAAFvvfrI=")</f>
        <v>#REF!</v>
      </c>
      <c r="FX70" t="e">
        <f>AND(#REF!,"AAAAAFvvfrM=")</f>
        <v>#REF!</v>
      </c>
      <c r="FY70" t="e">
        <f>AND(#REF!,"AAAAAFvvfrQ=")</f>
        <v>#REF!</v>
      </c>
      <c r="FZ70" t="e">
        <f>AND(#REF!,"AAAAAFvvfrU=")</f>
        <v>#REF!</v>
      </c>
      <c r="GA70" t="e">
        <f>AND(#REF!,"AAAAAFvvfrY=")</f>
        <v>#REF!</v>
      </c>
      <c r="GB70" t="e">
        <f>AND(#REF!,"AAAAAFvvfrc=")</f>
        <v>#REF!</v>
      </c>
      <c r="GC70" t="e">
        <f>AND(#REF!,"AAAAAFvvfrg=")</f>
        <v>#REF!</v>
      </c>
      <c r="GD70" t="e">
        <f>AND(#REF!,"AAAAAFvvfrk=")</f>
        <v>#REF!</v>
      </c>
      <c r="GE70" t="e">
        <f>AND(#REF!,"AAAAAFvvfro=")</f>
        <v>#REF!</v>
      </c>
      <c r="GF70" t="e">
        <f>AND(#REF!,"AAAAAFvvfrs=")</f>
        <v>#REF!</v>
      </c>
      <c r="GG70" t="e">
        <f>AND(#REF!,"AAAAAFvvfrw=")</f>
        <v>#REF!</v>
      </c>
      <c r="GH70" t="e">
        <f>AND(#REF!,"AAAAAFvvfr0=")</f>
        <v>#REF!</v>
      </c>
      <c r="GI70" t="e">
        <f>AND(#REF!,"AAAAAFvvfr4=")</f>
        <v>#REF!</v>
      </c>
      <c r="GJ70" t="e">
        <f>AND(#REF!,"AAAAAFvvfr8=")</f>
        <v>#REF!</v>
      </c>
      <c r="GK70" t="e">
        <f>AND(#REF!,"AAAAAFvvfsA=")</f>
        <v>#REF!</v>
      </c>
      <c r="GL70" t="e">
        <f>AND(#REF!,"AAAAAFvvfsE=")</f>
        <v>#REF!</v>
      </c>
      <c r="GM70" t="e">
        <f>AND(#REF!,"AAAAAFvvfsI=")</f>
        <v>#REF!</v>
      </c>
      <c r="GN70" t="e">
        <f>AND(#REF!,"AAAAAFvvfsM=")</f>
        <v>#REF!</v>
      </c>
      <c r="GO70" t="e">
        <f>AND(#REF!,"AAAAAFvvfsQ=")</f>
        <v>#REF!</v>
      </c>
      <c r="GP70" t="e">
        <f>AND(#REF!,"AAAAAFvvfsU=")</f>
        <v>#REF!</v>
      </c>
      <c r="GQ70" t="e">
        <f>AND(#REF!,"AAAAAFvvfsY=")</f>
        <v>#REF!</v>
      </c>
      <c r="GR70" t="e">
        <f>AND(#REF!,"AAAAAFvvfsc=")</f>
        <v>#REF!</v>
      </c>
      <c r="GS70" t="e">
        <f>AND(#REF!,"AAAAAFvvfsg=")</f>
        <v>#REF!</v>
      </c>
      <c r="GT70" t="e">
        <f>AND(#REF!,"AAAAAFvvfsk=")</f>
        <v>#REF!</v>
      </c>
      <c r="GU70" t="e">
        <f>AND(#REF!,"AAAAAFvvfso=")</f>
        <v>#REF!</v>
      </c>
      <c r="GV70" t="e">
        <f>AND(#REF!,"AAAAAFvvfss=")</f>
        <v>#REF!</v>
      </c>
      <c r="GW70" t="e">
        <f>AND(#REF!,"AAAAAFvvfsw=")</f>
        <v>#REF!</v>
      </c>
      <c r="GX70" t="e">
        <f>AND(#REF!,"AAAAAFvvfs0=")</f>
        <v>#REF!</v>
      </c>
      <c r="GY70" t="e">
        <f>AND(#REF!,"AAAAAFvvfs4=")</f>
        <v>#REF!</v>
      </c>
      <c r="GZ70" t="e">
        <f>AND(#REF!,"AAAAAFvvfs8=")</f>
        <v>#REF!</v>
      </c>
      <c r="HA70" t="e">
        <f>AND(#REF!,"AAAAAFvvftA=")</f>
        <v>#REF!</v>
      </c>
      <c r="HB70" t="e">
        <f>AND(#REF!,"AAAAAFvvftE=")</f>
        <v>#REF!</v>
      </c>
      <c r="HC70" t="e">
        <f>AND(#REF!,"AAAAAFvvftI=")</f>
        <v>#REF!</v>
      </c>
      <c r="HD70" t="e">
        <f>AND(#REF!,"AAAAAFvvftM=")</f>
        <v>#REF!</v>
      </c>
      <c r="HE70" t="e">
        <f>AND(#REF!,"AAAAAFvvftQ=")</f>
        <v>#REF!</v>
      </c>
      <c r="HF70" t="e">
        <f>AND(#REF!,"AAAAAFvvftU=")</f>
        <v>#REF!</v>
      </c>
      <c r="HG70" t="e">
        <f>AND(#REF!,"AAAAAFvvftY=")</f>
        <v>#REF!</v>
      </c>
      <c r="HH70" t="e">
        <f>AND(#REF!,"AAAAAFvvftc=")</f>
        <v>#REF!</v>
      </c>
      <c r="HI70" t="e">
        <f>AND(#REF!,"AAAAAFvvftg=")</f>
        <v>#REF!</v>
      </c>
      <c r="HJ70" t="e">
        <f>AND(#REF!,"AAAAAFvvftk=")</f>
        <v>#REF!</v>
      </c>
      <c r="HK70" t="e">
        <f>AND(#REF!,"AAAAAFvvfto=")</f>
        <v>#REF!</v>
      </c>
      <c r="HL70" t="e">
        <f>AND(#REF!,"AAAAAFvvfts=")</f>
        <v>#REF!</v>
      </c>
      <c r="HM70" t="e">
        <f>AND(#REF!,"AAAAAFvvftw=")</f>
        <v>#REF!</v>
      </c>
      <c r="HN70" t="e">
        <f>AND(#REF!,"AAAAAFvvft0=")</f>
        <v>#REF!</v>
      </c>
      <c r="HO70" t="e">
        <f>AND(#REF!,"AAAAAFvvft4=")</f>
        <v>#REF!</v>
      </c>
      <c r="HP70" t="e">
        <f>AND(#REF!,"AAAAAFvvft8=")</f>
        <v>#REF!</v>
      </c>
      <c r="HQ70" t="e">
        <f>AND(#REF!,"AAAAAFvvfuA=")</f>
        <v>#REF!</v>
      </c>
      <c r="HR70" t="e">
        <f>AND(#REF!,"AAAAAFvvfuE=")</f>
        <v>#REF!</v>
      </c>
      <c r="HS70" t="e">
        <f>AND(#REF!,"AAAAAFvvfuI=")</f>
        <v>#REF!</v>
      </c>
      <c r="HT70" t="e">
        <f>AND(#REF!,"AAAAAFvvfuM=")</f>
        <v>#REF!</v>
      </c>
      <c r="HU70" t="e">
        <f>AND(#REF!,"AAAAAFvvfuQ=")</f>
        <v>#REF!</v>
      </c>
      <c r="HV70" t="e">
        <f>AND(#REF!,"AAAAAFvvfuU=")</f>
        <v>#REF!</v>
      </c>
      <c r="HW70" t="e">
        <f>AND(#REF!,"AAAAAFvvfuY=")</f>
        <v>#REF!</v>
      </c>
      <c r="HX70" t="e">
        <f>AND(#REF!,"AAAAAFvvfuc=")</f>
        <v>#REF!</v>
      </c>
      <c r="HY70" t="e">
        <f>AND(#REF!,"AAAAAFvvfug=")</f>
        <v>#REF!</v>
      </c>
      <c r="HZ70" t="e">
        <f>AND(#REF!,"AAAAAFvvfuk=")</f>
        <v>#REF!</v>
      </c>
      <c r="IA70" t="e">
        <f>AND(#REF!,"AAAAAFvvfuo=")</f>
        <v>#REF!</v>
      </c>
      <c r="IB70" t="e">
        <f>AND(#REF!,"AAAAAFvvfus=")</f>
        <v>#REF!</v>
      </c>
      <c r="IC70" t="e">
        <f>AND(#REF!,"AAAAAFvvfuw=")</f>
        <v>#REF!</v>
      </c>
      <c r="ID70" t="e">
        <f>AND(#REF!,"AAAAAFvvfu0=")</f>
        <v>#REF!</v>
      </c>
      <c r="IE70" t="e">
        <f>AND(#REF!,"AAAAAFvvfu4=")</f>
        <v>#REF!</v>
      </c>
      <c r="IF70" t="e">
        <f>AND(#REF!,"AAAAAFvvfu8=")</f>
        <v>#REF!</v>
      </c>
      <c r="IG70" t="e">
        <f>AND(#REF!,"AAAAAFvvfvA=")</f>
        <v>#REF!</v>
      </c>
      <c r="IH70" t="e">
        <f>AND(#REF!,"AAAAAFvvfvE=")</f>
        <v>#REF!</v>
      </c>
      <c r="II70" t="e">
        <f>AND(#REF!,"AAAAAFvvfvI=")</f>
        <v>#REF!</v>
      </c>
      <c r="IJ70" t="e">
        <f>AND(#REF!,"AAAAAFvvfvM=")</f>
        <v>#REF!</v>
      </c>
      <c r="IK70" t="e">
        <f>AND(#REF!,"AAAAAFvvfvQ=")</f>
        <v>#REF!</v>
      </c>
      <c r="IL70" t="e">
        <f>AND(#REF!,"AAAAAFvvfvU=")</f>
        <v>#REF!</v>
      </c>
      <c r="IM70" t="e">
        <f>AND(#REF!,"AAAAAFvvfvY=")</f>
        <v>#REF!</v>
      </c>
      <c r="IN70" t="e">
        <f>AND(#REF!,"AAAAAFvvfvc=")</f>
        <v>#REF!</v>
      </c>
      <c r="IO70" t="e">
        <f>AND(#REF!,"AAAAAFvvfvg=")</f>
        <v>#REF!</v>
      </c>
      <c r="IP70" t="e">
        <f>AND(#REF!,"AAAAAFvvfvk=")</f>
        <v>#REF!</v>
      </c>
      <c r="IQ70" t="e">
        <f>AND(#REF!,"AAAAAFvvfvo=")</f>
        <v>#REF!</v>
      </c>
      <c r="IR70" t="e">
        <f>AND(#REF!,"AAAAAFvvfvs=")</f>
        <v>#REF!</v>
      </c>
      <c r="IS70" t="e">
        <f>AND(#REF!,"AAAAAFvvfvw=")</f>
        <v>#REF!</v>
      </c>
      <c r="IT70" t="e">
        <f>AND(#REF!,"AAAAAFvvfv0=")</f>
        <v>#REF!</v>
      </c>
      <c r="IU70" t="e">
        <f>AND(#REF!,"AAAAAFvvfv4=")</f>
        <v>#REF!</v>
      </c>
      <c r="IV70" t="e">
        <f>AND(#REF!,"AAAAAFvvfv8=")</f>
        <v>#REF!</v>
      </c>
    </row>
    <row r="71" spans="1:256">
      <c r="A71" t="e">
        <f>AND(#REF!,"AAAAAHvv5wA=")</f>
        <v>#REF!</v>
      </c>
      <c r="B71" t="e">
        <f>AND(#REF!,"AAAAAHvv5wE=")</f>
        <v>#REF!</v>
      </c>
      <c r="C71" t="e">
        <f>AND(#REF!,"AAAAAHvv5wI=")</f>
        <v>#REF!</v>
      </c>
      <c r="D71" t="e">
        <f>AND(#REF!,"AAAAAHvv5wM=")</f>
        <v>#REF!</v>
      </c>
      <c r="E71" t="e">
        <f>AND(#REF!,"AAAAAHvv5wQ=")</f>
        <v>#REF!</v>
      </c>
      <c r="F71" t="e">
        <f>AND(#REF!,"AAAAAHvv5wU=")</f>
        <v>#REF!</v>
      </c>
      <c r="G71" t="e">
        <f>AND(#REF!,"AAAAAHvv5wY=")</f>
        <v>#REF!</v>
      </c>
      <c r="H71" t="e">
        <f>AND(#REF!,"AAAAAHvv5wc=")</f>
        <v>#REF!</v>
      </c>
      <c r="I71" t="e">
        <f>IF(#REF!,"AAAAAHvv5wg=",0)</f>
        <v>#REF!</v>
      </c>
      <c r="J71" t="e">
        <f>AND(#REF!,"AAAAAHvv5wk=")</f>
        <v>#REF!</v>
      </c>
      <c r="K71" t="e">
        <f>AND(#REF!,"AAAAAHvv5wo=")</f>
        <v>#REF!</v>
      </c>
      <c r="L71" t="e">
        <f>AND(#REF!,"AAAAAHvv5ws=")</f>
        <v>#REF!</v>
      </c>
      <c r="M71" t="e">
        <f>AND(#REF!,"AAAAAHvv5ww=")</f>
        <v>#REF!</v>
      </c>
      <c r="N71" t="e">
        <f>AND(#REF!,"AAAAAHvv5w0=")</f>
        <v>#REF!</v>
      </c>
      <c r="O71" t="e">
        <f>AND(#REF!,"AAAAAHvv5w4=")</f>
        <v>#REF!</v>
      </c>
      <c r="P71" t="e">
        <f>AND(#REF!,"AAAAAHvv5w8=")</f>
        <v>#REF!</v>
      </c>
      <c r="Q71" t="e">
        <f>AND(#REF!,"AAAAAHvv5xA=")</f>
        <v>#REF!</v>
      </c>
      <c r="R71" t="e">
        <f>AND(#REF!,"AAAAAHvv5xE=")</f>
        <v>#REF!</v>
      </c>
      <c r="S71" t="e">
        <f>AND(#REF!,"AAAAAHvv5xI=")</f>
        <v>#REF!</v>
      </c>
      <c r="T71" t="e">
        <f>AND(#REF!,"AAAAAHvv5xM=")</f>
        <v>#REF!</v>
      </c>
      <c r="U71" t="e">
        <f>AND(#REF!,"AAAAAHvv5xQ=")</f>
        <v>#REF!</v>
      </c>
      <c r="V71" t="e">
        <f>AND(#REF!,"AAAAAHvv5xU=")</f>
        <v>#REF!</v>
      </c>
      <c r="W71" t="e">
        <f>AND(#REF!,"AAAAAHvv5xY=")</f>
        <v>#REF!</v>
      </c>
      <c r="X71" t="e">
        <f>AND(#REF!,"AAAAAHvv5xc=")</f>
        <v>#REF!</v>
      </c>
      <c r="Y71" t="e">
        <f>AND(#REF!,"AAAAAHvv5xg=")</f>
        <v>#REF!</v>
      </c>
      <c r="Z71" t="e">
        <f>AND(#REF!,"AAAAAHvv5xk=")</f>
        <v>#REF!</v>
      </c>
      <c r="AA71" t="e">
        <f>AND(#REF!,"AAAAAHvv5xo=")</f>
        <v>#REF!</v>
      </c>
      <c r="AB71" t="e">
        <f>AND(#REF!,"AAAAAHvv5xs=")</f>
        <v>#REF!</v>
      </c>
      <c r="AC71" t="e">
        <f>AND(#REF!,"AAAAAHvv5xw=")</f>
        <v>#REF!</v>
      </c>
      <c r="AD71" t="e">
        <f>AND(#REF!,"AAAAAHvv5x0=")</f>
        <v>#REF!</v>
      </c>
      <c r="AE71" t="e">
        <f>AND(#REF!,"AAAAAHvv5x4=")</f>
        <v>#REF!</v>
      </c>
      <c r="AF71" t="e">
        <f>AND(#REF!,"AAAAAHvv5x8=")</f>
        <v>#REF!</v>
      </c>
      <c r="AG71" t="e">
        <f>AND(#REF!,"AAAAAHvv5yA=")</f>
        <v>#REF!</v>
      </c>
      <c r="AH71" t="e">
        <f>AND(#REF!,"AAAAAHvv5yE=")</f>
        <v>#REF!</v>
      </c>
      <c r="AI71" t="e">
        <f>AND(#REF!,"AAAAAHvv5yI=")</f>
        <v>#REF!</v>
      </c>
      <c r="AJ71" t="e">
        <f>AND(#REF!,"AAAAAHvv5yM=")</f>
        <v>#REF!</v>
      </c>
      <c r="AK71" t="e">
        <f>AND(#REF!,"AAAAAHvv5yQ=")</f>
        <v>#REF!</v>
      </c>
      <c r="AL71" t="e">
        <f>AND(#REF!,"AAAAAHvv5yU=")</f>
        <v>#REF!</v>
      </c>
      <c r="AM71" t="e">
        <f>AND(#REF!,"AAAAAHvv5yY=")</f>
        <v>#REF!</v>
      </c>
      <c r="AN71" t="e">
        <f>AND(#REF!,"AAAAAHvv5yc=")</f>
        <v>#REF!</v>
      </c>
      <c r="AO71" t="e">
        <f>AND(#REF!,"AAAAAHvv5yg=")</f>
        <v>#REF!</v>
      </c>
      <c r="AP71" t="e">
        <f>AND(#REF!,"AAAAAHvv5yk=")</f>
        <v>#REF!</v>
      </c>
      <c r="AQ71" t="e">
        <f>AND(#REF!,"AAAAAHvv5yo=")</f>
        <v>#REF!</v>
      </c>
      <c r="AR71" t="e">
        <f>AND(#REF!,"AAAAAHvv5ys=")</f>
        <v>#REF!</v>
      </c>
      <c r="AS71" t="e">
        <f>AND(#REF!,"AAAAAHvv5yw=")</f>
        <v>#REF!</v>
      </c>
      <c r="AT71" t="e">
        <f>AND(#REF!,"AAAAAHvv5y0=")</f>
        <v>#REF!</v>
      </c>
      <c r="AU71" t="e">
        <f>AND(#REF!,"AAAAAHvv5y4=")</f>
        <v>#REF!</v>
      </c>
      <c r="AV71" t="e">
        <f>AND(#REF!,"AAAAAHvv5y8=")</f>
        <v>#REF!</v>
      </c>
      <c r="AW71" t="e">
        <f>AND(#REF!,"AAAAAHvv5zA=")</f>
        <v>#REF!</v>
      </c>
      <c r="AX71" t="e">
        <f>AND(#REF!,"AAAAAHvv5zE=")</f>
        <v>#REF!</v>
      </c>
      <c r="AY71" t="e">
        <f>AND(#REF!,"AAAAAHvv5zI=")</f>
        <v>#REF!</v>
      </c>
      <c r="AZ71" t="e">
        <f>AND(#REF!,"AAAAAHvv5zM=")</f>
        <v>#REF!</v>
      </c>
      <c r="BA71" t="e">
        <f>AND(#REF!,"AAAAAHvv5zQ=")</f>
        <v>#REF!</v>
      </c>
      <c r="BB71" t="e">
        <f>AND(#REF!,"AAAAAHvv5zU=")</f>
        <v>#REF!</v>
      </c>
      <c r="BC71" t="e">
        <f>AND(#REF!,"AAAAAHvv5zY=")</f>
        <v>#REF!</v>
      </c>
      <c r="BD71" t="e">
        <f>AND(#REF!,"AAAAAHvv5zc=")</f>
        <v>#REF!</v>
      </c>
      <c r="BE71" t="e">
        <f>AND(#REF!,"AAAAAHvv5zg=")</f>
        <v>#REF!</v>
      </c>
      <c r="BF71" t="e">
        <f>AND(#REF!,"AAAAAHvv5zk=")</f>
        <v>#REF!</v>
      </c>
      <c r="BG71" t="e">
        <f>AND(#REF!,"AAAAAHvv5zo=")</f>
        <v>#REF!</v>
      </c>
      <c r="BH71" t="e">
        <f>AND(#REF!,"AAAAAHvv5zs=")</f>
        <v>#REF!</v>
      </c>
      <c r="BI71" t="e">
        <f>AND(#REF!,"AAAAAHvv5zw=")</f>
        <v>#REF!</v>
      </c>
      <c r="BJ71" t="e">
        <f>AND(#REF!,"AAAAAHvv5z0=")</f>
        <v>#REF!</v>
      </c>
      <c r="BK71" t="e">
        <f>AND(#REF!,"AAAAAHvv5z4=")</f>
        <v>#REF!</v>
      </c>
      <c r="BL71" t="e">
        <f>AND(#REF!,"AAAAAHvv5z8=")</f>
        <v>#REF!</v>
      </c>
      <c r="BM71" t="e">
        <f>AND(#REF!,"AAAAAHvv50A=")</f>
        <v>#REF!</v>
      </c>
      <c r="BN71" t="e">
        <f>AND(#REF!,"AAAAAHvv50E=")</f>
        <v>#REF!</v>
      </c>
      <c r="BO71" t="e">
        <f>AND(#REF!,"AAAAAHvv50I=")</f>
        <v>#REF!</v>
      </c>
      <c r="BP71" t="e">
        <f>AND(#REF!,"AAAAAHvv50M=")</f>
        <v>#REF!</v>
      </c>
      <c r="BQ71" t="e">
        <f>AND(#REF!,"AAAAAHvv50Q=")</f>
        <v>#REF!</v>
      </c>
      <c r="BR71" t="e">
        <f>AND(#REF!,"AAAAAHvv50U=")</f>
        <v>#REF!</v>
      </c>
      <c r="BS71" t="e">
        <f>AND(#REF!,"AAAAAHvv50Y=")</f>
        <v>#REF!</v>
      </c>
      <c r="BT71" t="e">
        <f>AND(#REF!,"AAAAAHvv50c=")</f>
        <v>#REF!</v>
      </c>
      <c r="BU71" t="e">
        <f>AND(#REF!,"AAAAAHvv50g=")</f>
        <v>#REF!</v>
      </c>
      <c r="BV71" t="e">
        <f>AND(#REF!,"AAAAAHvv50k=")</f>
        <v>#REF!</v>
      </c>
      <c r="BW71" t="e">
        <f>AND(#REF!,"AAAAAHvv50o=")</f>
        <v>#REF!</v>
      </c>
      <c r="BX71" t="e">
        <f>AND(#REF!,"AAAAAHvv50s=")</f>
        <v>#REF!</v>
      </c>
      <c r="BY71" t="e">
        <f>AND(#REF!,"AAAAAHvv50w=")</f>
        <v>#REF!</v>
      </c>
      <c r="BZ71" t="e">
        <f>AND(#REF!,"AAAAAHvv500=")</f>
        <v>#REF!</v>
      </c>
      <c r="CA71" t="e">
        <f>AND(#REF!,"AAAAAHvv504=")</f>
        <v>#REF!</v>
      </c>
      <c r="CB71" t="e">
        <f>AND(#REF!,"AAAAAHvv508=")</f>
        <v>#REF!</v>
      </c>
      <c r="CC71" t="e">
        <f>AND(#REF!,"AAAAAHvv51A=")</f>
        <v>#REF!</v>
      </c>
      <c r="CD71" t="e">
        <f>AND(#REF!,"AAAAAHvv51E=")</f>
        <v>#REF!</v>
      </c>
      <c r="CE71" t="e">
        <f>AND(#REF!,"AAAAAHvv51I=")</f>
        <v>#REF!</v>
      </c>
      <c r="CF71" t="e">
        <f>AND(#REF!,"AAAAAHvv51M=")</f>
        <v>#REF!</v>
      </c>
      <c r="CG71" t="e">
        <f>AND(#REF!,"AAAAAHvv51Q=")</f>
        <v>#REF!</v>
      </c>
      <c r="CH71" t="e">
        <f>AND(#REF!,"AAAAAHvv51U=")</f>
        <v>#REF!</v>
      </c>
      <c r="CI71" t="e">
        <f>AND(#REF!,"AAAAAHvv51Y=")</f>
        <v>#REF!</v>
      </c>
      <c r="CJ71" t="e">
        <f>AND(#REF!,"AAAAAHvv51c=")</f>
        <v>#REF!</v>
      </c>
      <c r="CK71" t="e">
        <f>AND(#REF!,"AAAAAHvv51g=")</f>
        <v>#REF!</v>
      </c>
      <c r="CL71" t="e">
        <f>AND(#REF!,"AAAAAHvv51k=")</f>
        <v>#REF!</v>
      </c>
      <c r="CM71" t="e">
        <f>AND(#REF!,"AAAAAHvv51o=")</f>
        <v>#REF!</v>
      </c>
      <c r="CN71" t="e">
        <f>AND(#REF!,"AAAAAHvv51s=")</f>
        <v>#REF!</v>
      </c>
      <c r="CO71" t="e">
        <f>AND(#REF!,"AAAAAHvv51w=")</f>
        <v>#REF!</v>
      </c>
      <c r="CP71" t="e">
        <f>AND(#REF!,"AAAAAHvv510=")</f>
        <v>#REF!</v>
      </c>
      <c r="CQ71" t="e">
        <f>AND(#REF!,"AAAAAHvv514=")</f>
        <v>#REF!</v>
      </c>
      <c r="CR71" t="e">
        <f>AND(#REF!,"AAAAAHvv518=")</f>
        <v>#REF!</v>
      </c>
      <c r="CS71" t="e">
        <f>AND(#REF!,"AAAAAHvv52A=")</f>
        <v>#REF!</v>
      </c>
      <c r="CT71" t="e">
        <f>AND(#REF!,"AAAAAHvv52E=")</f>
        <v>#REF!</v>
      </c>
      <c r="CU71" t="e">
        <f>AND(#REF!,"AAAAAHvv52I=")</f>
        <v>#REF!</v>
      </c>
      <c r="CV71" t="e">
        <f>AND(#REF!,"AAAAAHvv52M=")</f>
        <v>#REF!</v>
      </c>
      <c r="CW71" t="e">
        <f>AND(#REF!,"AAAAAHvv52Q=")</f>
        <v>#REF!</v>
      </c>
      <c r="CX71" t="e">
        <f>AND(#REF!,"AAAAAHvv52U=")</f>
        <v>#REF!</v>
      </c>
      <c r="CY71" t="e">
        <f>AND(#REF!,"AAAAAHvv52Y=")</f>
        <v>#REF!</v>
      </c>
      <c r="CZ71" t="e">
        <f>AND(#REF!,"AAAAAHvv52c=")</f>
        <v>#REF!</v>
      </c>
      <c r="DA71" t="e">
        <f>AND(#REF!,"AAAAAHvv52g=")</f>
        <v>#REF!</v>
      </c>
      <c r="DB71" t="e">
        <f>AND(#REF!,"AAAAAHvv52k=")</f>
        <v>#REF!</v>
      </c>
      <c r="DC71" t="e">
        <f>AND(#REF!,"AAAAAHvv52o=")</f>
        <v>#REF!</v>
      </c>
      <c r="DD71" t="e">
        <f>AND(#REF!,"AAAAAHvv52s=")</f>
        <v>#REF!</v>
      </c>
      <c r="DE71" t="e">
        <f>AND(#REF!,"AAAAAHvv52w=")</f>
        <v>#REF!</v>
      </c>
      <c r="DF71" t="e">
        <f>AND(#REF!,"AAAAAHvv520=")</f>
        <v>#REF!</v>
      </c>
      <c r="DG71" t="e">
        <f>AND(#REF!,"AAAAAHvv524=")</f>
        <v>#REF!</v>
      </c>
      <c r="DH71" t="e">
        <f>AND(#REF!,"AAAAAHvv528=")</f>
        <v>#REF!</v>
      </c>
      <c r="DI71" t="e">
        <f>AND(#REF!,"AAAAAHvv53A=")</f>
        <v>#REF!</v>
      </c>
      <c r="DJ71" t="e">
        <f>AND(#REF!,"AAAAAHvv53E=")</f>
        <v>#REF!</v>
      </c>
      <c r="DK71" t="e">
        <f>AND(#REF!,"AAAAAHvv53I=")</f>
        <v>#REF!</v>
      </c>
      <c r="DL71" t="e">
        <f>AND(#REF!,"AAAAAHvv53M=")</f>
        <v>#REF!</v>
      </c>
      <c r="DM71" t="e">
        <f>AND(#REF!,"AAAAAHvv53Q=")</f>
        <v>#REF!</v>
      </c>
      <c r="DN71" t="e">
        <f>AND(#REF!,"AAAAAHvv53U=")</f>
        <v>#REF!</v>
      </c>
      <c r="DO71" t="e">
        <f>AND(#REF!,"AAAAAHvv53Y=")</f>
        <v>#REF!</v>
      </c>
      <c r="DP71" t="e">
        <f>AND(#REF!,"AAAAAHvv53c=")</f>
        <v>#REF!</v>
      </c>
      <c r="DQ71" t="e">
        <f>AND(#REF!,"AAAAAHvv53g=")</f>
        <v>#REF!</v>
      </c>
      <c r="DR71" t="e">
        <f>AND(#REF!,"AAAAAHvv53k=")</f>
        <v>#REF!</v>
      </c>
      <c r="DS71" t="e">
        <f>AND(#REF!,"AAAAAHvv53o=")</f>
        <v>#REF!</v>
      </c>
      <c r="DT71" t="e">
        <f>AND(#REF!,"AAAAAHvv53s=")</f>
        <v>#REF!</v>
      </c>
      <c r="DU71" t="e">
        <f>AND(#REF!,"AAAAAHvv53w=")</f>
        <v>#REF!</v>
      </c>
      <c r="DV71" t="e">
        <f>AND(#REF!,"AAAAAHvv530=")</f>
        <v>#REF!</v>
      </c>
      <c r="DW71" t="e">
        <f>AND(#REF!,"AAAAAHvv534=")</f>
        <v>#REF!</v>
      </c>
      <c r="DX71" t="e">
        <f>AND(#REF!,"AAAAAHvv538=")</f>
        <v>#REF!</v>
      </c>
      <c r="DY71" t="e">
        <f>AND(#REF!,"AAAAAHvv54A=")</f>
        <v>#REF!</v>
      </c>
      <c r="DZ71" t="e">
        <f>IF(#REF!,"AAAAAHvv54E=",0)</f>
        <v>#REF!</v>
      </c>
      <c r="EA71" t="e">
        <f>AND(#REF!,"AAAAAHvv54I=")</f>
        <v>#REF!</v>
      </c>
      <c r="EB71" t="e">
        <f>AND(#REF!,"AAAAAHvv54M=")</f>
        <v>#REF!</v>
      </c>
      <c r="EC71" t="e">
        <f>AND(#REF!,"AAAAAHvv54Q=")</f>
        <v>#REF!</v>
      </c>
      <c r="ED71" t="e">
        <f>AND(#REF!,"AAAAAHvv54U=")</f>
        <v>#REF!</v>
      </c>
      <c r="EE71" t="e">
        <f>AND(#REF!,"AAAAAHvv54Y=")</f>
        <v>#REF!</v>
      </c>
      <c r="EF71" t="e">
        <f>AND(#REF!,"AAAAAHvv54c=")</f>
        <v>#REF!</v>
      </c>
      <c r="EG71" t="e">
        <f>AND(#REF!,"AAAAAHvv54g=")</f>
        <v>#REF!</v>
      </c>
      <c r="EH71" t="e">
        <f>AND(#REF!,"AAAAAHvv54k=")</f>
        <v>#REF!</v>
      </c>
      <c r="EI71" t="e">
        <f>AND(#REF!,"AAAAAHvv54o=")</f>
        <v>#REF!</v>
      </c>
      <c r="EJ71" t="e">
        <f>AND(#REF!,"AAAAAHvv54s=")</f>
        <v>#REF!</v>
      </c>
      <c r="EK71" t="e">
        <f>AND(#REF!,"AAAAAHvv54w=")</f>
        <v>#REF!</v>
      </c>
      <c r="EL71" t="e">
        <f>AND(#REF!,"AAAAAHvv540=")</f>
        <v>#REF!</v>
      </c>
      <c r="EM71" t="e">
        <f>AND(#REF!,"AAAAAHvv544=")</f>
        <v>#REF!</v>
      </c>
      <c r="EN71" t="e">
        <f>AND(#REF!,"AAAAAHvv548=")</f>
        <v>#REF!</v>
      </c>
      <c r="EO71" t="e">
        <f>AND(#REF!,"AAAAAHvv55A=")</f>
        <v>#REF!</v>
      </c>
      <c r="EP71" t="e">
        <f>AND(#REF!,"AAAAAHvv55E=")</f>
        <v>#REF!</v>
      </c>
      <c r="EQ71" t="e">
        <f>AND(#REF!,"AAAAAHvv55I=")</f>
        <v>#REF!</v>
      </c>
      <c r="ER71" t="e">
        <f>AND(#REF!,"AAAAAHvv55M=")</f>
        <v>#REF!</v>
      </c>
      <c r="ES71" t="e">
        <f>AND(#REF!,"AAAAAHvv55Q=")</f>
        <v>#REF!</v>
      </c>
      <c r="ET71" t="e">
        <f>AND(#REF!,"AAAAAHvv55U=")</f>
        <v>#REF!</v>
      </c>
      <c r="EU71" t="e">
        <f>AND(#REF!,"AAAAAHvv55Y=")</f>
        <v>#REF!</v>
      </c>
      <c r="EV71" t="e">
        <f>AND(#REF!,"AAAAAHvv55c=")</f>
        <v>#REF!</v>
      </c>
      <c r="EW71" t="e">
        <f>AND(#REF!,"AAAAAHvv55g=")</f>
        <v>#REF!</v>
      </c>
      <c r="EX71" t="e">
        <f>AND(#REF!,"AAAAAHvv55k=")</f>
        <v>#REF!</v>
      </c>
      <c r="EY71" t="e">
        <f>AND(#REF!,"AAAAAHvv55o=")</f>
        <v>#REF!</v>
      </c>
      <c r="EZ71" t="e">
        <f>AND(#REF!,"AAAAAHvv55s=")</f>
        <v>#REF!</v>
      </c>
      <c r="FA71" t="e">
        <f>AND(#REF!,"AAAAAHvv55w=")</f>
        <v>#REF!</v>
      </c>
      <c r="FB71" t="e">
        <f>AND(#REF!,"AAAAAHvv550=")</f>
        <v>#REF!</v>
      </c>
      <c r="FC71" t="e">
        <f>AND(#REF!,"AAAAAHvv554=")</f>
        <v>#REF!</v>
      </c>
      <c r="FD71" t="e">
        <f>AND(#REF!,"AAAAAHvv558=")</f>
        <v>#REF!</v>
      </c>
      <c r="FE71" t="e">
        <f>AND(#REF!,"AAAAAHvv56A=")</f>
        <v>#REF!</v>
      </c>
      <c r="FF71" t="e">
        <f>AND(#REF!,"AAAAAHvv56E=")</f>
        <v>#REF!</v>
      </c>
      <c r="FG71" t="e">
        <f>AND(#REF!,"AAAAAHvv56I=")</f>
        <v>#REF!</v>
      </c>
      <c r="FH71" t="e">
        <f>AND(#REF!,"AAAAAHvv56M=")</f>
        <v>#REF!</v>
      </c>
      <c r="FI71" t="e">
        <f>AND(#REF!,"AAAAAHvv56Q=")</f>
        <v>#REF!</v>
      </c>
      <c r="FJ71" t="e">
        <f>AND(#REF!,"AAAAAHvv56U=")</f>
        <v>#REF!</v>
      </c>
      <c r="FK71" t="e">
        <f>AND(#REF!,"AAAAAHvv56Y=")</f>
        <v>#REF!</v>
      </c>
      <c r="FL71" t="e">
        <f>AND(#REF!,"AAAAAHvv56c=")</f>
        <v>#REF!</v>
      </c>
      <c r="FM71" t="e">
        <f>AND(#REF!,"AAAAAHvv56g=")</f>
        <v>#REF!</v>
      </c>
      <c r="FN71" t="e">
        <f>AND(#REF!,"AAAAAHvv56k=")</f>
        <v>#REF!</v>
      </c>
      <c r="FO71" t="e">
        <f>AND(#REF!,"AAAAAHvv56o=")</f>
        <v>#REF!</v>
      </c>
      <c r="FP71" t="e">
        <f>AND(#REF!,"AAAAAHvv56s=")</f>
        <v>#REF!</v>
      </c>
      <c r="FQ71" t="e">
        <f>AND(#REF!,"AAAAAHvv56w=")</f>
        <v>#REF!</v>
      </c>
      <c r="FR71" t="e">
        <f>AND(#REF!,"AAAAAHvv560=")</f>
        <v>#REF!</v>
      </c>
      <c r="FS71" t="e">
        <f>AND(#REF!,"AAAAAHvv564=")</f>
        <v>#REF!</v>
      </c>
      <c r="FT71" t="e">
        <f>AND(#REF!,"AAAAAHvv568=")</f>
        <v>#REF!</v>
      </c>
      <c r="FU71" t="e">
        <f>AND(#REF!,"AAAAAHvv57A=")</f>
        <v>#REF!</v>
      </c>
      <c r="FV71" t="e">
        <f>AND(#REF!,"AAAAAHvv57E=")</f>
        <v>#REF!</v>
      </c>
      <c r="FW71" t="e">
        <f>AND(#REF!,"AAAAAHvv57I=")</f>
        <v>#REF!</v>
      </c>
      <c r="FX71" t="e">
        <f>AND(#REF!,"AAAAAHvv57M=")</f>
        <v>#REF!</v>
      </c>
      <c r="FY71" t="e">
        <f>AND(#REF!,"AAAAAHvv57Q=")</f>
        <v>#REF!</v>
      </c>
      <c r="FZ71" t="e">
        <f>AND(#REF!,"AAAAAHvv57U=")</f>
        <v>#REF!</v>
      </c>
      <c r="GA71" t="e">
        <f>AND(#REF!,"AAAAAHvv57Y=")</f>
        <v>#REF!</v>
      </c>
      <c r="GB71" t="e">
        <f>AND(#REF!,"AAAAAHvv57c=")</f>
        <v>#REF!</v>
      </c>
      <c r="GC71" t="e">
        <f>AND(#REF!,"AAAAAHvv57g=")</f>
        <v>#REF!</v>
      </c>
      <c r="GD71" t="e">
        <f>AND(#REF!,"AAAAAHvv57k=")</f>
        <v>#REF!</v>
      </c>
      <c r="GE71" t="e">
        <f>AND(#REF!,"AAAAAHvv57o=")</f>
        <v>#REF!</v>
      </c>
      <c r="GF71" t="e">
        <f>AND(#REF!,"AAAAAHvv57s=")</f>
        <v>#REF!</v>
      </c>
      <c r="GG71" t="e">
        <f>AND(#REF!,"AAAAAHvv57w=")</f>
        <v>#REF!</v>
      </c>
      <c r="GH71" t="e">
        <f>AND(#REF!,"AAAAAHvv570=")</f>
        <v>#REF!</v>
      </c>
      <c r="GI71" t="e">
        <f>AND(#REF!,"AAAAAHvv574=")</f>
        <v>#REF!</v>
      </c>
      <c r="GJ71" t="e">
        <f>AND(#REF!,"AAAAAHvv578=")</f>
        <v>#REF!</v>
      </c>
      <c r="GK71" t="e">
        <f>AND(#REF!,"AAAAAHvv58A=")</f>
        <v>#REF!</v>
      </c>
      <c r="GL71" t="e">
        <f>AND(#REF!,"AAAAAHvv58E=")</f>
        <v>#REF!</v>
      </c>
      <c r="GM71" t="e">
        <f>AND(#REF!,"AAAAAHvv58I=")</f>
        <v>#REF!</v>
      </c>
      <c r="GN71" t="e">
        <f>AND(#REF!,"AAAAAHvv58M=")</f>
        <v>#REF!</v>
      </c>
      <c r="GO71" t="e">
        <f>AND(#REF!,"AAAAAHvv58Q=")</f>
        <v>#REF!</v>
      </c>
      <c r="GP71" t="e">
        <f>AND(#REF!,"AAAAAHvv58U=")</f>
        <v>#REF!</v>
      </c>
      <c r="GQ71" t="e">
        <f>AND(#REF!,"AAAAAHvv58Y=")</f>
        <v>#REF!</v>
      </c>
      <c r="GR71" t="e">
        <f>AND(#REF!,"AAAAAHvv58c=")</f>
        <v>#REF!</v>
      </c>
      <c r="GS71" t="e">
        <f>AND(#REF!,"AAAAAHvv58g=")</f>
        <v>#REF!</v>
      </c>
      <c r="GT71" t="e">
        <f>AND(#REF!,"AAAAAHvv58k=")</f>
        <v>#REF!</v>
      </c>
      <c r="GU71" t="e">
        <f>AND(#REF!,"AAAAAHvv58o=")</f>
        <v>#REF!</v>
      </c>
      <c r="GV71" t="e">
        <f>AND(#REF!,"AAAAAHvv58s=")</f>
        <v>#REF!</v>
      </c>
      <c r="GW71" t="e">
        <f>AND(#REF!,"AAAAAHvv58w=")</f>
        <v>#REF!</v>
      </c>
      <c r="GX71" t="e">
        <f>AND(#REF!,"AAAAAHvv580=")</f>
        <v>#REF!</v>
      </c>
      <c r="GY71" t="e">
        <f>AND(#REF!,"AAAAAHvv584=")</f>
        <v>#REF!</v>
      </c>
      <c r="GZ71" t="e">
        <f>AND(#REF!,"AAAAAHvv588=")</f>
        <v>#REF!</v>
      </c>
      <c r="HA71" t="e">
        <f>AND(#REF!,"AAAAAHvv59A=")</f>
        <v>#REF!</v>
      </c>
      <c r="HB71" t="e">
        <f>AND(#REF!,"AAAAAHvv59E=")</f>
        <v>#REF!</v>
      </c>
      <c r="HC71" t="e">
        <f>AND(#REF!,"AAAAAHvv59I=")</f>
        <v>#REF!</v>
      </c>
      <c r="HD71" t="e">
        <f>AND(#REF!,"AAAAAHvv59M=")</f>
        <v>#REF!</v>
      </c>
      <c r="HE71" t="e">
        <f>AND(#REF!,"AAAAAHvv59Q=")</f>
        <v>#REF!</v>
      </c>
      <c r="HF71" t="e">
        <f>AND(#REF!,"AAAAAHvv59U=")</f>
        <v>#REF!</v>
      </c>
      <c r="HG71" t="e">
        <f>AND(#REF!,"AAAAAHvv59Y=")</f>
        <v>#REF!</v>
      </c>
      <c r="HH71" t="e">
        <f>AND(#REF!,"AAAAAHvv59c=")</f>
        <v>#REF!</v>
      </c>
      <c r="HI71" t="e">
        <f>AND(#REF!,"AAAAAHvv59g=")</f>
        <v>#REF!</v>
      </c>
      <c r="HJ71" t="e">
        <f>AND(#REF!,"AAAAAHvv59k=")</f>
        <v>#REF!</v>
      </c>
      <c r="HK71" t="e">
        <f>AND(#REF!,"AAAAAHvv59o=")</f>
        <v>#REF!</v>
      </c>
      <c r="HL71" t="e">
        <f>AND(#REF!,"AAAAAHvv59s=")</f>
        <v>#REF!</v>
      </c>
      <c r="HM71" t="e">
        <f>AND(#REF!,"AAAAAHvv59w=")</f>
        <v>#REF!</v>
      </c>
      <c r="HN71" t="e">
        <f>AND(#REF!,"AAAAAHvv590=")</f>
        <v>#REF!</v>
      </c>
      <c r="HO71" t="e">
        <f>AND(#REF!,"AAAAAHvv594=")</f>
        <v>#REF!</v>
      </c>
      <c r="HP71" t="e">
        <f>AND(#REF!,"AAAAAHvv598=")</f>
        <v>#REF!</v>
      </c>
      <c r="HQ71" t="e">
        <f>AND(#REF!,"AAAAAHvv5+A=")</f>
        <v>#REF!</v>
      </c>
      <c r="HR71" t="e">
        <f>AND(#REF!,"AAAAAHvv5+E=")</f>
        <v>#REF!</v>
      </c>
      <c r="HS71" t="e">
        <f>AND(#REF!,"AAAAAHvv5+I=")</f>
        <v>#REF!</v>
      </c>
      <c r="HT71" t="e">
        <f>AND(#REF!,"AAAAAHvv5+M=")</f>
        <v>#REF!</v>
      </c>
      <c r="HU71" t="e">
        <f>AND(#REF!,"AAAAAHvv5+Q=")</f>
        <v>#REF!</v>
      </c>
      <c r="HV71" t="e">
        <f>AND(#REF!,"AAAAAHvv5+U=")</f>
        <v>#REF!</v>
      </c>
      <c r="HW71" t="e">
        <f>AND(#REF!,"AAAAAHvv5+Y=")</f>
        <v>#REF!</v>
      </c>
      <c r="HX71" t="e">
        <f>AND(#REF!,"AAAAAHvv5+c=")</f>
        <v>#REF!</v>
      </c>
      <c r="HY71" t="e">
        <f>AND(#REF!,"AAAAAHvv5+g=")</f>
        <v>#REF!</v>
      </c>
      <c r="HZ71" t="e">
        <f>AND(#REF!,"AAAAAHvv5+k=")</f>
        <v>#REF!</v>
      </c>
      <c r="IA71" t="e">
        <f>AND(#REF!,"AAAAAHvv5+o=")</f>
        <v>#REF!</v>
      </c>
      <c r="IB71" t="e">
        <f>AND(#REF!,"AAAAAHvv5+s=")</f>
        <v>#REF!</v>
      </c>
      <c r="IC71" t="e">
        <f>AND(#REF!,"AAAAAHvv5+w=")</f>
        <v>#REF!</v>
      </c>
      <c r="ID71" t="e">
        <f>AND(#REF!,"AAAAAHvv5+0=")</f>
        <v>#REF!</v>
      </c>
      <c r="IE71" t="e">
        <f>AND(#REF!,"AAAAAHvv5+4=")</f>
        <v>#REF!</v>
      </c>
      <c r="IF71" t="e">
        <f>AND(#REF!,"AAAAAHvv5+8=")</f>
        <v>#REF!</v>
      </c>
      <c r="IG71" t="e">
        <f>AND(#REF!,"AAAAAHvv5/A=")</f>
        <v>#REF!</v>
      </c>
      <c r="IH71" t="e">
        <f>AND(#REF!,"AAAAAHvv5/E=")</f>
        <v>#REF!</v>
      </c>
      <c r="II71" t="e">
        <f>AND(#REF!,"AAAAAHvv5/I=")</f>
        <v>#REF!</v>
      </c>
      <c r="IJ71" t="e">
        <f>AND(#REF!,"AAAAAHvv5/M=")</f>
        <v>#REF!</v>
      </c>
      <c r="IK71" t="e">
        <f>AND(#REF!,"AAAAAHvv5/Q=")</f>
        <v>#REF!</v>
      </c>
      <c r="IL71" t="e">
        <f>AND(#REF!,"AAAAAHvv5/U=")</f>
        <v>#REF!</v>
      </c>
      <c r="IM71" t="e">
        <f>AND(#REF!,"AAAAAHvv5/Y=")</f>
        <v>#REF!</v>
      </c>
      <c r="IN71" t="e">
        <f>AND(#REF!,"AAAAAHvv5/c=")</f>
        <v>#REF!</v>
      </c>
      <c r="IO71" t="e">
        <f>AND(#REF!,"AAAAAHvv5/g=")</f>
        <v>#REF!</v>
      </c>
      <c r="IP71" t="e">
        <f>AND(#REF!,"AAAAAHvv5/k=")</f>
        <v>#REF!</v>
      </c>
      <c r="IQ71" t="e">
        <f>IF(#REF!,"AAAAAHvv5/o=",0)</f>
        <v>#REF!</v>
      </c>
      <c r="IR71" t="e">
        <f>AND(#REF!,"AAAAAHvv5/s=")</f>
        <v>#REF!</v>
      </c>
      <c r="IS71" t="e">
        <f>AND(#REF!,"AAAAAHvv5/w=")</f>
        <v>#REF!</v>
      </c>
      <c r="IT71" t="e">
        <f>AND(#REF!,"AAAAAHvv5/0=")</f>
        <v>#REF!</v>
      </c>
      <c r="IU71" t="e">
        <f>AND(#REF!,"AAAAAHvv5/4=")</f>
        <v>#REF!</v>
      </c>
      <c r="IV71" t="e">
        <f>AND(#REF!,"AAAAAHvv5/8=")</f>
        <v>#REF!</v>
      </c>
    </row>
    <row r="72" spans="1:256">
      <c r="A72" t="e">
        <f>AND(#REF!,"AAAAAD4DdwA=")</f>
        <v>#REF!</v>
      </c>
      <c r="B72" t="e">
        <f>AND(#REF!,"AAAAAD4DdwE=")</f>
        <v>#REF!</v>
      </c>
      <c r="C72" t="e">
        <f>AND(#REF!,"AAAAAD4DdwI=")</f>
        <v>#REF!</v>
      </c>
      <c r="D72" t="e">
        <f>AND(#REF!,"AAAAAD4DdwM=")</f>
        <v>#REF!</v>
      </c>
      <c r="E72" t="e">
        <f>AND(#REF!,"AAAAAD4DdwQ=")</f>
        <v>#REF!</v>
      </c>
      <c r="F72" t="e">
        <f>AND(#REF!,"AAAAAD4DdwU=")</f>
        <v>#REF!</v>
      </c>
      <c r="G72" t="e">
        <f>AND(#REF!,"AAAAAD4DdwY=")</f>
        <v>#REF!</v>
      </c>
      <c r="H72" t="e">
        <f>AND(#REF!,"AAAAAD4Ddwc=")</f>
        <v>#REF!</v>
      </c>
      <c r="I72" t="e">
        <f>AND(#REF!,"AAAAAD4Ddwg=")</f>
        <v>#REF!</v>
      </c>
      <c r="J72" t="e">
        <f>AND(#REF!,"AAAAAD4Ddwk=")</f>
        <v>#REF!</v>
      </c>
      <c r="K72" t="e">
        <f>AND(#REF!,"AAAAAD4Ddwo=")</f>
        <v>#REF!</v>
      </c>
      <c r="L72" t="e">
        <f>AND(#REF!,"AAAAAD4Ddws=")</f>
        <v>#REF!</v>
      </c>
      <c r="M72" t="e">
        <f>AND(#REF!,"AAAAAD4Ddww=")</f>
        <v>#REF!</v>
      </c>
      <c r="N72" t="e">
        <f>AND(#REF!,"AAAAAD4Ddw0=")</f>
        <v>#REF!</v>
      </c>
      <c r="O72" t="e">
        <f>AND(#REF!,"AAAAAD4Ddw4=")</f>
        <v>#REF!</v>
      </c>
      <c r="P72" t="e">
        <f>AND(#REF!,"AAAAAD4Ddw8=")</f>
        <v>#REF!</v>
      </c>
      <c r="Q72" t="e">
        <f>AND(#REF!,"AAAAAD4DdxA=")</f>
        <v>#REF!</v>
      </c>
      <c r="R72" t="e">
        <f>AND(#REF!,"AAAAAD4DdxE=")</f>
        <v>#REF!</v>
      </c>
      <c r="S72" t="e">
        <f>AND(#REF!,"AAAAAD4DdxI=")</f>
        <v>#REF!</v>
      </c>
      <c r="T72" t="e">
        <f>AND(#REF!,"AAAAAD4DdxM=")</f>
        <v>#REF!</v>
      </c>
      <c r="U72" t="e">
        <f>AND(#REF!,"AAAAAD4DdxQ=")</f>
        <v>#REF!</v>
      </c>
      <c r="V72" t="e">
        <f>AND(#REF!,"AAAAAD4DdxU=")</f>
        <v>#REF!</v>
      </c>
      <c r="W72" t="e">
        <f>AND(#REF!,"AAAAAD4DdxY=")</f>
        <v>#REF!</v>
      </c>
      <c r="X72" t="e">
        <f>AND(#REF!,"AAAAAD4Ddxc=")</f>
        <v>#REF!</v>
      </c>
      <c r="Y72" t="e">
        <f>AND(#REF!,"AAAAAD4Ddxg=")</f>
        <v>#REF!</v>
      </c>
      <c r="Z72" t="e">
        <f>AND(#REF!,"AAAAAD4Ddxk=")</f>
        <v>#REF!</v>
      </c>
      <c r="AA72" t="e">
        <f>AND(#REF!,"AAAAAD4Ddxo=")</f>
        <v>#REF!</v>
      </c>
      <c r="AB72" t="e">
        <f>AND(#REF!,"AAAAAD4Ddxs=")</f>
        <v>#REF!</v>
      </c>
      <c r="AC72" t="e">
        <f>AND(#REF!,"AAAAAD4Ddxw=")</f>
        <v>#REF!</v>
      </c>
      <c r="AD72" t="e">
        <f>AND(#REF!,"AAAAAD4Ddx0=")</f>
        <v>#REF!</v>
      </c>
      <c r="AE72" t="e">
        <f>AND(#REF!,"AAAAAD4Ddx4=")</f>
        <v>#REF!</v>
      </c>
      <c r="AF72" t="e">
        <f>AND(#REF!,"AAAAAD4Ddx8=")</f>
        <v>#REF!</v>
      </c>
      <c r="AG72" t="e">
        <f>AND(#REF!,"AAAAAD4DdyA=")</f>
        <v>#REF!</v>
      </c>
      <c r="AH72" t="e">
        <f>AND(#REF!,"AAAAAD4DdyE=")</f>
        <v>#REF!</v>
      </c>
      <c r="AI72" t="e">
        <f>AND(#REF!,"AAAAAD4DdyI=")</f>
        <v>#REF!</v>
      </c>
      <c r="AJ72" t="e">
        <f>AND(#REF!,"AAAAAD4DdyM=")</f>
        <v>#REF!</v>
      </c>
      <c r="AK72" t="e">
        <f>AND(#REF!,"AAAAAD4DdyQ=")</f>
        <v>#REF!</v>
      </c>
      <c r="AL72" t="e">
        <f>AND(#REF!,"AAAAAD4DdyU=")</f>
        <v>#REF!</v>
      </c>
      <c r="AM72" t="e">
        <f>AND(#REF!,"AAAAAD4DdyY=")</f>
        <v>#REF!</v>
      </c>
      <c r="AN72" t="e">
        <f>AND(#REF!,"AAAAAD4Ddyc=")</f>
        <v>#REF!</v>
      </c>
      <c r="AO72" t="e">
        <f>AND(#REF!,"AAAAAD4Ddyg=")</f>
        <v>#REF!</v>
      </c>
      <c r="AP72" t="e">
        <f>AND(#REF!,"AAAAAD4Ddyk=")</f>
        <v>#REF!</v>
      </c>
      <c r="AQ72" t="e">
        <f>AND(#REF!,"AAAAAD4Ddyo=")</f>
        <v>#REF!</v>
      </c>
      <c r="AR72" t="e">
        <f>AND(#REF!,"AAAAAD4Ddys=")</f>
        <v>#REF!</v>
      </c>
      <c r="AS72" t="e">
        <f>AND(#REF!,"AAAAAD4Ddyw=")</f>
        <v>#REF!</v>
      </c>
      <c r="AT72" t="e">
        <f>AND(#REF!,"AAAAAD4Ddy0=")</f>
        <v>#REF!</v>
      </c>
      <c r="AU72" t="e">
        <f>AND(#REF!,"AAAAAD4Ddy4=")</f>
        <v>#REF!</v>
      </c>
      <c r="AV72" t="e">
        <f>AND(#REF!,"AAAAAD4Ddy8=")</f>
        <v>#REF!</v>
      </c>
      <c r="AW72" t="e">
        <f>AND(#REF!,"AAAAAD4DdzA=")</f>
        <v>#REF!</v>
      </c>
      <c r="AX72" t="e">
        <f>AND(#REF!,"AAAAAD4DdzE=")</f>
        <v>#REF!</v>
      </c>
      <c r="AY72" t="e">
        <f>AND(#REF!,"AAAAAD4DdzI=")</f>
        <v>#REF!</v>
      </c>
      <c r="AZ72" t="e">
        <f>AND(#REF!,"AAAAAD4DdzM=")</f>
        <v>#REF!</v>
      </c>
      <c r="BA72" t="e">
        <f>AND(#REF!,"AAAAAD4DdzQ=")</f>
        <v>#REF!</v>
      </c>
      <c r="BB72" t="e">
        <f>AND(#REF!,"AAAAAD4DdzU=")</f>
        <v>#REF!</v>
      </c>
      <c r="BC72" t="e">
        <f>AND(#REF!,"AAAAAD4DdzY=")</f>
        <v>#REF!</v>
      </c>
      <c r="BD72" t="e">
        <f>AND(#REF!,"AAAAAD4Ddzc=")</f>
        <v>#REF!</v>
      </c>
      <c r="BE72" t="e">
        <f>AND(#REF!,"AAAAAD4Ddzg=")</f>
        <v>#REF!</v>
      </c>
      <c r="BF72" t="e">
        <f>AND(#REF!,"AAAAAD4Ddzk=")</f>
        <v>#REF!</v>
      </c>
      <c r="BG72" t="e">
        <f>AND(#REF!,"AAAAAD4Ddzo=")</f>
        <v>#REF!</v>
      </c>
      <c r="BH72" t="e">
        <f>AND(#REF!,"AAAAAD4Ddzs=")</f>
        <v>#REF!</v>
      </c>
      <c r="BI72" t="e">
        <f>AND(#REF!,"AAAAAD4Ddzw=")</f>
        <v>#REF!</v>
      </c>
      <c r="BJ72" t="e">
        <f>AND(#REF!,"AAAAAD4Ddz0=")</f>
        <v>#REF!</v>
      </c>
      <c r="BK72" t="e">
        <f>AND(#REF!,"AAAAAD4Ddz4=")</f>
        <v>#REF!</v>
      </c>
      <c r="BL72" t="e">
        <f>AND(#REF!,"AAAAAD4Ddz8=")</f>
        <v>#REF!</v>
      </c>
      <c r="BM72" t="e">
        <f>AND(#REF!,"AAAAAD4Dd0A=")</f>
        <v>#REF!</v>
      </c>
      <c r="BN72" t="e">
        <f>AND(#REF!,"AAAAAD4Dd0E=")</f>
        <v>#REF!</v>
      </c>
      <c r="BO72" t="e">
        <f>AND(#REF!,"AAAAAD4Dd0I=")</f>
        <v>#REF!</v>
      </c>
      <c r="BP72" t="e">
        <f>AND(#REF!,"AAAAAD4Dd0M=")</f>
        <v>#REF!</v>
      </c>
      <c r="BQ72" t="e">
        <f>AND(#REF!,"AAAAAD4Dd0Q=")</f>
        <v>#REF!</v>
      </c>
      <c r="BR72" t="e">
        <f>AND(#REF!,"AAAAAD4Dd0U=")</f>
        <v>#REF!</v>
      </c>
      <c r="BS72" t="e">
        <f>AND(#REF!,"AAAAAD4Dd0Y=")</f>
        <v>#REF!</v>
      </c>
      <c r="BT72" t="e">
        <f>AND(#REF!,"AAAAAD4Dd0c=")</f>
        <v>#REF!</v>
      </c>
      <c r="BU72" t="e">
        <f>AND(#REF!,"AAAAAD4Dd0g=")</f>
        <v>#REF!</v>
      </c>
      <c r="BV72" t="e">
        <f>AND(#REF!,"AAAAAD4Dd0k=")</f>
        <v>#REF!</v>
      </c>
      <c r="BW72" t="e">
        <f>AND(#REF!,"AAAAAD4Dd0o=")</f>
        <v>#REF!</v>
      </c>
      <c r="BX72" t="e">
        <f>AND(#REF!,"AAAAAD4Dd0s=")</f>
        <v>#REF!</v>
      </c>
      <c r="BY72" t="e">
        <f>AND(#REF!,"AAAAAD4Dd0w=")</f>
        <v>#REF!</v>
      </c>
      <c r="BZ72" t="e">
        <f>AND(#REF!,"AAAAAD4Dd00=")</f>
        <v>#REF!</v>
      </c>
      <c r="CA72" t="e">
        <f>AND(#REF!,"AAAAAD4Dd04=")</f>
        <v>#REF!</v>
      </c>
      <c r="CB72" t="e">
        <f>AND(#REF!,"AAAAAD4Dd08=")</f>
        <v>#REF!</v>
      </c>
      <c r="CC72" t="e">
        <f>AND(#REF!,"AAAAAD4Dd1A=")</f>
        <v>#REF!</v>
      </c>
      <c r="CD72" t="e">
        <f>AND(#REF!,"AAAAAD4Dd1E=")</f>
        <v>#REF!</v>
      </c>
      <c r="CE72" t="e">
        <f>AND(#REF!,"AAAAAD4Dd1I=")</f>
        <v>#REF!</v>
      </c>
      <c r="CF72" t="e">
        <f>AND(#REF!,"AAAAAD4Dd1M=")</f>
        <v>#REF!</v>
      </c>
      <c r="CG72" t="e">
        <f>AND(#REF!,"AAAAAD4Dd1Q=")</f>
        <v>#REF!</v>
      </c>
      <c r="CH72" t="e">
        <f>AND(#REF!,"AAAAAD4Dd1U=")</f>
        <v>#REF!</v>
      </c>
      <c r="CI72" t="e">
        <f>AND(#REF!,"AAAAAD4Dd1Y=")</f>
        <v>#REF!</v>
      </c>
      <c r="CJ72" t="e">
        <f>AND(#REF!,"AAAAAD4Dd1c=")</f>
        <v>#REF!</v>
      </c>
      <c r="CK72" t="e">
        <f>AND(#REF!,"AAAAAD4Dd1g=")</f>
        <v>#REF!</v>
      </c>
      <c r="CL72" t="e">
        <f>AND(#REF!,"AAAAAD4Dd1k=")</f>
        <v>#REF!</v>
      </c>
      <c r="CM72" t="e">
        <f>AND(#REF!,"AAAAAD4Dd1o=")</f>
        <v>#REF!</v>
      </c>
      <c r="CN72" t="e">
        <f>AND(#REF!,"AAAAAD4Dd1s=")</f>
        <v>#REF!</v>
      </c>
      <c r="CO72" t="e">
        <f>AND(#REF!,"AAAAAD4Dd1w=")</f>
        <v>#REF!</v>
      </c>
      <c r="CP72" t="e">
        <f>AND(#REF!,"AAAAAD4Dd10=")</f>
        <v>#REF!</v>
      </c>
      <c r="CQ72" t="e">
        <f>AND(#REF!,"AAAAAD4Dd14=")</f>
        <v>#REF!</v>
      </c>
      <c r="CR72" t="e">
        <f>AND(#REF!,"AAAAAD4Dd18=")</f>
        <v>#REF!</v>
      </c>
      <c r="CS72" t="e">
        <f>AND(#REF!,"AAAAAD4Dd2A=")</f>
        <v>#REF!</v>
      </c>
      <c r="CT72" t="e">
        <f>AND(#REF!,"AAAAAD4Dd2E=")</f>
        <v>#REF!</v>
      </c>
      <c r="CU72" t="e">
        <f>AND(#REF!,"AAAAAD4Dd2I=")</f>
        <v>#REF!</v>
      </c>
      <c r="CV72" t="e">
        <f>AND(#REF!,"AAAAAD4Dd2M=")</f>
        <v>#REF!</v>
      </c>
      <c r="CW72" t="e">
        <f>AND(#REF!,"AAAAAD4Dd2Q=")</f>
        <v>#REF!</v>
      </c>
      <c r="CX72" t="e">
        <f>AND(#REF!,"AAAAAD4Dd2U=")</f>
        <v>#REF!</v>
      </c>
      <c r="CY72" t="e">
        <f>AND(#REF!,"AAAAAD4Dd2Y=")</f>
        <v>#REF!</v>
      </c>
      <c r="CZ72" t="e">
        <f>AND(#REF!,"AAAAAD4Dd2c=")</f>
        <v>#REF!</v>
      </c>
      <c r="DA72" t="e">
        <f>AND(#REF!,"AAAAAD4Dd2g=")</f>
        <v>#REF!</v>
      </c>
      <c r="DB72" t="e">
        <f>AND(#REF!,"AAAAAD4Dd2k=")</f>
        <v>#REF!</v>
      </c>
      <c r="DC72" t="e">
        <f>AND(#REF!,"AAAAAD4Dd2o=")</f>
        <v>#REF!</v>
      </c>
      <c r="DD72" t="e">
        <f>AND(#REF!,"AAAAAD4Dd2s=")</f>
        <v>#REF!</v>
      </c>
      <c r="DE72" t="e">
        <f>AND(#REF!,"AAAAAD4Dd2w=")</f>
        <v>#REF!</v>
      </c>
      <c r="DF72" t="e">
        <f>AND(#REF!,"AAAAAD4Dd20=")</f>
        <v>#REF!</v>
      </c>
      <c r="DG72" t="e">
        <f>AND(#REF!,"AAAAAD4Dd24=")</f>
        <v>#REF!</v>
      </c>
      <c r="DH72" t="e">
        <f>AND(#REF!,"AAAAAD4Dd28=")</f>
        <v>#REF!</v>
      </c>
      <c r="DI72" t="e">
        <f>AND(#REF!,"AAAAAD4Dd3A=")</f>
        <v>#REF!</v>
      </c>
      <c r="DJ72" t="e">
        <f>AND(#REF!,"AAAAAD4Dd3E=")</f>
        <v>#REF!</v>
      </c>
      <c r="DK72" t="e">
        <f>AND(#REF!,"AAAAAD4Dd3I=")</f>
        <v>#REF!</v>
      </c>
      <c r="DL72" t="e">
        <f>IF(#REF!,"AAAAAD4Dd3M=",0)</f>
        <v>#REF!</v>
      </c>
      <c r="DM72" t="e">
        <f>AND(#REF!,"AAAAAD4Dd3Q=")</f>
        <v>#REF!</v>
      </c>
      <c r="DN72" t="e">
        <f>AND(#REF!,"AAAAAD4Dd3U=")</f>
        <v>#REF!</v>
      </c>
      <c r="DO72" t="e">
        <f>AND(#REF!,"AAAAAD4Dd3Y=")</f>
        <v>#REF!</v>
      </c>
      <c r="DP72" t="e">
        <f>AND(#REF!,"AAAAAD4Dd3c=")</f>
        <v>#REF!</v>
      </c>
      <c r="DQ72" t="e">
        <f>AND(#REF!,"AAAAAD4Dd3g=")</f>
        <v>#REF!</v>
      </c>
      <c r="DR72" t="e">
        <f>AND(#REF!,"AAAAAD4Dd3k=")</f>
        <v>#REF!</v>
      </c>
      <c r="DS72" t="e">
        <f>AND(#REF!,"AAAAAD4Dd3o=")</f>
        <v>#REF!</v>
      </c>
      <c r="DT72" t="e">
        <f>AND(#REF!,"AAAAAD4Dd3s=")</f>
        <v>#REF!</v>
      </c>
      <c r="DU72" t="e">
        <f>AND(#REF!,"AAAAAD4Dd3w=")</f>
        <v>#REF!</v>
      </c>
      <c r="DV72" t="e">
        <f>AND(#REF!,"AAAAAD4Dd30=")</f>
        <v>#REF!</v>
      </c>
      <c r="DW72" t="e">
        <f>AND(#REF!,"AAAAAD4Dd34=")</f>
        <v>#REF!</v>
      </c>
      <c r="DX72" t="e">
        <f>AND(#REF!,"AAAAAD4Dd38=")</f>
        <v>#REF!</v>
      </c>
      <c r="DY72" t="e">
        <f>AND(#REF!,"AAAAAD4Dd4A=")</f>
        <v>#REF!</v>
      </c>
      <c r="DZ72" t="e">
        <f>AND(#REF!,"AAAAAD4Dd4E=")</f>
        <v>#REF!</v>
      </c>
      <c r="EA72" t="e">
        <f>AND(#REF!,"AAAAAD4Dd4I=")</f>
        <v>#REF!</v>
      </c>
      <c r="EB72" t="e">
        <f>AND(#REF!,"AAAAAD4Dd4M=")</f>
        <v>#REF!</v>
      </c>
      <c r="EC72" t="e">
        <f>AND(#REF!,"AAAAAD4Dd4Q=")</f>
        <v>#REF!</v>
      </c>
      <c r="ED72" t="e">
        <f>AND(#REF!,"AAAAAD4Dd4U=")</f>
        <v>#REF!</v>
      </c>
      <c r="EE72" t="e">
        <f>AND(#REF!,"AAAAAD4Dd4Y=")</f>
        <v>#REF!</v>
      </c>
      <c r="EF72" t="e">
        <f>AND(#REF!,"AAAAAD4Dd4c=")</f>
        <v>#REF!</v>
      </c>
      <c r="EG72" t="e">
        <f>AND(#REF!,"AAAAAD4Dd4g=")</f>
        <v>#REF!</v>
      </c>
      <c r="EH72" t="e">
        <f>AND(#REF!,"AAAAAD4Dd4k=")</f>
        <v>#REF!</v>
      </c>
      <c r="EI72" t="e">
        <f>AND(#REF!,"AAAAAD4Dd4o=")</f>
        <v>#REF!</v>
      </c>
      <c r="EJ72" t="e">
        <f>AND(#REF!,"AAAAAD4Dd4s=")</f>
        <v>#REF!</v>
      </c>
      <c r="EK72" t="e">
        <f>AND(#REF!,"AAAAAD4Dd4w=")</f>
        <v>#REF!</v>
      </c>
      <c r="EL72" t="e">
        <f>AND(#REF!,"AAAAAD4Dd40=")</f>
        <v>#REF!</v>
      </c>
      <c r="EM72" t="e">
        <f>AND(#REF!,"AAAAAD4Dd44=")</f>
        <v>#REF!</v>
      </c>
      <c r="EN72" t="e">
        <f>AND(#REF!,"AAAAAD4Dd48=")</f>
        <v>#REF!</v>
      </c>
      <c r="EO72" t="e">
        <f>AND(#REF!,"AAAAAD4Dd5A=")</f>
        <v>#REF!</v>
      </c>
      <c r="EP72" t="e">
        <f>AND(#REF!,"AAAAAD4Dd5E=")</f>
        <v>#REF!</v>
      </c>
      <c r="EQ72" t="e">
        <f>AND(#REF!,"AAAAAD4Dd5I=")</f>
        <v>#REF!</v>
      </c>
      <c r="ER72" t="e">
        <f>AND(#REF!,"AAAAAD4Dd5M=")</f>
        <v>#REF!</v>
      </c>
      <c r="ES72" t="e">
        <f>AND(#REF!,"AAAAAD4Dd5Q=")</f>
        <v>#REF!</v>
      </c>
      <c r="ET72" t="e">
        <f>AND(#REF!,"AAAAAD4Dd5U=")</f>
        <v>#REF!</v>
      </c>
      <c r="EU72" t="e">
        <f>AND(#REF!,"AAAAAD4Dd5Y=")</f>
        <v>#REF!</v>
      </c>
      <c r="EV72" t="e">
        <f>AND(#REF!,"AAAAAD4Dd5c=")</f>
        <v>#REF!</v>
      </c>
      <c r="EW72" t="e">
        <f>AND(#REF!,"AAAAAD4Dd5g=")</f>
        <v>#REF!</v>
      </c>
      <c r="EX72" t="e">
        <f>AND(#REF!,"AAAAAD4Dd5k=")</f>
        <v>#REF!</v>
      </c>
      <c r="EY72" t="e">
        <f>AND(#REF!,"AAAAAD4Dd5o=")</f>
        <v>#REF!</v>
      </c>
      <c r="EZ72" t="e">
        <f>AND(#REF!,"AAAAAD4Dd5s=")</f>
        <v>#REF!</v>
      </c>
      <c r="FA72" t="e">
        <f>AND(#REF!,"AAAAAD4Dd5w=")</f>
        <v>#REF!</v>
      </c>
      <c r="FB72" t="e">
        <f>AND(#REF!,"AAAAAD4Dd50=")</f>
        <v>#REF!</v>
      </c>
      <c r="FC72" t="e">
        <f>AND(#REF!,"AAAAAD4Dd54=")</f>
        <v>#REF!</v>
      </c>
      <c r="FD72" t="e">
        <f>AND(#REF!,"AAAAAD4Dd58=")</f>
        <v>#REF!</v>
      </c>
      <c r="FE72" t="e">
        <f>AND(#REF!,"AAAAAD4Dd6A=")</f>
        <v>#REF!</v>
      </c>
      <c r="FF72" t="e">
        <f>AND(#REF!,"AAAAAD4Dd6E=")</f>
        <v>#REF!</v>
      </c>
      <c r="FG72" t="e">
        <f>AND(#REF!,"AAAAAD4Dd6I=")</f>
        <v>#REF!</v>
      </c>
      <c r="FH72" t="e">
        <f>AND(#REF!,"AAAAAD4Dd6M=")</f>
        <v>#REF!</v>
      </c>
      <c r="FI72" t="e">
        <f>AND(#REF!,"AAAAAD4Dd6Q=")</f>
        <v>#REF!</v>
      </c>
      <c r="FJ72" t="e">
        <f>AND(#REF!,"AAAAAD4Dd6U=")</f>
        <v>#REF!</v>
      </c>
      <c r="FK72" t="e">
        <f>AND(#REF!,"AAAAAD4Dd6Y=")</f>
        <v>#REF!</v>
      </c>
      <c r="FL72" t="e">
        <f>AND(#REF!,"AAAAAD4Dd6c=")</f>
        <v>#REF!</v>
      </c>
      <c r="FM72" t="e">
        <f>AND(#REF!,"AAAAAD4Dd6g=")</f>
        <v>#REF!</v>
      </c>
      <c r="FN72" t="e">
        <f>AND(#REF!,"AAAAAD4Dd6k=")</f>
        <v>#REF!</v>
      </c>
      <c r="FO72" t="e">
        <f>AND(#REF!,"AAAAAD4Dd6o=")</f>
        <v>#REF!</v>
      </c>
      <c r="FP72" t="e">
        <f>AND(#REF!,"AAAAAD4Dd6s=")</f>
        <v>#REF!</v>
      </c>
      <c r="FQ72" t="e">
        <f>AND(#REF!,"AAAAAD4Dd6w=")</f>
        <v>#REF!</v>
      </c>
      <c r="FR72" t="e">
        <f>AND(#REF!,"AAAAAD4Dd60=")</f>
        <v>#REF!</v>
      </c>
      <c r="FS72" t="e">
        <f>AND(#REF!,"AAAAAD4Dd64=")</f>
        <v>#REF!</v>
      </c>
      <c r="FT72" t="e">
        <f>AND(#REF!,"AAAAAD4Dd68=")</f>
        <v>#REF!</v>
      </c>
      <c r="FU72" t="e">
        <f>AND(#REF!,"AAAAAD4Dd7A=")</f>
        <v>#REF!</v>
      </c>
      <c r="FV72" t="e">
        <f>AND(#REF!,"AAAAAD4Dd7E=")</f>
        <v>#REF!</v>
      </c>
      <c r="FW72" t="e">
        <f>AND(#REF!,"AAAAAD4Dd7I=")</f>
        <v>#REF!</v>
      </c>
      <c r="FX72" t="e">
        <f>AND(#REF!,"AAAAAD4Dd7M=")</f>
        <v>#REF!</v>
      </c>
      <c r="FY72" t="e">
        <f>AND(#REF!,"AAAAAD4Dd7Q=")</f>
        <v>#REF!</v>
      </c>
      <c r="FZ72" t="e">
        <f>AND(#REF!,"AAAAAD4Dd7U=")</f>
        <v>#REF!</v>
      </c>
      <c r="GA72" t="e">
        <f>AND(#REF!,"AAAAAD4Dd7Y=")</f>
        <v>#REF!</v>
      </c>
      <c r="GB72" t="e">
        <f>AND(#REF!,"AAAAAD4Dd7c=")</f>
        <v>#REF!</v>
      </c>
      <c r="GC72" t="e">
        <f>AND(#REF!,"AAAAAD4Dd7g=")</f>
        <v>#REF!</v>
      </c>
      <c r="GD72" t="e">
        <f>AND(#REF!,"AAAAAD4Dd7k=")</f>
        <v>#REF!</v>
      </c>
      <c r="GE72" t="e">
        <f>AND(#REF!,"AAAAAD4Dd7o=")</f>
        <v>#REF!</v>
      </c>
      <c r="GF72" t="e">
        <f>AND(#REF!,"AAAAAD4Dd7s=")</f>
        <v>#REF!</v>
      </c>
      <c r="GG72" t="e">
        <f>AND(#REF!,"AAAAAD4Dd7w=")</f>
        <v>#REF!</v>
      </c>
      <c r="GH72" t="e">
        <f>AND(#REF!,"AAAAAD4Dd70=")</f>
        <v>#REF!</v>
      </c>
      <c r="GI72" t="e">
        <f>AND(#REF!,"AAAAAD4Dd74=")</f>
        <v>#REF!</v>
      </c>
      <c r="GJ72" t="e">
        <f>AND(#REF!,"AAAAAD4Dd78=")</f>
        <v>#REF!</v>
      </c>
      <c r="GK72" t="e">
        <f>AND(#REF!,"AAAAAD4Dd8A=")</f>
        <v>#REF!</v>
      </c>
      <c r="GL72" t="e">
        <f>AND(#REF!,"AAAAAD4Dd8E=")</f>
        <v>#REF!</v>
      </c>
      <c r="GM72" t="e">
        <f>AND(#REF!,"AAAAAD4Dd8I=")</f>
        <v>#REF!</v>
      </c>
      <c r="GN72" t="e">
        <f>AND(#REF!,"AAAAAD4Dd8M=")</f>
        <v>#REF!</v>
      </c>
      <c r="GO72" t="e">
        <f>AND(#REF!,"AAAAAD4Dd8Q=")</f>
        <v>#REF!</v>
      </c>
      <c r="GP72" t="e">
        <f>AND(#REF!,"AAAAAD4Dd8U=")</f>
        <v>#REF!</v>
      </c>
      <c r="GQ72" t="e">
        <f>AND(#REF!,"AAAAAD4Dd8Y=")</f>
        <v>#REF!</v>
      </c>
      <c r="GR72" t="e">
        <f>AND(#REF!,"AAAAAD4Dd8c=")</f>
        <v>#REF!</v>
      </c>
      <c r="GS72" t="e">
        <f>AND(#REF!,"AAAAAD4Dd8g=")</f>
        <v>#REF!</v>
      </c>
      <c r="GT72" t="e">
        <f>AND(#REF!,"AAAAAD4Dd8k=")</f>
        <v>#REF!</v>
      </c>
      <c r="GU72" t="e">
        <f>AND(#REF!,"AAAAAD4Dd8o=")</f>
        <v>#REF!</v>
      </c>
      <c r="GV72" t="e">
        <f>AND(#REF!,"AAAAAD4Dd8s=")</f>
        <v>#REF!</v>
      </c>
      <c r="GW72" t="e">
        <f>AND(#REF!,"AAAAAD4Dd8w=")</f>
        <v>#REF!</v>
      </c>
      <c r="GX72" t="e">
        <f>AND(#REF!,"AAAAAD4Dd80=")</f>
        <v>#REF!</v>
      </c>
      <c r="GY72" t="e">
        <f>AND(#REF!,"AAAAAD4Dd84=")</f>
        <v>#REF!</v>
      </c>
      <c r="GZ72" t="e">
        <f>AND(#REF!,"AAAAAD4Dd88=")</f>
        <v>#REF!</v>
      </c>
      <c r="HA72" t="e">
        <f>AND(#REF!,"AAAAAD4Dd9A=")</f>
        <v>#REF!</v>
      </c>
      <c r="HB72" t="e">
        <f>AND(#REF!,"AAAAAD4Dd9E=")</f>
        <v>#REF!</v>
      </c>
      <c r="HC72" t="e">
        <f>AND(#REF!,"AAAAAD4Dd9I=")</f>
        <v>#REF!</v>
      </c>
      <c r="HD72" t="e">
        <f>AND(#REF!,"AAAAAD4Dd9M=")</f>
        <v>#REF!</v>
      </c>
      <c r="HE72" t="e">
        <f>AND(#REF!,"AAAAAD4Dd9Q=")</f>
        <v>#REF!</v>
      </c>
      <c r="HF72" t="e">
        <f>AND(#REF!,"AAAAAD4Dd9U=")</f>
        <v>#REF!</v>
      </c>
      <c r="HG72" t="e">
        <f>AND(#REF!,"AAAAAD4Dd9Y=")</f>
        <v>#REF!</v>
      </c>
      <c r="HH72" t="e">
        <f>AND(#REF!,"AAAAAD4Dd9c=")</f>
        <v>#REF!</v>
      </c>
      <c r="HI72" t="e">
        <f>AND(#REF!,"AAAAAD4Dd9g=")</f>
        <v>#REF!</v>
      </c>
      <c r="HJ72" t="e">
        <f>AND(#REF!,"AAAAAD4Dd9k=")</f>
        <v>#REF!</v>
      </c>
      <c r="HK72" t="e">
        <f>AND(#REF!,"AAAAAD4Dd9o=")</f>
        <v>#REF!</v>
      </c>
      <c r="HL72" t="e">
        <f>AND(#REF!,"AAAAAD4Dd9s=")</f>
        <v>#REF!</v>
      </c>
      <c r="HM72" t="e">
        <f>AND(#REF!,"AAAAAD4Dd9w=")</f>
        <v>#REF!</v>
      </c>
      <c r="HN72" t="e">
        <f>AND(#REF!,"AAAAAD4Dd90=")</f>
        <v>#REF!</v>
      </c>
      <c r="HO72" t="e">
        <f>AND(#REF!,"AAAAAD4Dd94=")</f>
        <v>#REF!</v>
      </c>
      <c r="HP72" t="e">
        <f>AND(#REF!,"AAAAAD4Dd98=")</f>
        <v>#REF!</v>
      </c>
      <c r="HQ72" t="e">
        <f>AND(#REF!,"AAAAAD4Dd+A=")</f>
        <v>#REF!</v>
      </c>
      <c r="HR72" t="e">
        <f>AND(#REF!,"AAAAAD4Dd+E=")</f>
        <v>#REF!</v>
      </c>
      <c r="HS72" t="e">
        <f>AND(#REF!,"AAAAAD4Dd+I=")</f>
        <v>#REF!</v>
      </c>
      <c r="HT72" t="e">
        <f>AND(#REF!,"AAAAAD4Dd+M=")</f>
        <v>#REF!</v>
      </c>
      <c r="HU72" t="e">
        <f>AND(#REF!,"AAAAAD4Dd+Q=")</f>
        <v>#REF!</v>
      </c>
      <c r="HV72" t="e">
        <f>AND(#REF!,"AAAAAD4Dd+U=")</f>
        <v>#REF!</v>
      </c>
      <c r="HW72" t="e">
        <f>AND(#REF!,"AAAAAD4Dd+Y=")</f>
        <v>#REF!</v>
      </c>
      <c r="HX72" t="e">
        <f>AND(#REF!,"AAAAAD4Dd+c=")</f>
        <v>#REF!</v>
      </c>
      <c r="HY72" t="e">
        <f>AND(#REF!,"AAAAAD4Dd+g=")</f>
        <v>#REF!</v>
      </c>
      <c r="HZ72" t="e">
        <f>AND(#REF!,"AAAAAD4Dd+k=")</f>
        <v>#REF!</v>
      </c>
      <c r="IA72" t="e">
        <f>AND(#REF!,"AAAAAD4Dd+o=")</f>
        <v>#REF!</v>
      </c>
      <c r="IB72" t="e">
        <f>AND(#REF!,"AAAAAD4Dd+s=")</f>
        <v>#REF!</v>
      </c>
      <c r="IC72" t="e">
        <f>IF(#REF!,"AAAAAD4Dd+w=",0)</f>
        <v>#REF!</v>
      </c>
      <c r="ID72" t="e">
        <f>IF(#REF!,"AAAAAD4Dd+0=",0)</f>
        <v>#REF!</v>
      </c>
      <c r="IE72" t="e">
        <f>IF(#REF!,"AAAAAD4Dd+4=",0)</f>
        <v>#REF!</v>
      </c>
      <c r="IF72" t="e">
        <f>IF(#REF!,"AAAAAD4Dd+8=",0)</f>
        <v>#REF!</v>
      </c>
      <c r="IG72" t="e">
        <f>IF(#REF!,"AAAAAD4Dd/A=",0)</f>
        <v>#REF!</v>
      </c>
      <c r="IH72" t="e">
        <f>IF(#REF!,"AAAAAD4Dd/E=",0)</f>
        <v>#REF!</v>
      </c>
      <c r="II72" t="e">
        <f>IF(#REF!,"AAAAAD4Dd/I=",0)</f>
        <v>#REF!</v>
      </c>
      <c r="IJ72" t="e">
        <f>IF(#REF!,"AAAAAD4Dd/M=",0)</f>
        <v>#REF!</v>
      </c>
      <c r="IK72" t="e">
        <f>IF(#REF!,"AAAAAD4Dd/Q=",0)</f>
        <v>#REF!</v>
      </c>
      <c r="IL72" t="e">
        <f>IF(#REF!,"AAAAAD4Dd/U=",0)</f>
        <v>#REF!</v>
      </c>
      <c r="IM72" t="e">
        <f>IF(#REF!,"AAAAAD4Dd/Y=",0)</f>
        <v>#REF!</v>
      </c>
      <c r="IN72" t="e">
        <f>IF(#REF!,"AAAAAD4Dd/c=",0)</f>
        <v>#REF!</v>
      </c>
      <c r="IO72" t="e">
        <f>IF(#REF!,"AAAAAD4Dd/g=",0)</f>
        <v>#REF!</v>
      </c>
      <c r="IP72" t="e">
        <f>IF(#REF!,"AAAAAD4Dd/k=",0)</f>
        <v>#REF!</v>
      </c>
      <c r="IQ72" t="e">
        <f>IF(#REF!,"AAAAAD4Dd/o=",0)</f>
        <v>#REF!</v>
      </c>
      <c r="IR72" t="e">
        <f>IF(#REF!,"AAAAAD4Dd/s=",0)</f>
        <v>#REF!</v>
      </c>
      <c r="IS72" t="e">
        <f>IF(#REF!,"AAAAAD4Dd/w=",0)</f>
        <v>#REF!</v>
      </c>
      <c r="IT72" t="e">
        <f>IF(#REF!,"AAAAAD4Dd/0=",0)</f>
        <v>#REF!</v>
      </c>
      <c r="IU72" t="e">
        <f>IF(#REF!,"AAAAAD4Dd/4=",0)</f>
        <v>#REF!</v>
      </c>
      <c r="IV72" t="e">
        <f>IF(#REF!,"AAAAAD4Dd/8=",0)</f>
        <v>#REF!</v>
      </c>
    </row>
    <row r="73" spans="1:256">
      <c r="A73" t="e">
        <f>IF(#REF!,"AAAAAD2+fwA=",0)</f>
        <v>#REF!</v>
      </c>
      <c r="B73" t="e">
        <f>IF(#REF!,"AAAAAD2+fwE=",0)</f>
        <v>#REF!</v>
      </c>
      <c r="C73" t="e">
        <f>IF(#REF!,"AAAAAD2+fwI=",0)</f>
        <v>#REF!</v>
      </c>
      <c r="D73" t="e">
        <f>IF(#REF!,"AAAAAD2+fwM=",0)</f>
        <v>#REF!</v>
      </c>
      <c r="E73" t="e">
        <f>IF(#REF!,"AAAAAD2+fwQ=",0)</f>
        <v>#REF!</v>
      </c>
      <c r="F73" t="e">
        <f>IF(#REF!,"AAAAAD2+fwU=",0)</f>
        <v>#REF!</v>
      </c>
      <c r="G73" t="e">
        <f>IF(#REF!,"AAAAAD2+fwY=",0)</f>
        <v>#REF!</v>
      </c>
      <c r="H73" t="e">
        <f>IF(#REF!,"AAAAAD2+fwc=",0)</f>
        <v>#REF!</v>
      </c>
      <c r="I73" t="e">
        <f>IF(#REF!,"AAAAAD2+fwg=",0)</f>
        <v>#REF!</v>
      </c>
      <c r="J73" t="e">
        <f>IF(#REF!,"AAAAAD2+fwk=",0)</f>
        <v>#REF!</v>
      </c>
      <c r="K73" t="e">
        <f>IF(#REF!,"AAAAAD2+fwo=",0)</f>
        <v>#REF!</v>
      </c>
      <c r="L73" t="e">
        <f>IF(#REF!,"AAAAAD2+fws=",0)</f>
        <v>#REF!</v>
      </c>
      <c r="M73" t="e">
        <f>IF(#REF!,"AAAAAD2+fww=",0)</f>
        <v>#REF!</v>
      </c>
      <c r="N73" t="e">
        <f>IF(#REF!,"AAAAAD2+fw0=",0)</f>
        <v>#REF!</v>
      </c>
      <c r="O73" t="e">
        <f>IF(#REF!,"AAAAAD2+fw4=",0)</f>
        <v>#REF!</v>
      </c>
      <c r="P73" t="e">
        <f>IF(#REF!,"AAAAAD2+fw8=",0)</f>
        <v>#REF!</v>
      </c>
      <c r="Q73" t="e">
        <f>IF(#REF!,"AAAAAD2+fxA=",0)</f>
        <v>#REF!</v>
      </c>
      <c r="R73" t="e">
        <f>IF(#REF!,"AAAAAD2+fxE=",0)</f>
        <v>#REF!</v>
      </c>
      <c r="S73" t="e">
        <f>IF(#REF!,"AAAAAD2+fxI=",0)</f>
        <v>#REF!</v>
      </c>
      <c r="T73" t="e">
        <f>IF(#REF!,"AAAAAD2+fxM=",0)</f>
        <v>#REF!</v>
      </c>
      <c r="U73" t="e">
        <f>IF(#REF!,"AAAAAD2+fxQ=",0)</f>
        <v>#REF!</v>
      </c>
      <c r="V73" t="e">
        <f>IF(#REF!,"AAAAAD2+fxU=",0)</f>
        <v>#REF!</v>
      </c>
      <c r="W73" t="e">
        <f>IF(#REF!,"AAAAAD2+fxY=",0)</f>
        <v>#REF!</v>
      </c>
      <c r="X73" t="e">
        <f>IF(#REF!,"AAAAAD2+fxc=",0)</f>
        <v>#REF!</v>
      </c>
      <c r="Y73" t="e">
        <f>IF(#REF!,"AAAAAD2+fxg=",0)</f>
        <v>#REF!</v>
      </c>
      <c r="Z73" t="e">
        <f>IF(#REF!,"AAAAAD2+fxk=",0)</f>
        <v>#REF!</v>
      </c>
      <c r="AA73" t="e">
        <f>IF(#REF!,"AAAAAD2+fxo=",0)</f>
        <v>#REF!</v>
      </c>
      <c r="AB73" t="e">
        <f>IF(#REF!,"AAAAAD2+fxs=",0)</f>
        <v>#REF!</v>
      </c>
      <c r="AC73" t="e">
        <f>IF(#REF!,"AAAAAD2+fxw=",0)</f>
        <v>#REF!</v>
      </c>
      <c r="AD73" t="e">
        <f>IF(#REF!,"AAAAAD2+fx0=",0)</f>
        <v>#REF!</v>
      </c>
      <c r="AE73" t="e">
        <f>IF(#REF!,"AAAAAD2+fx4=",0)</f>
        <v>#REF!</v>
      </c>
      <c r="AF73" t="e">
        <f>IF(#REF!,"AAAAAD2+fx8=",0)</f>
        <v>#REF!</v>
      </c>
      <c r="AG73" t="e">
        <f>IF(#REF!,"AAAAAD2+fyA=",0)</f>
        <v>#REF!</v>
      </c>
      <c r="AH73" t="e">
        <f>IF(#REF!,"AAAAAD2+fyE=",0)</f>
        <v>#REF!</v>
      </c>
      <c r="AI73" t="e">
        <f>IF(#REF!,"AAAAAD2+fyI=",0)</f>
        <v>#REF!</v>
      </c>
      <c r="AJ73" t="e">
        <f>IF(#REF!,"AAAAAD2+fyM=",0)</f>
        <v>#REF!</v>
      </c>
      <c r="AK73" t="e">
        <f>IF(#REF!,"AAAAAD2+fyQ=",0)</f>
        <v>#REF!</v>
      </c>
      <c r="AL73" t="e">
        <f>IF(#REF!,"AAAAAD2+fyU=",0)</f>
        <v>#REF!</v>
      </c>
      <c r="AM73" t="e">
        <f>IF(#REF!,"AAAAAD2+fyY=",0)</f>
        <v>#REF!</v>
      </c>
      <c r="AN73" t="e">
        <f>IF(#REF!,"AAAAAD2+fyc=",0)</f>
        <v>#REF!</v>
      </c>
      <c r="AO73" t="e">
        <f>IF(#REF!,"AAAAAD2+fyg=",0)</f>
        <v>#REF!</v>
      </c>
      <c r="AP73" t="e">
        <f>IF(#REF!,"AAAAAD2+fyk=",0)</f>
        <v>#REF!</v>
      </c>
      <c r="AQ73" t="e">
        <f>IF(#REF!,"AAAAAD2+fyo=",0)</f>
        <v>#REF!</v>
      </c>
      <c r="AR73" t="e">
        <f>IF(#REF!,"AAAAAD2+fys=",0)</f>
        <v>#REF!</v>
      </c>
      <c r="AS73" t="e">
        <f>AND(#REF!,"AAAAAD2+fyw=")</f>
        <v>#REF!</v>
      </c>
      <c r="AT73" t="e">
        <f>AND(#REF!,"AAAAAD2+fy0=")</f>
        <v>#REF!</v>
      </c>
      <c r="AU73" t="e">
        <f>AND(#REF!,"AAAAAD2+fy4=")</f>
        <v>#REF!</v>
      </c>
      <c r="AV73" t="e">
        <f>AND(#REF!,"AAAAAD2+fy8=")</f>
        <v>#REF!</v>
      </c>
      <c r="AW73" t="e">
        <f>AND(#REF!,"AAAAAD2+fzA=")</f>
        <v>#REF!</v>
      </c>
      <c r="AX73" t="e">
        <f>AND(#REF!,"AAAAAD2+fzE=")</f>
        <v>#REF!</v>
      </c>
      <c r="AY73" t="e">
        <f>AND(#REF!,"AAAAAD2+fzI=")</f>
        <v>#REF!</v>
      </c>
      <c r="AZ73" t="e">
        <f>AND(#REF!,"AAAAAD2+fzM=")</f>
        <v>#REF!</v>
      </c>
      <c r="BA73" t="e">
        <f>AND(#REF!,"AAAAAD2+fzQ=")</f>
        <v>#REF!</v>
      </c>
      <c r="BB73" t="e">
        <f>AND(#REF!,"AAAAAD2+fzU=")</f>
        <v>#REF!</v>
      </c>
      <c r="BC73" t="e">
        <f>AND(#REF!,"AAAAAD2+fzY=")</f>
        <v>#REF!</v>
      </c>
      <c r="BD73" t="e">
        <f>AND(#REF!,"AAAAAD2+fzc=")</f>
        <v>#REF!</v>
      </c>
      <c r="BE73" t="e">
        <f>AND(#REF!,"AAAAAD2+fzg=")</f>
        <v>#REF!</v>
      </c>
      <c r="BF73" t="e">
        <f>AND(#REF!,"AAAAAD2+fzk=")</f>
        <v>#REF!</v>
      </c>
      <c r="BG73" t="e">
        <f>AND(#REF!,"AAAAAD2+fzo=")</f>
        <v>#REF!</v>
      </c>
      <c r="BH73" t="e">
        <f>AND(#REF!,"AAAAAD2+fzs=")</f>
        <v>#REF!</v>
      </c>
      <c r="BI73" t="e">
        <f>AND(#REF!,"AAAAAD2+fzw=")</f>
        <v>#REF!</v>
      </c>
      <c r="BJ73" t="e">
        <f>AND(#REF!,"AAAAAD2+fz0=")</f>
        <v>#REF!</v>
      </c>
      <c r="BK73" t="e">
        <f>AND(#REF!,"AAAAAD2+fz4=")</f>
        <v>#REF!</v>
      </c>
      <c r="BL73" t="e">
        <f>AND(#REF!,"AAAAAD2+fz8=")</f>
        <v>#REF!</v>
      </c>
      <c r="BM73" t="e">
        <f>AND(#REF!,"AAAAAD2+f0A=")</f>
        <v>#REF!</v>
      </c>
      <c r="BN73" t="e">
        <f>AND(#REF!,"AAAAAD2+f0E=")</f>
        <v>#REF!</v>
      </c>
      <c r="BO73" t="e">
        <f>AND(#REF!,"AAAAAD2+f0I=")</f>
        <v>#REF!</v>
      </c>
      <c r="BP73" t="e">
        <f>AND(#REF!,"AAAAAD2+f0M=")</f>
        <v>#REF!</v>
      </c>
      <c r="BQ73" t="e">
        <f>AND(#REF!,"AAAAAD2+f0Q=")</f>
        <v>#REF!</v>
      </c>
      <c r="BR73" t="e">
        <f>AND(#REF!,"AAAAAD2+f0U=")</f>
        <v>#REF!</v>
      </c>
      <c r="BS73" t="e">
        <f>AND(#REF!,"AAAAAD2+f0Y=")</f>
        <v>#REF!</v>
      </c>
      <c r="BT73" t="e">
        <f>AND(#REF!,"AAAAAD2+f0c=")</f>
        <v>#REF!</v>
      </c>
      <c r="BU73" t="e">
        <f>AND(#REF!,"AAAAAD2+f0g=")</f>
        <v>#REF!</v>
      </c>
      <c r="BV73" t="e">
        <f>AND(#REF!,"AAAAAD2+f0k=")</f>
        <v>#REF!</v>
      </c>
      <c r="BW73" t="e">
        <f>AND(#REF!,"AAAAAD2+f0o=")</f>
        <v>#REF!</v>
      </c>
      <c r="BX73" t="e">
        <f>AND(#REF!,"AAAAAD2+f0s=")</f>
        <v>#REF!</v>
      </c>
      <c r="BY73" t="e">
        <f>AND(#REF!,"AAAAAD2+f0w=")</f>
        <v>#REF!</v>
      </c>
      <c r="BZ73" t="e">
        <f>AND(#REF!,"AAAAAD2+f00=")</f>
        <v>#REF!</v>
      </c>
      <c r="CA73" t="e">
        <f>AND(#REF!,"AAAAAD2+f04=")</f>
        <v>#REF!</v>
      </c>
      <c r="CB73" t="e">
        <f>AND(#REF!,"AAAAAD2+f08=")</f>
        <v>#REF!</v>
      </c>
      <c r="CC73" t="e">
        <f>AND(#REF!,"AAAAAD2+f1A=")</f>
        <v>#REF!</v>
      </c>
      <c r="CD73" t="e">
        <f>AND(#REF!,"AAAAAD2+f1E=")</f>
        <v>#REF!</v>
      </c>
      <c r="CE73" t="e">
        <f>AND(#REF!,"AAAAAD2+f1I=")</f>
        <v>#REF!</v>
      </c>
      <c r="CF73" t="e">
        <f>AND(#REF!,"AAAAAD2+f1M=")</f>
        <v>#REF!</v>
      </c>
      <c r="CG73" t="e">
        <f>AND(#REF!,"AAAAAD2+f1Q=")</f>
        <v>#REF!</v>
      </c>
      <c r="CH73" t="e">
        <f>AND(#REF!,"AAAAAD2+f1U=")</f>
        <v>#REF!</v>
      </c>
      <c r="CI73" t="e">
        <f>AND(#REF!,"AAAAAD2+f1Y=")</f>
        <v>#REF!</v>
      </c>
      <c r="CJ73" t="e">
        <f>AND(#REF!,"AAAAAD2+f1c=")</f>
        <v>#REF!</v>
      </c>
      <c r="CK73" t="e">
        <f>AND(#REF!,"AAAAAD2+f1g=")</f>
        <v>#REF!</v>
      </c>
      <c r="CL73" t="e">
        <f>AND(#REF!,"AAAAAD2+f1k=")</f>
        <v>#REF!</v>
      </c>
      <c r="CM73" t="e">
        <f>AND(#REF!,"AAAAAD2+f1o=")</f>
        <v>#REF!</v>
      </c>
      <c r="CN73" t="e">
        <f>AND(#REF!,"AAAAAD2+f1s=")</f>
        <v>#REF!</v>
      </c>
      <c r="CO73" t="e">
        <f>AND(#REF!,"AAAAAD2+f1w=")</f>
        <v>#REF!</v>
      </c>
      <c r="CP73" t="e">
        <f>AND(#REF!,"AAAAAD2+f10=")</f>
        <v>#REF!</v>
      </c>
      <c r="CQ73" t="e">
        <f>AND(#REF!,"AAAAAD2+f14=")</f>
        <v>#REF!</v>
      </c>
      <c r="CR73" t="e">
        <f>AND(#REF!,"AAAAAD2+f18=")</f>
        <v>#REF!</v>
      </c>
      <c r="CS73" t="e">
        <f>AND(#REF!,"AAAAAD2+f2A=")</f>
        <v>#REF!</v>
      </c>
      <c r="CT73" t="e">
        <f>AND(#REF!,"AAAAAD2+f2E=")</f>
        <v>#REF!</v>
      </c>
      <c r="CU73" t="e">
        <f>AND(#REF!,"AAAAAD2+f2I=")</f>
        <v>#REF!</v>
      </c>
      <c r="CV73" t="e">
        <f>AND(#REF!,"AAAAAD2+f2M=")</f>
        <v>#REF!</v>
      </c>
      <c r="CW73" t="e">
        <f>AND(#REF!,"AAAAAD2+f2Q=")</f>
        <v>#REF!</v>
      </c>
      <c r="CX73" t="e">
        <f>AND(#REF!,"AAAAAD2+f2U=")</f>
        <v>#REF!</v>
      </c>
      <c r="CY73" t="e">
        <f>AND(#REF!,"AAAAAD2+f2Y=")</f>
        <v>#REF!</v>
      </c>
      <c r="CZ73" t="e">
        <f>AND(#REF!,"AAAAAD2+f2c=")</f>
        <v>#REF!</v>
      </c>
      <c r="DA73" t="e">
        <f>AND(#REF!,"AAAAAD2+f2g=")</f>
        <v>#REF!</v>
      </c>
      <c r="DB73" t="e">
        <f>AND(#REF!,"AAAAAD2+f2k=")</f>
        <v>#REF!</v>
      </c>
      <c r="DC73" t="e">
        <f>AND(#REF!,"AAAAAD2+f2o=")</f>
        <v>#REF!</v>
      </c>
      <c r="DD73" t="e">
        <f>AND(#REF!,"AAAAAD2+f2s=")</f>
        <v>#REF!</v>
      </c>
      <c r="DE73" t="e">
        <f>AND(#REF!,"AAAAAD2+f2w=")</f>
        <v>#REF!</v>
      </c>
      <c r="DF73" t="e">
        <f>AND(#REF!,"AAAAAD2+f20=")</f>
        <v>#REF!</v>
      </c>
      <c r="DG73" t="e">
        <f>AND(#REF!,"AAAAAD2+f24=")</f>
        <v>#REF!</v>
      </c>
      <c r="DH73" t="e">
        <f>AND(#REF!,"AAAAAD2+f28=")</f>
        <v>#REF!</v>
      </c>
      <c r="DI73" t="e">
        <f>AND(#REF!,"AAAAAD2+f3A=")</f>
        <v>#REF!</v>
      </c>
      <c r="DJ73" t="e">
        <f>AND(#REF!,"AAAAAD2+f3E=")</f>
        <v>#REF!</v>
      </c>
      <c r="DK73" t="e">
        <f>AND(#REF!,"AAAAAD2+f3I=")</f>
        <v>#REF!</v>
      </c>
      <c r="DL73" t="e">
        <f>AND(#REF!,"AAAAAD2+f3M=")</f>
        <v>#REF!</v>
      </c>
      <c r="DM73" t="e">
        <f>AND(#REF!,"AAAAAD2+f3Q=")</f>
        <v>#REF!</v>
      </c>
      <c r="DN73" t="e">
        <f>AND(#REF!,"AAAAAD2+f3U=")</f>
        <v>#REF!</v>
      </c>
      <c r="DO73" t="e">
        <f>AND(#REF!,"AAAAAD2+f3Y=")</f>
        <v>#REF!</v>
      </c>
      <c r="DP73" t="e">
        <f>AND(#REF!,"AAAAAD2+f3c=")</f>
        <v>#REF!</v>
      </c>
      <c r="DQ73" t="e">
        <f>AND(#REF!,"AAAAAD2+f3g=")</f>
        <v>#REF!</v>
      </c>
      <c r="DR73" t="e">
        <f>AND(#REF!,"AAAAAD2+f3k=")</f>
        <v>#REF!</v>
      </c>
      <c r="DS73" t="e">
        <f>AND(#REF!,"AAAAAD2+f3o=")</f>
        <v>#REF!</v>
      </c>
      <c r="DT73" t="e">
        <f>AND(#REF!,"AAAAAD2+f3s=")</f>
        <v>#REF!</v>
      </c>
      <c r="DU73" t="e">
        <f>AND(#REF!,"AAAAAD2+f3w=")</f>
        <v>#REF!</v>
      </c>
      <c r="DV73" t="e">
        <f>AND(#REF!,"AAAAAD2+f30=")</f>
        <v>#REF!</v>
      </c>
      <c r="DW73" t="e">
        <f>AND(#REF!,"AAAAAD2+f34=")</f>
        <v>#REF!</v>
      </c>
      <c r="DX73" t="e">
        <f>AND(#REF!,"AAAAAD2+f38=")</f>
        <v>#REF!</v>
      </c>
      <c r="DY73" t="e">
        <f>AND(#REF!,"AAAAAD2+f4A=")</f>
        <v>#REF!</v>
      </c>
      <c r="DZ73" t="e">
        <f>AND(#REF!,"AAAAAD2+f4E=")</f>
        <v>#REF!</v>
      </c>
      <c r="EA73" t="e">
        <f>AND(#REF!,"AAAAAD2+f4I=")</f>
        <v>#REF!</v>
      </c>
      <c r="EB73" t="e">
        <f>AND(#REF!,"AAAAAD2+f4M=")</f>
        <v>#REF!</v>
      </c>
      <c r="EC73" t="e">
        <f>AND(#REF!,"AAAAAD2+f4Q=")</f>
        <v>#REF!</v>
      </c>
      <c r="ED73" t="e">
        <f>AND(#REF!,"AAAAAD2+f4U=")</f>
        <v>#REF!</v>
      </c>
      <c r="EE73" t="e">
        <f>AND(#REF!,"AAAAAD2+f4Y=")</f>
        <v>#REF!</v>
      </c>
      <c r="EF73" t="e">
        <f>AND(#REF!,"AAAAAD2+f4c=")</f>
        <v>#REF!</v>
      </c>
      <c r="EG73" t="e">
        <f>AND(#REF!,"AAAAAD2+f4g=")</f>
        <v>#REF!</v>
      </c>
      <c r="EH73" t="e">
        <f>AND(#REF!,"AAAAAD2+f4k=")</f>
        <v>#REF!</v>
      </c>
      <c r="EI73" t="e">
        <f>AND(#REF!,"AAAAAD2+f4o=")</f>
        <v>#REF!</v>
      </c>
      <c r="EJ73" t="e">
        <f>AND(#REF!,"AAAAAD2+f4s=")</f>
        <v>#REF!</v>
      </c>
      <c r="EK73" t="e">
        <f>AND(#REF!,"AAAAAD2+f4w=")</f>
        <v>#REF!</v>
      </c>
      <c r="EL73" t="e">
        <f>AND(#REF!,"AAAAAD2+f40=")</f>
        <v>#REF!</v>
      </c>
      <c r="EM73" t="e">
        <f>AND(#REF!,"AAAAAD2+f44=")</f>
        <v>#REF!</v>
      </c>
      <c r="EN73" t="e">
        <f>AND(#REF!,"AAAAAD2+f48=")</f>
        <v>#REF!</v>
      </c>
      <c r="EO73" t="e">
        <f>AND(#REF!,"AAAAAD2+f5A=")</f>
        <v>#REF!</v>
      </c>
      <c r="EP73" t="e">
        <f>AND(#REF!,"AAAAAD2+f5E=")</f>
        <v>#REF!</v>
      </c>
      <c r="EQ73" t="e">
        <f>AND(#REF!,"AAAAAD2+f5I=")</f>
        <v>#REF!</v>
      </c>
      <c r="ER73" t="e">
        <f>AND(#REF!,"AAAAAD2+f5M=")</f>
        <v>#REF!</v>
      </c>
      <c r="ES73" t="e">
        <f>AND(#REF!,"AAAAAD2+f5Q=")</f>
        <v>#REF!</v>
      </c>
      <c r="ET73" t="e">
        <f>AND(#REF!,"AAAAAD2+f5U=")</f>
        <v>#REF!</v>
      </c>
      <c r="EU73" t="e">
        <f>AND(#REF!,"AAAAAD2+f5Y=")</f>
        <v>#REF!</v>
      </c>
      <c r="EV73" t="e">
        <f>AND(#REF!,"AAAAAD2+f5c=")</f>
        <v>#REF!</v>
      </c>
      <c r="EW73" t="e">
        <f>AND(#REF!,"AAAAAD2+f5g=")</f>
        <v>#REF!</v>
      </c>
      <c r="EX73" t="e">
        <f>AND(#REF!,"AAAAAD2+f5k=")</f>
        <v>#REF!</v>
      </c>
      <c r="EY73" t="e">
        <f>AND(#REF!,"AAAAAD2+f5o=")</f>
        <v>#REF!</v>
      </c>
      <c r="EZ73" t="e">
        <f>AND(#REF!,"AAAAAD2+f5s=")</f>
        <v>#REF!</v>
      </c>
      <c r="FA73" t="e">
        <f>AND(#REF!,"AAAAAD2+f5w=")</f>
        <v>#REF!</v>
      </c>
      <c r="FB73" t="e">
        <f>AND(#REF!,"AAAAAD2+f50=")</f>
        <v>#REF!</v>
      </c>
      <c r="FC73" t="e">
        <f>AND(#REF!,"AAAAAD2+f54=")</f>
        <v>#REF!</v>
      </c>
      <c r="FD73" t="e">
        <f>AND(#REF!,"AAAAAD2+f58=")</f>
        <v>#REF!</v>
      </c>
      <c r="FE73" t="e">
        <f>AND(#REF!,"AAAAAD2+f6A=")</f>
        <v>#REF!</v>
      </c>
      <c r="FF73" t="e">
        <f>AND(#REF!,"AAAAAD2+f6E=")</f>
        <v>#REF!</v>
      </c>
      <c r="FG73" t="e">
        <f>AND(#REF!,"AAAAAD2+f6I=")</f>
        <v>#REF!</v>
      </c>
      <c r="FH73" t="e">
        <f>AND(#REF!,"AAAAAD2+f6M=")</f>
        <v>#REF!</v>
      </c>
      <c r="FI73" t="e">
        <f>AND(#REF!,"AAAAAD2+f6Q=")</f>
        <v>#REF!</v>
      </c>
      <c r="FJ73" t="e">
        <f>AND(#REF!,"AAAAAD2+f6U=")</f>
        <v>#REF!</v>
      </c>
      <c r="FK73" t="e">
        <f>AND(#REF!,"AAAAAD2+f6Y=")</f>
        <v>#REF!</v>
      </c>
      <c r="FL73" t="e">
        <f>AND(#REF!,"AAAAAD2+f6c=")</f>
        <v>#REF!</v>
      </c>
      <c r="FM73" t="e">
        <f>AND(#REF!,"AAAAAD2+f6g=")</f>
        <v>#REF!</v>
      </c>
      <c r="FN73" t="e">
        <f>AND(#REF!,"AAAAAD2+f6k=")</f>
        <v>#REF!</v>
      </c>
      <c r="FO73" t="e">
        <f>AND(#REF!,"AAAAAD2+f6o=")</f>
        <v>#REF!</v>
      </c>
      <c r="FP73" t="e">
        <f>AND(#REF!,"AAAAAD2+f6s=")</f>
        <v>#REF!</v>
      </c>
      <c r="FQ73" t="e">
        <f>AND(#REF!,"AAAAAD2+f6w=")</f>
        <v>#REF!</v>
      </c>
      <c r="FR73" t="e">
        <f>AND(#REF!,"AAAAAD2+f60=")</f>
        <v>#REF!</v>
      </c>
      <c r="FS73" t="e">
        <f>AND(#REF!,"AAAAAD2+f64=")</f>
        <v>#REF!</v>
      </c>
      <c r="FT73" t="e">
        <f>AND(#REF!,"AAAAAD2+f68=")</f>
        <v>#REF!</v>
      </c>
      <c r="FU73" t="e">
        <f>AND(#REF!,"AAAAAD2+f7A=")</f>
        <v>#REF!</v>
      </c>
      <c r="FV73" t="e">
        <f>AND(#REF!,"AAAAAD2+f7E=")</f>
        <v>#REF!</v>
      </c>
      <c r="FW73" t="e">
        <f>AND(#REF!,"AAAAAD2+f7I=")</f>
        <v>#REF!</v>
      </c>
      <c r="FX73" t="e">
        <f>AND(#REF!,"AAAAAD2+f7M=")</f>
        <v>#REF!</v>
      </c>
      <c r="FY73" t="e">
        <f>AND(#REF!,"AAAAAD2+f7Q=")</f>
        <v>#REF!</v>
      </c>
      <c r="FZ73" t="e">
        <f>AND(#REF!,"AAAAAD2+f7U=")</f>
        <v>#REF!</v>
      </c>
      <c r="GA73" t="e">
        <f>AND(#REF!,"AAAAAD2+f7Y=")</f>
        <v>#REF!</v>
      </c>
      <c r="GB73" t="e">
        <f>AND(#REF!,"AAAAAD2+f7c=")</f>
        <v>#REF!</v>
      </c>
      <c r="GC73" t="e">
        <f>AND(#REF!,"AAAAAD2+f7g=")</f>
        <v>#REF!</v>
      </c>
      <c r="GD73" t="e">
        <f>AND(#REF!,"AAAAAD2+f7k=")</f>
        <v>#REF!</v>
      </c>
      <c r="GE73" t="e">
        <f>AND(#REF!,"AAAAAD2+f7o=")</f>
        <v>#REF!</v>
      </c>
      <c r="GF73" t="e">
        <f>AND(#REF!,"AAAAAD2+f7s=")</f>
        <v>#REF!</v>
      </c>
      <c r="GG73" t="e">
        <f>AND(#REF!,"AAAAAD2+f7w=")</f>
        <v>#REF!</v>
      </c>
      <c r="GH73" t="e">
        <f>AND(#REF!,"AAAAAD2+f70=")</f>
        <v>#REF!</v>
      </c>
      <c r="GI73" t="e">
        <f>AND(#REF!,"AAAAAD2+f74=")</f>
        <v>#REF!</v>
      </c>
      <c r="GJ73" t="e">
        <f>AND(#REF!,"AAAAAD2+f78=")</f>
        <v>#REF!</v>
      </c>
      <c r="GK73" t="e">
        <f>AND(#REF!,"AAAAAD2+f8A=")</f>
        <v>#REF!</v>
      </c>
      <c r="GL73" t="e">
        <f>AND(#REF!,"AAAAAD2+f8E=")</f>
        <v>#REF!</v>
      </c>
      <c r="GM73" t="e">
        <f>AND(#REF!,"AAAAAD2+f8I=")</f>
        <v>#REF!</v>
      </c>
      <c r="GN73" t="e">
        <f>AND(#REF!,"AAAAAD2+f8M=")</f>
        <v>#REF!</v>
      </c>
      <c r="GO73" t="e">
        <f>AND(#REF!,"AAAAAD2+f8Q=")</f>
        <v>#REF!</v>
      </c>
      <c r="GP73" t="e">
        <f>AND(#REF!,"AAAAAD2+f8U=")</f>
        <v>#REF!</v>
      </c>
      <c r="GQ73" t="e">
        <f>AND(#REF!,"AAAAAD2+f8Y=")</f>
        <v>#REF!</v>
      </c>
      <c r="GR73" t="e">
        <f>AND(#REF!,"AAAAAD2+f8c=")</f>
        <v>#REF!</v>
      </c>
      <c r="GS73" t="e">
        <f>AND(#REF!,"AAAAAD2+f8g=")</f>
        <v>#REF!</v>
      </c>
      <c r="GT73" t="e">
        <f>AND(#REF!,"AAAAAD2+f8k=")</f>
        <v>#REF!</v>
      </c>
      <c r="GU73" t="e">
        <f>AND(#REF!,"AAAAAD2+f8o=")</f>
        <v>#REF!</v>
      </c>
      <c r="GV73" t="e">
        <f>AND(#REF!,"AAAAAD2+f8s=")</f>
        <v>#REF!</v>
      </c>
      <c r="GW73" t="e">
        <f>AND(#REF!,"AAAAAD2+f8w=")</f>
        <v>#REF!</v>
      </c>
      <c r="GX73" t="e">
        <f>AND(#REF!,"AAAAAD2+f80=")</f>
        <v>#REF!</v>
      </c>
      <c r="GY73" t="e">
        <f>AND(#REF!,"AAAAAD2+f84=")</f>
        <v>#REF!</v>
      </c>
      <c r="GZ73" t="e">
        <f>AND(#REF!,"AAAAAD2+f88=")</f>
        <v>#REF!</v>
      </c>
      <c r="HA73" t="e">
        <f>AND(#REF!,"AAAAAD2+f9A=")</f>
        <v>#REF!</v>
      </c>
      <c r="HB73" t="e">
        <f>AND(#REF!,"AAAAAD2+f9E=")</f>
        <v>#REF!</v>
      </c>
      <c r="HC73" t="e">
        <f>AND(#REF!,"AAAAAD2+f9I=")</f>
        <v>#REF!</v>
      </c>
      <c r="HD73" t="e">
        <f>AND(#REF!,"AAAAAD2+f9M=")</f>
        <v>#REF!</v>
      </c>
      <c r="HE73" t="e">
        <f>AND(#REF!,"AAAAAD2+f9Q=")</f>
        <v>#REF!</v>
      </c>
      <c r="HF73" t="e">
        <f>AND(#REF!,"AAAAAD2+f9U=")</f>
        <v>#REF!</v>
      </c>
      <c r="HG73" t="e">
        <f>AND(#REF!,"AAAAAD2+f9Y=")</f>
        <v>#REF!</v>
      </c>
      <c r="HH73" t="e">
        <f>AND(#REF!,"AAAAAD2+f9c=")</f>
        <v>#REF!</v>
      </c>
      <c r="HI73" t="e">
        <f>AND(#REF!,"AAAAAD2+f9g=")</f>
        <v>#REF!</v>
      </c>
      <c r="HJ73" t="e">
        <f>AND(#REF!,"AAAAAD2+f9k=")</f>
        <v>#REF!</v>
      </c>
      <c r="HK73" t="e">
        <f>AND(#REF!,"AAAAAD2+f9o=")</f>
        <v>#REF!</v>
      </c>
      <c r="HL73" t="e">
        <f>AND(#REF!,"AAAAAD2+f9s=")</f>
        <v>#REF!</v>
      </c>
      <c r="HM73" t="e">
        <f>AND(#REF!,"AAAAAD2+f9w=")</f>
        <v>#REF!</v>
      </c>
      <c r="HN73" t="e">
        <f>AND(#REF!,"AAAAAD2+f90=")</f>
        <v>#REF!</v>
      </c>
      <c r="HO73" t="e">
        <f>AND(#REF!,"AAAAAD2+f94=")</f>
        <v>#REF!</v>
      </c>
      <c r="HP73" t="e">
        <f>AND(#REF!,"AAAAAD2+f98=")</f>
        <v>#REF!</v>
      </c>
      <c r="HQ73" t="e">
        <f>AND(#REF!,"AAAAAD2+f+A=")</f>
        <v>#REF!</v>
      </c>
      <c r="HR73" t="e">
        <f>AND(#REF!,"AAAAAD2+f+E=")</f>
        <v>#REF!</v>
      </c>
      <c r="HS73" t="e">
        <f>AND(#REF!,"AAAAAD2+f+I=")</f>
        <v>#REF!</v>
      </c>
      <c r="HT73" t="e">
        <f>AND(#REF!,"AAAAAD2+f+M=")</f>
        <v>#REF!</v>
      </c>
      <c r="HU73" t="e">
        <f>AND(#REF!,"AAAAAD2+f+Q=")</f>
        <v>#REF!</v>
      </c>
      <c r="HV73" t="e">
        <f>AND(#REF!,"AAAAAD2+f+U=")</f>
        <v>#REF!</v>
      </c>
      <c r="HW73" t="e">
        <f>AND(#REF!,"AAAAAD2+f+Y=")</f>
        <v>#REF!</v>
      </c>
      <c r="HX73" t="e">
        <f>AND(#REF!,"AAAAAD2+f+c=")</f>
        <v>#REF!</v>
      </c>
      <c r="HY73" t="e">
        <f>AND(#REF!,"AAAAAD2+f+g=")</f>
        <v>#REF!</v>
      </c>
      <c r="HZ73" t="e">
        <f>AND(#REF!,"AAAAAD2+f+k=")</f>
        <v>#REF!</v>
      </c>
      <c r="IA73" t="e">
        <f>AND(#REF!,"AAAAAD2+f+o=")</f>
        <v>#REF!</v>
      </c>
      <c r="IB73" t="e">
        <f>AND(#REF!,"AAAAAD2+f+s=")</f>
        <v>#REF!</v>
      </c>
      <c r="IC73" t="e">
        <f>AND(#REF!,"AAAAAD2+f+w=")</f>
        <v>#REF!</v>
      </c>
      <c r="ID73" t="e">
        <f>AND(#REF!,"AAAAAD2+f+0=")</f>
        <v>#REF!</v>
      </c>
      <c r="IE73" t="e">
        <f>AND(#REF!,"AAAAAD2+f+4=")</f>
        <v>#REF!</v>
      </c>
      <c r="IF73" t="e">
        <f>AND(#REF!,"AAAAAD2+f+8=")</f>
        <v>#REF!</v>
      </c>
      <c r="IG73" t="e">
        <f>AND(#REF!,"AAAAAD2+f/A=")</f>
        <v>#REF!</v>
      </c>
      <c r="IH73" t="e">
        <f>AND(#REF!,"AAAAAD2+f/E=")</f>
        <v>#REF!</v>
      </c>
      <c r="II73" t="e">
        <f>AND(#REF!,"AAAAAD2+f/I=")</f>
        <v>#REF!</v>
      </c>
      <c r="IJ73" t="e">
        <f>AND(#REF!,"AAAAAD2+f/M=")</f>
        <v>#REF!</v>
      </c>
      <c r="IK73" t="e">
        <f>AND(#REF!,"AAAAAD2+f/Q=")</f>
        <v>#REF!</v>
      </c>
      <c r="IL73" t="e">
        <f>AND(#REF!,"AAAAAD2+f/U=")</f>
        <v>#REF!</v>
      </c>
      <c r="IM73" t="e">
        <f>AND(#REF!,"AAAAAD2+f/Y=")</f>
        <v>#REF!</v>
      </c>
      <c r="IN73" t="e">
        <f>AND(#REF!,"AAAAAD2+f/c=")</f>
        <v>#REF!</v>
      </c>
      <c r="IO73" t="e">
        <f>AND(#REF!,"AAAAAD2+f/g=")</f>
        <v>#REF!</v>
      </c>
      <c r="IP73" t="e">
        <f>AND(#REF!,"AAAAAD2+f/k=")</f>
        <v>#REF!</v>
      </c>
      <c r="IQ73" t="e">
        <f>AND(#REF!,"AAAAAD2+f/o=")</f>
        <v>#REF!</v>
      </c>
      <c r="IR73" t="e">
        <f>AND(#REF!,"AAAAAD2+f/s=")</f>
        <v>#REF!</v>
      </c>
      <c r="IS73" t="e">
        <f>AND(#REF!,"AAAAAD2+f/w=")</f>
        <v>#REF!</v>
      </c>
      <c r="IT73" t="e">
        <f>AND(#REF!,"AAAAAD2+f/0=")</f>
        <v>#REF!</v>
      </c>
      <c r="IU73" t="e">
        <f>AND(#REF!,"AAAAAD2+f/4=")</f>
        <v>#REF!</v>
      </c>
      <c r="IV73" t="e">
        <f>AND(#REF!,"AAAAAD2+f/8=")</f>
        <v>#REF!</v>
      </c>
    </row>
    <row r="74" spans="1:256">
      <c r="A74" t="e">
        <f>AND(#REF!,"AAAAAHf64wA=")</f>
        <v>#REF!</v>
      </c>
      <c r="B74" t="e">
        <f>AND(#REF!,"AAAAAHf64wE=")</f>
        <v>#REF!</v>
      </c>
      <c r="C74" t="e">
        <f>AND(#REF!,"AAAAAHf64wI=")</f>
        <v>#REF!</v>
      </c>
      <c r="D74" t="e">
        <f>AND(#REF!,"AAAAAHf64wM=")</f>
        <v>#REF!</v>
      </c>
      <c r="E74" t="e">
        <f>AND(#REF!,"AAAAAHf64wQ=")</f>
        <v>#REF!</v>
      </c>
      <c r="F74" t="e">
        <f>AND(#REF!,"AAAAAHf64wU=")</f>
        <v>#REF!</v>
      </c>
      <c r="G74" t="e">
        <f>AND(#REF!,"AAAAAHf64wY=")</f>
        <v>#REF!</v>
      </c>
      <c r="H74" t="e">
        <f>AND(#REF!,"AAAAAHf64wc=")</f>
        <v>#REF!</v>
      </c>
      <c r="I74" t="e">
        <f>AND(#REF!,"AAAAAHf64wg=")</f>
        <v>#REF!</v>
      </c>
      <c r="J74" t="e">
        <f>AND(#REF!,"AAAAAHf64wk=")</f>
        <v>#REF!</v>
      </c>
      <c r="K74" t="e">
        <f>AND(#REF!,"AAAAAHf64wo=")</f>
        <v>#REF!</v>
      </c>
      <c r="L74" t="e">
        <f>AND(#REF!,"AAAAAHf64ws=")</f>
        <v>#REF!</v>
      </c>
      <c r="M74" t="e">
        <f>AND(#REF!,"AAAAAHf64ww=")</f>
        <v>#REF!</v>
      </c>
      <c r="N74" t="e">
        <f>AND(#REF!,"AAAAAHf64w0=")</f>
        <v>#REF!</v>
      </c>
      <c r="O74" t="e">
        <f>AND(#REF!,"AAAAAHf64w4=")</f>
        <v>#REF!</v>
      </c>
      <c r="P74" t="e">
        <f>AND(#REF!,"AAAAAHf64w8=")</f>
        <v>#REF!</v>
      </c>
      <c r="Q74" t="e">
        <f>AND(#REF!,"AAAAAHf64xA=")</f>
        <v>#REF!</v>
      </c>
      <c r="R74" t="e">
        <f>AND(#REF!,"AAAAAHf64xE=")</f>
        <v>#REF!</v>
      </c>
      <c r="S74" t="e">
        <f>AND(#REF!,"AAAAAHf64xI=")</f>
        <v>#REF!</v>
      </c>
      <c r="T74" t="e">
        <f>AND(#REF!,"AAAAAHf64xM=")</f>
        <v>#REF!</v>
      </c>
      <c r="U74" t="e">
        <f>AND(#REF!,"AAAAAHf64xQ=")</f>
        <v>#REF!</v>
      </c>
      <c r="V74" t="e">
        <f>AND(#REF!,"AAAAAHf64xU=")</f>
        <v>#REF!</v>
      </c>
      <c r="W74" t="e">
        <f>AND(#REF!,"AAAAAHf64xY=")</f>
        <v>#REF!</v>
      </c>
      <c r="X74" t="e">
        <f>AND(#REF!,"AAAAAHf64xc=")</f>
        <v>#REF!</v>
      </c>
      <c r="Y74" t="e">
        <f>AND(#REF!,"AAAAAHf64xg=")</f>
        <v>#REF!</v>
      </c>
      <c r="Z74" t="e">
        <f>AND(#REF!,"AAAAAHf64xk=")</f>
        <v>#REF!</v>
      </c>
      <c r="AA74" t="e">
        <f>AND(#REF!,"AAAAAHf64xo=")</f>
        <v>#REF!</v>
      </c>
      <c r="AB74" t="e">
        <f>AND(#REF!,"AAAAAHf64xs=")</f>
        <v>#REF!</v>
      </c>
      <c r="AC74" t="e">
        <f>AND(#REF!,"AAAAAHf64xw=")</f>
        <v>#REF!</v>
      </c>
      <c r="AD74" t="e">
        <f>AND(#REF!,"AAAAAHf64x0=")</f>
        <v>#REF!</v>
      </c>
      <c r="AE74" t="e">
        <f>AND(#REF!,"AAAAAHf64x4=")</f>
        <v>#REF!</v>
      </c>
      <c r="AF74" t="e">
        <f>AND(#REF!,"AAAAAHf64x8=")</f>
        <v>#REF!</v>
      </c>
      <c r="AG74" t="e">
        <f>AND(#REF!,"AAAAAHf64yA=")</f>
        <v>#REF!</v>
      </c>
      <c r="AH74" t="e">
        <f>AND(#REF!,"AAAAAHf64yE=")</f>
        <v>#REF!</v>
      </c>
      <c r="AI74" t="e">
        <f>AND(#REF!,"AAAAAHf64yI=")</f>
        <v>#REF!</v>
      </c>
      <c r="AJ74" t="e">
        <f>AND(#REF!,"AAAAAHf64yM=")</f>
        <v>#REF!</v>
      </c>
      <c r="AK74" t="e">
        <f>AND(#REF!,"AAAAAHf64yQ=")</f>
        <v>#REF!</v>
      </c>
      <c r="AL74" t="e">
        <f>AND(#REF!,"AAAAAHf64yU=")</f>
        <v>#REF!</v>
      </c>
      <c r="AM74" t="e">
        <f>AND(#REF!,"AAAAAHf64yY=")</f>
        <v>#REF!</v>
      </c>
      <c r="AN74" t="e">
        <f>AND(#REF!,"AAAAAHf64yc=")</f>
        <v>#REF!</v>
      </c>
      <c r="AO74" t="e">
        <f>AND(#REF!,"AAAAAHf64yg=")</f>
        <v>#REF!</v>
      </c>
      <c r="AP74" t="e">
        <f>AND(#REF!,"AAAAAHf64yk=")</f>
        <v>#REF!</v>
      </c>
      <c r="AQ74" t="e">
        <f>AND(#REF!,"AAAAAHf64yo=")</f>
        <v>#REF!</v>
      </c>
      <c r="AR74" t="e">
        <f>AND(#REF!,"AAAAAHf64ys=")</f>
        <v>#REF!</v>
      </c>
      <c r="AS74" t="e">
        <f>AND(#REF!,"AAAAAHf64yw=")</f>
        <v>#REF!</v>
      </c>
      <c r="AT74" t="e">
        <f>AND(#REF!,"AAAAAHf64y0=")</f>
        <v>#REF!</v>
      </c>
      <c r="AU74" t="e">
        <f>AND(#REF!,"AAAAAHf64y4=")</f>
        <v>#REF!</v>
      </c>
      <c r="AV74" t="e">
        <f>AND(#REF!,"AAAAAHf64y8=")</f>
        <v>#REF!</v>
      </c>
      <c r="AW74" t="e">
        <f>AND(#REF!,"AAAAAHf64zA=")</f>
        <v>#REF!</v>
      </c>
      <c r="AX74" t="e">
        <f>AND(#REF!,"AAAAAHf64zE=")</f>
        <v>#REF!</v>
      </c>
      <c r="AY74" t="e">
        <f>AND(#REF!,"AAAAAHf64zI=")</f>
        <v>#REF!</v>
      </c>
      <c r="AZ74" t="e">
        <f>AND(#REF!,"AAAAAHf64zM=")</f>
        <v>#REF!</v>
      </c>
      <c r="BA74" t="e">
        <f>AND(#REF!,"AAAAAHf64zQ=")</f>
        <v>#REF!</v>
      </c>
      <c r="BB74" t="e">
        <f>AND(#REF!,"AAAAAHf64zU=")</f>
        <v>#REF!</v>
      </c>
      <c r="BC74" t="e">
        <f>AND(#REF!,"AAAAAHf64zY=")</f>
        <v>#REF!</v>
      </c>
      <c r="BD74" t="e">
        <f>AND(#REF!,"AAAAAHf64zc=")</f>
        <v>#REF!</v>
      </c>
      <c r="BE74" t="e">
        <f>AND(#REF!,"AAAAAHf64zg=")</f>
        <v>#REF!</v>
      </c>
      <c r="BF74" t="e">
        <f>AND(#REF!,"AAAAAHf64zk=")</f>
        <v>#REF!</v>
      </c>
      <c r="BG74" t="e">
        <f>AND(#REF!,"AAAAAHf64zo=")</f>
        <v>#REF!</v>
      </c>
      <c r="BH74" t="e">
        <f>AND(#REF!,"AAAAAHf64zs=")</f>
        <v>#REF!</v>
      </c>
      <c r="BI74" t="e">
        <f>AND(#REF!,"AAAAAHf64zw=")</f>
        <v>#REF!</v>
      </c>
      <c r="BJ74" t="e">
        <f>AND(#REF!,"AAAAAHf64z0=")</f>
        <v>#REF!</v>
      </c>
      <c r="BK74" t="e">
        <f>AND(#REF!,"AAAAAHf64z4=")</f>
        <v>#REF!</v>
      </c>
      <c r="BL74" t="e">
        <f>AND(#REF!,"AAAAAHf64z8=")</f>
        <v>#REF!</v>
      </c>
      <c r="BM74" t="e">
        <f>AND(#REF!,"AAAAAHf640A=")</f>
        <v>#REF!</v>
      </c>
      <c r="BN74" t="e">
        <f>AND(#REF!,"AAAAAHf640E=")</f>
        <v>#REF!</v>
      </c>
      <c r="BO74" t="e">
        <f>AND(#REF!,"AAAAAHf640I=")</f>
        <v>#REF!</v>
      </c>
      <c r="BP74" t="e">
        <f>AND(#REF!,"AAAAAHf640M=")</f>
        <v>#REF!</v>
      </c>
      <c r="BQ74" t="e">
        <f>AND(#REF!,"AAAAAHf640Q=")</f>
        <v>#REF!</v>
      </c>
      <c r="BR74" t="e">
        <f>AND(#REF!,"AAAAAHf640U=")</f>
        <v>#REF!</v>
      </c>
      <c r="BS74" t="e">
        <f>AND(#REF!,"AAAAAHf640Y=")</f>
        <v>#REF!</v>
      </c>
      <c r="BT74" t="e">
        <f>AND(#REF!,"AAAAAHf640c=")</f>
        <v>#REF!</v>
      </c>
      <c r="BU74" t="e">
        <f>AND(#REF!,"AAAAAHf640g=")</f>
        <v>#REF!</v>
      </c>
      <c r="BV74" t="e">
        <f>AND(#REF!,"AAAAAHf640k=")</f>
        <v>#REF!</v>
      </c>
      <c r="BW74" t="e">
        <f>AND(#REF!,"AAAAAHf640o=")</f>
        <v>#REF!</v>
      </c>
      <c r="BX74" t="e">
        <f>AND(#REF!,"AAAAAHf640s=")</f>
        <v>#REF!</v>
      </c>
      <c r="BY74" t="e">
        <f>AND(#REF!,"AAAAAHf640w=")</f>
        <v>#REF!</v>
      </c>
      <c r="BZ74" t="e">
        <f>AND(#REF!,"AAAAAHf6400=")</f>
        <v>#REF!</v>
      </c>
      <c r="CA74" t="e">
        <f>AND(#REF!,"AAAAAHf6404=")</f>
        <v>#REF!</v>
      </c>
      <c r="CB74" t="e">
        <f>AND(#REF!,"AAAAAHf6408=")</f>
        <v>#REF!</v>
      </c>
      <c r="CC74" t="e">
        <f>AND(#REF!,"AAAAAHf641A=")</f>
        <v>#REF!</v>
      </c>
      <c r="CD74" t="e">
        <f>AND(#REF!,"AAAAAHf641E=")</f>
        <v>#REF!</v>
      </c>
      <c r="CE74" t="e">
        <f>AND(#REF!,"AAAAAHf641I=")</f>
        <v>#REF!</v>
      </c>
      <c r="CF74" t="e">
        <f>AND(#REF!,"AAAAAHf641M=")</f>
        <v>#REF!</v>
      </c>
      <c r="CG74" t="e">
        <f>AND(#REF!,"AAAAAHf641Q=")</f>
        <v>#REF!</v>
      </c>
      <c r="CH74" t="e">
        <f>AND(#REF!,"AAAAAHf641U=")</f>
        <v>#REF!</v>
      </c>
      <c r="CI74" t="e">
        <f>AND(#REF!,"AAAAAHf641Y=")</f>
        <v>#REF!</v>
      </c>
      <c r="CJ74" t="e">
        <f>AND(#REF!,"AAAAAHf641c=")</f>
        <v>#REF!</v>
      </c>
      <c r="CK74" t="e">
        <f>AND(#REF!,"AAAAAHf641g=")</f>
        <v>#REF!</v>
      </c>
      <c r="CL74" t="e">
        <f>AND(#REF!,"AAAAAHf641k=")</f>
        <v>#REF!</v>
      </c>
      <c r="CM74" t="e">
        <f>AND(#REF!,"AAAAAHf641o=")</f>
        <v>#REF!</v>
      </c>
      <c r="CN74" t="e">
        <f>AND(#REF!,"AAAAAHf641s=")</f>
        <v>#REF!</v>
      </c>
      <c r="CO74" t="e">
        <f>AND(#REF!,"AAAAAHf641w=")</f>
        <v>#REF!</v>
      </c>
      <c r="CP74" t="e">
        <f>AND(#REF!,"AAAAAHf6410=")</f>
        <v>#REF!</v>
      </c>
      <c r="CQ74" t="e">
        <f>AND(#REF!,"AAAAAHf6414=")</f>
        <v>#REF!</v>
      </c>
      <c r="CR74" t="e">
        <f>AND(#REF!,"AAAAAHf6418=")</f>
        <v>#REF!</v>
      </c>
      <c r="CS74" t="e">
        <f>AND(#REF!,"AAAAAHf642A=")</f>
        <v>#REF!</v>
      </c>
      <c r="CT74" t="e">
        <f>AND(#REF!,"AAAAAHf642E=")</f>
        <v>#REF!</v>
      </c>
      <c r="CU74" t="e">
        <f>AND(#REF!,"AAAAAHf642I=")</f>
        <v>#REF!</v>
      </c>
      <c r="CV74" t="e">
        <f>AND(#REF!,"AAAAAHf642M=")</f>
        <v>#REF!</v>
      </c>
      <c r="CW74" t="e">
        <f>AND(#REF!,"AAAAAHf642Q=")</f>
        <v>#REF!</v>
      </c>
      <c r="CX74" t="e">
        <f>AND(#REF!,"AAAAAHf642U=")</f>
        <v>#REF!</v>
      </c>
      <c r="CY74" t="e">
        <f>AND(#REF!,"AAAAAHf642Y=")</f>
        <v>#REF!</v>
      </c>
      <c r="CZ74" t="e">
        <f>AND(#REF!,"AAAAAHf642c=")</f>
        <v>#REF!</v>
      </c>
      <c r="DA74" t="e">
        <f>AND(#REF!,"AAAAAHf642g=")</f>
        <v>#REF!</v>
      </c>
      <c r="DB74" t="e">
        <f>AND(#REF!,"AAAAAHf642k=")</f>
        <v>#REF!</v>
      </c>
      <c r="DC74" t="e">
        <f>AND(#REF!,"AAAAAHf642o=")</f>
        <v>#REF!</v>
      </c>
      <c r="DD74" t="e">
        <f>AND(#REF!,"AAAAAHf642s=")</f>
        <v>#REF!</v>
      </c>
      <c r="DE74" t="e">
        <f>AND(#REF!,"AAAAAHf642w=")</f>
        <v>#REF!</v>
      </c>
      <c r="DF74" t="e">
        <f>AND(#REF!,"AAAAAHf6420=")</f>
        <v>#REF!</v>
      </c>
      <c r="DG74" t="e">
        <f>AND(#REF!,"AAAAAHf6424=")</f>
        <v>#REF!</v>
      </c>
      <c r="DH74" t="e">
        <f>AND(#REF!,"AAAAAHf6428=")</f>
        <v>#REF!</v>
      </c>
      <c r="DI74" t="e">
        <f>AND(#REF!,"AAAAAHf643A=")</f>
        <v>#REF!</v>
      </c>
      <c r="DJ74" t="e">
        <f>AND(#REF!,"AAAAAHf643E=")</f>
        <v>#REF!</v>
      </c>
      <c r="DK74" t="e">
        <f>AND(#REF!,"AAAAAHf643I=")</f>
        <v>#REF!</v>
      </c>
      <c r="DL74" t="e">
        <f>AND(#REF!,"AAAAAHf643M=")</f>
        <v>#REF!</v>
      </c>
      <c r="DM74" t="e">
        <f>AND(#REF!,"AAAAAHf643Q=")</f>
        <v>#REF!</v>
      </c>
      <c r="DN74" t="e">
        <f>AND(#REF!,"AAAAAHf643U=")</f>
        <v>#REF!</v>
      </c>
      <c r="DO74" t="e">
        <f>AND(#REF!,"AAAAAHf643Y=")</f>
        <v>#REF!</v>
      </c>
      <c r="DP74" t="e">
        <f>AND(#REF!,"AAAAAHf643c=")</f>
        <v>#REF!</v>
      </c>
      <c r="DQ74" t="e">
        <f>AND(#REF!,"AAAAAHf643g=")</f>
        <v>#REF!</v>
      </c>
      <c r="DR74" t="e">
        <f>AND(#REF!,"AAAAAHf643k=")</f>
        <v>#REF!</v>
      </c>
      <c r="DS74" t="e">
        <f>AND(#REF!,"AAAAAHf643o=")</f>
        <v>#REF!</v>
      </c>
      <c r="DT74" t="e">
        <f>AND(#REF!,"AAAAAHf643s=")</f>
        <v>#REF!</v>
      </c>
      <c r="DU74" t="e">
        <f>AND(#REF!,"AAAAAHf643w=")</f>
        <v>#REF!</v>
      </c>
      <c r="DV74" t="e">
        <f>AND(#REF!,"AAAAAHf6430=")</f>
        <v>#REF!</v>
      </c>
      <c r="DW74" t="e">
        <f>AND(#REF!,"AAAAAHf6434=")</f>
        <v>#REF!</v>
      </c>
      <c r="DX74" t="e">
        <f>AND(#REF!,"AAAAAHf6438=")</f>
        <v>#REF!</v>
      </c>
      <c r="DY74" t="e">
        <f>AND(#REF!,"AAAAAHf644A=")</f>
        <v>#REF!</v>
      </c>
      <c r="DZ74" t="e">
        <f>AND(#REF!,"AAAAAHf644E=")</f>
        <v>#REF!</v>
      </c>
      <c r="EA74" t="e">
        <f>AND(#REF!,"AAAAAHf644I=")</f>
        <v>#REF!</v>
      </c>
      <c r="EB74" t="e">
        <f>AND(#REF!,"AAAAAHf644M=")</f>
        <v>#REF!</v>
      </c>
      <c r="EC74" t="e">
        <f>AND(#REF!,"AAAAAHf644Q=")</f>
        <v>#REF!</v>
      </c>
      <c r="ED74" t="e">
        <f>AND(#REF!,"AAAAAHf644U=")</f>
        <v>#REF!</v>
      </c>
      <c r="EE74" t="e">
        <f>AND(#REF!,"AAAAAHf644Y=")</f>
        <v>#REF!</v>
      </c>
      <c r="EF74" t="e">
        <f>AND(#REF!,"AAAAAHf644c=")</f>
        <v>#REF!</v>
      </c>
      <c r="EG74" t="e">
        <f>AND(#REF!,"AAAAAHf644g=")</f>
        <v>#REF!</v>
      </c>
      <c r="EH74" t="e">
        <f>AND(#REF!,"AAAAAHf644k=")</f>
        <v>#REF!</v>
      </c>
      <c r="EI74" t="e">
        <f>AND(#REF!,"AAAAAHf644o=")</f>
        <v>#REF!</v>
      </c>
      <c r="EJ74" t="e">
        <f>AND(#REF!,"AAAAAHf644s=")</f>
        <v>#REF!</v>
      </c>
      <c r="EK74" t="e">
        <f>AND(#REF!,"AAAAAHf644w=")</f>
        <v>#REF!</v>
      </c>
      <c r="EL74" t="e">
        <f>AND(#REF!,"AAAAAHf6440=")</f>
        <v>#REF!</v>
      </c>
      <c r="EM74" t="e">
        <f>AND(#REF!,"AAAAAHf6444=")</f>
        <v>#REF!</v>
      </c>
      <c r="EN74" t="e">
        <f>AND(#REF!,"AAAAAHf6448=")</f>
        <v>#REF!</v>
      </c>
      <c r="EO74" t="e">
        <f>AND(#REF!,"AAAAAHf645A=")</f>
        <v>#REF!</v>
      </c>
      <c r="EP74" t="e">
        <f>AND(#REF!,"AAAAAHf645E=")</f>
        <v>#REF!</v>
      </c>
      <c r="EQ74" t="e">
        <f>AND(#REF!,"AAAAAHf645I=")</f>
        <v>#REF!</v>
      </c>
      <c r="ER74" t="e">
        <f>AND(#REF!,"AAAAAHf645M=")</f>
        <v>#REF!</v>
      </c>
      <c r="ES74" t="e">
        <f>AND(#REF!,"AAAAAHf645Q=")</f>
        <v>#REF!</v>
      </c>
      <c r="ET74" t="e">
        <f>AND(#REF!,"AAAAAHf645U=")</f>
        <v>#REF!</v>
      </c>
      <c r="EU74" t="e">
        <f>AND(#REF!,"AAAAAHf645Y=")</f>
        <v>#REF!</v>
      </c>
      <c r="EV74" t="e">
        <f>AND(#REF!,"AAAAAHf645c=")</f>
        <v>#REF!</v>
      </c>
      <c r="EW74" t="e">
        <f>AND(#REF!,"AAAAAHf645g=")</f>
        <v>#REF!</v>
      </c>
      <c r="EX74" t="e">
        <f>AND(#REF!,"AAAAAHf645k=")</f>
        <v>#REF!</v>
      </c>
      <c r="EY74" t="e">
        <f>AND(#REF!,"AAAAAHf645o=")</f>
        <v>#REF!</v>
      </c>
      <c r="EZ74" t="e">
        <f>AND(#REF!,"AAAAAHf645s=")</f>
        <v>#REF!</v>
      </c>
      <c r="FA74" t="e">
        <f>AND(#REF!,"AAAAAHf645w=")</f>
        <v>#REF!</v>
      </c>
      <c r="FB74" t="e">
        <f>AND(#REF!,"AAAAAHf6450=")</f>
        <v>#REF!</v>
      </c>
      <c r="FC74" t="e">
        <f>AND(#REF!,"AAAAAHf6454=")</f>
        <v>#REF!</v>
      </c>
      <c r="FD74" t="e">
        <f>AND(#REF!,"AAAAAHf6458=")</f>
        <v>#REF!</v>
      </c>
      <c r="FE74" t="e">
        <f>AND(#REF!,"AAAAAHf646A=")</f>
        <v>#REF!</v>
      </c>
      <c r="FF74" t="e">
        <f>AND(#REF!,"AAAAAHf646E=")</f>
        <v>#REF!</v>
      </c>
      <c r="FG74" t="e">
        <f>AND(#REF!,"AAAAAHf646I=")</f>
        <v>#REF!</v>
      </c>
      <c r="FH74" t="e">
        <f>AND(#REF!,"AAAAAHf646M=")</f>
        <v>#REF!</v>
      </c>
      <c r="FI74" t="e">
        <f>AND(#REF!,"AAAAAHf646Q=")</f>
        <v>#REF!</v>
      </c>
      <c r="FJ74" t="e">
        <f>AND(#REF!,"AAAAAHf646U=")</f>
        <v>#REF!</v>
      </c>
      <c r="FK74" t="e">
        <f>AND(#REF!,"AAAAAHf646Y=")</f>
        <v>#REF!</v>
      </c>
      <c r="FL74" t="e">
        <f>AND(#REF!,"AAAAAHf646c=")</f>
        <v>#REF!</v>
      </c>
      <c r="FM74" t="e">
        <f>AND(#REF!,"AAAAAHf646g=")</f>
        <v>#REF!</v>
      </c>
      <c r="FN74" t="e">
        <f>AND(#REF!,"AAAAAHf646k=")</f>
        <v>#REF!</v>
      </c>
      <c r="FO74" t="e">
        <f>AND(#REF!,"AAAAAHf646o=")</f>
        <v>#REF!</v>
      </c>
      <c r="FP74" t="e">
        <f>AND(#REF!,"AAAAAHf646s=")</f>
        <v>#REF!</v>
      </c>
      <c r="FQ74" t="e">
        <f>AND(#REF!,"AAAAAHf646w=")</f>
        <v>#REF!</v>
      </c>
      <c r="FR74" t="e">
        <f>AND(#REF!,"AAAAAHf6460=")</f>
        <v>#REF!</v>
      </c>
      <c r="FS74" t="e">
        <f>AND(#REF!,"AAAAAHf6464=")</f>
        <v>#REF!</v>
      </c>
      <c r="FT74" t="e">
        <f>AND(#REF!,"AAAAAHf6468=")</f>
        <v>#REF!</v>
      </c>
      <c r="FU74" t="e">
        <f>AND(#REF!,"AAAAAHf647A=")</f>
        <v>#REF!</v>
      </c>
      <c r="FV74" t="e">
        <f>AND(#REF!,"AAAAAHf647E=")</f>
        <v>#REF!</v>
      </c>
      <c r="FW74" t="e">
        <f>AND(#REF!,"AAAAAHf647I=")</f>
        <v>#REF!</v>
      </c>
      <c r="FX74" t="e">
        <f>AND(#REF!,"AAAAAHf647M=")</f>
        <v>#REF!</v>
      </c>
      <c r="FY74" t="e">
        <f>AND(#REF!,"AAAAAHf647Q=")</f>
        <v>#REF!</v>
      </c>
      <c r="FZ74" t="e">
        <f>AND(#REF!,"AAAAAHf647U=")</f>
        <v>#REF!</v>
      </c>
      <c r="GA74" t="e">
        <f>AND(#REF!,"AAAAAHf647Y=")</f>
        <v>#REF!</v>
      </c>
      <c r="GB74" t="e">
        <f>AND(#REF!,"AAAAAHf647c=")</f>
        <v>#REF!</v>
      </c>
      <c r="GC74" t="e">
        <f>AND(#REF!,"AAAAAHf647g=")</f>
        <v>#REF!</v>
      </c>
      <c r="GD74" t="e">
        <f>AND(#REF!,"AAAAAHf647k=")</f>
        <v>#REF!</v>
      </c>
      <c r="GE74" t="e">
        <f>AND(#REF!,"AAAAAHf647o=")</f>
        <v>#REF!</v>
      </c>
      <c r="GF74" t="e">
        <f>AND(#REF!,"AAAAAHf647s=")</f>
        <v>#REF!</v>
      </c>
      <c r="GG74" t="e">
        <f>AND(#REF!,"AAAAAHf647w=")</f>
        <v>#REF!</v>
      </c>
      <c r="GH74" t="e">
        <f>AND(#REF!,"AAAAAHf6470=")</f>
        <v>#REF!</v>
      </c>
      <c r="GI74" t="e">
        <f>AND(#REF!,"AAAAAHf6474=")</f>
        <v>#REF!</v>
      </c>
      <c r="GJ74" t="e">
        <f>AND(#REF!,"AAAAAHf6478=")</f>
        <v>#REF!</v>
      </c>
      <c r="GK74" t="e">
        <f>AND(#REF!,"AAAAAHf648A=")</f>
        <v>#REF!</v>
      </c>
      <c r="GL74" t="e">
        <f>AND(#REF!,"AAAAAHf648E=")</f>
        <v>#REF!</v>
      </c>
      <c r="GM74" t="e">
        <f>AND(#REF!,"AAAAAHf648I=")</f>
        <v>#REF!</v>
      </c>
      <c r="GN74" t="e">
        <f>AND(#REF!,"AAAAAHf648M=")</f>
        <v>#REF!</v>
      </c>
      <c r="GO74" t="e">
        <f>AND(#REF!,"AAAAAHf648Q=")</f>
        <v>#REF!</v>
      </c>
      <c r="GP74" t="e">
        <f>AND(#REF!,"AAAAAHf648U=")</f>
        <v>#REF!</v>
      </c>
      <c r="GQ74" t="e">
        <f>AND(#REF!,"AAAAAHf648Y=")</f>
        <v>#REF!</v>
      </c>
      <c r="GR74" t="e">
        <f>AND(#REF!,"AAAAAHf648c=")</f>
        <v>#REF!</v>
      </c>
      <c r="GS74" t="e">
        <f>AND(#REF!,"AAAAAHf648g=")</f>
        <v>#REF!</v>
      </c>
      <c r="GT74" t="e">
        <f>AND(#REF!,"AAAAAHf648k=")</f>
        <v>#REF!</v>
      </c>
      <c r="GU74" t="e">
        <f>AND(#REF!,"AAAAAHf648o=")</f>
        <v>#REF!</v>
      </c>
      <c r="GV74" t="e">
        <f>AND(#REF!,"AAAAAHf648s=")</f>
        <v>#REF!</v>
      </c>
      <c r="GW74" t="e">
        <f>AND(#REF!,"AAAAAHf648w=")</f>
        <v>#REF!</v>
      </c>
      <c r="GX74" t="e">
        <f>AND(#REF!,"AAAAAHf6480=")</f>
        <v>#REF!</v>
      </c>
      <c r="GY74" t="e">
        <f>AND(#REF!,"AAAAAHf6484=")</f>
        <v>#REF!</v>
      </c>
      <c r="GZ74" t="e">
        <f>AND(#REF!,"AAAAAHf6488=")</f>
        <v>#REF!</v>
      </c>
      <c r="HA74" t="e">
        <f>AND(#REF!,"AAAAAHf649A=")</f>
        <v>#REF!</v>
      </c>
      <c r="HB74" t="e">
        <f>AND(#REF!,"AAAAAHf649E=")</f>
        <v>#REF!</v>
      </c>
      <c r="HC74" t="e">
        <f>AND(#REF!,"AAAAAHf649I=")</f>
        <v>#REF!</v>
      </c>
      <c r="HD74" t="e">
        <f>AND(#REF!,"AAAAAHf649M=")</f>
        <v>#REF!</v>
      </c>
      <c r="HE74" t="e">
        <f>AND(#REF!,"AAAAAHf649Q=")</f>
        <v>#REF!</v>
      </c>
      <c r="HF74" t="e">
        <f>AND(#REF!,"AAAAAHf649U=")</f>
        <v>#REF!</v>
      </c>
      <c r="HG74" t="e">
        <f>AND(#REF!,"AAAAAHf649Y=")</f>
        <v>#REF!</v>
      </c>
      <c r="HH74" t="e">
        <f>AND(#REF!,"AAAAAHf649c=")</f>
        <v>#REF!</v>
      </c>
      <c r="HI74" t="e">
        <f>AND(#REF!,"AAAAAHf649g=")</f>
        <v>#REF!</v>
      </c>
      <c r="HJ74" t="e">
        <f>AND(#REF!,"AAAAAHf649k=")</f>
        <v>#REF!</v>
      </c>
      <c r="HK74" t="e">
        <f>AND(#REF!,"AAAAAHf649o=")</f>
        <v>#REF!</v>
      </c>
      <c r="HL74" t="e">
        <f>AND(#REF!,"AAAAAHf649s=")</f>
        <v>#REF!</v>
      </c>
      <c r="HM74" t="e">
        <f>AND(#REF!,"AAAAAHf649w=")</f>
        <v>#REF!</v>
      </c>
      <c r="HN74" t="e">
        <f>AND(#REF!,"AAAAAHf6490=")</f>
        <v>#REF!</v>
      </c>
      <c r="HO74" t="e">
        <f>AND(#REF!,"AAAAAHf6494=")</f>
        <v>#REF!</v>
      </c>
      <c r="HP74" t="e">
        <f>AND(#REF!,"AAAAAHf6498=")</f>
        <v>#REF!</v>
      </c>
      <c r="HQ74" t="e">
        <f>AND(#REF!,"AAAAAHf64+A=")</f>
        <v>#REF!</v>
      </c>
      <c r="HR74" t="e">
        <f>AND(#REF!,"AAAAAHf64+E=")</f>
        <v>#REF!</v>
      </c>
      <c r="HS74" t="e">
        <f>AND(#REF!,"AAAAAHf64+I=")</f>
        <v>#REF!</v>
      </c>
      <c r="HT74" t="e">
        <f>AND(#REF!,"AAAAAHf64+M=")</f>
        <v>#REF!</v>
      </c>
      <c r="HU74" t="e">
        <f>AND(#REF!,"AAAAAHf64+Q=")</f>
        <v>#REF!</v>
      </c>
      <c r="HV74" t="e">
        <f>AND(#REF!,"AAAAAHf64+U=")</f>
        <v>#REF!</v>
      </c>
      <c r="HW74" t="e">
        <f>AND(#REF!,"AAAAAHf64+Y=")</f>
        <v>#REF!</v>
      </c>
      <c r="HX74" t="e">
        <f>AND(#REF!,"AAAAAHf64+c=")</f>
        <v>#REF!</v>
      </c>
      <c r="HY74" t="e">
        <f>AND(#REF!,"AAAAAHf64+g=")</f>
        <v>#REF!</v>
      </c>
      <c r="HZ74" t="e">
        <f>AND(#REF!,"AAAAAHf64+k=")</f>
        <v>#REF!</v>
      </c>
      <c r="IA74" t="e">
        <f>AND(#REF!,"AAAAAHf64+o=")</f>
        <v>#REF!</v>
      </c>
      <c r="IB74" t="e">
        <f>AND(#REF!,"AAAAAHf64+s=")</f>
        <v>#REF!</v>
      </c>
      <c r="IC74" t="e">
        <f>AND(#REF!,"AAAAAHf64+w=")</f>
        <v>#REF!</v>
      </c>
      <c r="ID74" t="e">
        <f>AND(#REF!,"AAAAAHf64+0=")</f>
        <v>#REF!</v>
      </c>
      <c r="IE74" t="e">
        <f>AND(#REF!,"AAAAAHf64+4=")</f>
        <v>#REF!</v>
      </c>
      <c r="IF74" t="e">
        <f>AND(#REF!,"AAAAAHf64+8=")</f>
        <v>#REF!</v>
      </c>
      <c r="IG74" t="e">
        <f>AND(#REF!,"AAAAAHf64/A=")</f>
        <v>#REF!</v>
      </c>
      <c r="IH74" t="e">
        <f>AND(#REF!,"AAAAAHf64/E=")</f>
        <v>#REF!</v>
      </c>
      <c r="II74" t="e">
        <f>AND(#REF!,"AAAAAHf64/I=")</f>
        <v>#REF!</v>
      </c>
      <c r="IJ74" t="e">
        <f>AND(#REF!,"AAAAAHf64/M=")</f>
        <v>#REF!</v>
      </c>
      <c r="IK74" t="e">
        <f>AND(#REF!,"AAAAAHf64/Q=")</f>
        <v>#REF!</v>
      </c>
      <c r="IL74" t="e">
        <f>AND(#REF!,"AAAAAHf64/U=")</f>
        <v>#REF!</v>
      </c>
      <c r="IM74" t="e">
        <f>AND(#REF!,"AAAAAHf64/Y=")</f>
        <v>#REF!</v>
      </c>
      <c r="IN74" t="e">
        <f>AND(#REF!,"AAAAAHf64/c=")</f>
        <v>#REF!</v>
      </c>
      <c r="IO74" t="e">
        <f>AND(#REF!,"AAAAAHf64/g=")</f>
        <v>#REF!</v>
      </c>
      <c r="IP74" t="e">
        <f>AND(#REF!,"AAAAAHf64/k=")</f>
        <v>#REF!</v>
      </c>
      <c r="IQ74" t="e">
        <f>AND(#REF!,"AAAAAHf64/o=")</f>
        <v>#REF!</v>
      </c>
      <c r="IR74" t="e">
        <f>AND(#REF!,"AAAAAHf64/s=")</f>
        <v>#REF!</v>
      </c>
      <c r="IS74" t="e">
        <f>AND(#REF!,"AAAAAHf64/w=")</f>
        <v>#REF!</v>
      </c>
      <c r="IT74" t="e">
        <f>AND(#REF!,"AAAAAHf64/0=")</f>
        <v>#REF!</v>
      </c>
      <c r="IU74" t="e">
        <f>AND(#REF!,"AAAAAHf64/4=")</f>
        <v>#REF!</v>
      </c>
      <c r="IV74" t="e">
        <f>AND(#REF!,"AAAAAHf64/8=")</f>
        <v>#REF!</v>
      </c>
    </row>
    <row r="75" spans="1:256">
      <c r="A75" t="e">
        <f>AND(#REF!,"AAAAADZf7wA=")</f>
        <v>#REF!</v>
      </c>
      <c r="B75" t="e">
        <f>AND(#REF!,"AAAAADZf7wE=")</f>
        <v>#REF!</v>
      </c>
      <c r="C75" t="e">
        <f>AND(#REF!,"AAAAADZf7wI=")</f>
        <v>#REF!</v>
      </c>
      <c r="D75" t="e">
        <f>AND(#REF!,"AAAAADZf7wM=")</f>
        <v>#REF!</v>
      </c>
      <c r="E75" t="e">
        <f>AND(#REF!,"AAAAADZf7wQ=")</f>
        <v>#REF!</v>
      </c>
      <c r="F75" t="e">
        <f>AND(#REF!,"AAAAADZf7wU=")</f>
        <v>#REF!</v>
      </c>
      <c r="G75" t="e">
        <f>AND(#REF!,"AAAAADZf7wY=")</f>
        <v>#REF!</v>
      </c>
      <c r="H75" t="e">
        <f>AND(#REF!,"AAAAADZf7wc=")</f>
        <v>#REF!</v>
      </c>
      <c r="I75" t="e">
        <f>AND(#REF!,"AAAAADZf7wg=")</f>
        <v>#REF!</v>
      </c>
      <c r="J75" t="e">
        <f>AND(#REF!,"AAAAADZf7wk=")</f>
        <v>#REF!</v>
      </c>
      <c r="K75" t="e">
        <f>AND(#REF!,"AAAAADZf7wo=")</f>
        <v>#REF!</v>
      </c>
      <c r="L75" t="e">
        <f>AND(#REF!,"AAAAADZf7ws=")</f>
        <v>#REF!</v>
      </c>
      <c r="M75" t="e">
        <f>AND(#REF!,"AAAAADZf7ww=")</f>
        <v>#REF!</v>
      </c>
      <c r="N75" t="e">
        <f>AND(#REF!,"AAAAADZf7w0=")</f>
        <v>#REF!</v>
      </c>
      <c r="O75" t="e">
        <f>AND(#REF!,"AAAAADZf7w4=")</f>
        <v>#REF!</v>
      </c>
      <c r="P75" t="e">
        <f>AND(#REF!,"AAAAADZf7w8=")</f>
        <v>#REF!</v>
      </c>
      <c r="Q75" t="e">
        <f>AND(#REF!,"AAAAADZf7xA=")</f>
        <v>#REF!</v>
      </c>
      <c r="R75" t="e">
        <f>AND(#REF!,"AAAAADZf7xE=")</f>
        <v>#REF!</v>
      </c>
      <c r="S75" t="e">
        <f>AND(#REF!,"AAAAADZf7xI=")</f>
        <v>#REF!</v>
      </c>
      <c r="T75" t="e">
        <f>AND(#REF!,"AAAAADZf7xM=")</f>
        <v>#REF!</v>
      </c>
      <c r="U75" t="e">
        <f>AND(#REF!,"AAAAADZf7xQ=")</f>
        <v>#REF!</v>
      </c>
      <c r="V75" t="e">
        <f>AND(#REF!,"AAAAADZf7xU=")</f>
        <v>#REF!</v>
      </c>
      <c r="W75" t="e">
        <f>AND(#REF!,"AAAAADZf7xY=")</f>
        <v>#REF!</v>
      </c>
      <c r="X75" t="e">
        <f>AND(#REF!,"AAAAADZf7xc=")</f>
        <v>#REF!</v>
      </c>
      <c r="Y75" t="e">
        <f>AND(#REF!,"AAAAADZf7xg=")</f>
        <v>#REF!</v>
      </c>
      <c r="Z75" t="e">
        <f>AND(#REF!,"AAAAADZf7xk=")</f>
        <v>#REF!</v>
      </c>
      <c r="AA75" t="e">
        <f>AND(#REF!,"AAAAADZf7xo=")</f>
        <v>#REF!</v>
      </c>
      <c r="AB75" t="e">
        <f>AND(#REF!,"AAAAADZf7xs=")</f>
        <v>#REF!</v>
      </c>
      <c r="AC75" t="e">
        <f>AND(#REF!,"AAAAADZf7xw=")</f>
        <v>#REF!</v>
      </c>
      <c r="AD75" t="e">
        <f>AND(#REF!,"AAAAADZf7x0=")</f>
        <v>#REF!</v>
      </c>
      <c r="AE75" t="e">
        <f>AND(#REF!,"AAAAADZf7x4=")</f>
        <v>#REF!</v>
      </c>
      <c r="AF75" t="e">
        <f>AND(#REF!,"AAAAADZf7x8=")</f>
        <v>#REF!</v>
      </c>
      <c r="AG75" t="e">
        <f>AND(#REF!,"AAAAADZf7yA=")</f>
        <v>#REF!</v>
      </c>
      <c r="AH75" t="e">
        <f>AND(#REF!,"AAAAADZf7yE=")</f>
        <v>#REF!</v>
      </c>
      <c r="AI75" t="e">
        <f>AND(#REF!,"AAAAADZf7yI=")</f>
        <v>#REF!</v>
      </c>
      <c r="AJ75" t="e">
        <f>AND(#REF!,"AAAAADZf7yM=")</f>
        <v>#REF!</v>
      </c>
      <c r="AK75" t="e">
        <f>AND(#REF!,"AAAAADZf7yQ=")</f>
        <v>#REF!</v>
      </c>
      <c r="AL75" t="e">
        <f>AND(#REF!,"AAAAADZf7yU=")</f>
        <v>#REF!</v>
      </c>
      <c r="AM75" t="e">
        <f>AND(#REF!,"AAAAADZf7yY=")</f>
        <v>#REF!</v>
      </c>
      <c r="AN75" t="e">
        <f>AND(#REF!,"AAAAADZf7yc=")</f>
        <v>#REF!</v>
      </c>
      <c r="AO75" t="e">
        <f>AND(#REF!,"AAAAADZf7yg=")</f>
        <v>#REF!</v>
      </c>
      <c r="AP75" t="e">
        <f>AND(#REF!,"AAAAADZf7yk=")</f>
        <v>#REF!</v>
      </c>
      <c r="AQ75" t="e">
        <f>AND(#REF!,"AAAAADZf7yo=")</f>
        <v>#REF!</v>
      </c>
      <c r="AR75" t="e">
        <f>AND(#REF!,"AAAAADZf7ys=")</f>
        <v>#REF!</v>
      </c>
      <c r="AS75" t="e">
        <f>AND(#REF!,"AAAAADZf7yw=")</f>
        <v>#REF!</v>
      </c>
      <c r="AT75" t="e">
        <f>AND(#REF!,"AAAAADZf7y0=")</f>
        <v>#REF!</v>
      </c>
      <c r="AU75" t="e">
        <f>AND(#REF!,"AAAAADZf7y4=")</f>
        <v>#REF!</v>
      </c>
      <c r="AV75" t="e">
        <f>AND(#REF!,"AAAAADZf7y8=")</f>
        <v>#REF!</v>
      </c>
      <c r="AW75" t="e">
        <f>AND(#REF!,"AAAAADZf7zA=")</f>
        <v>#REF!</v>
      </c>
      <c r="AX75" t="e">
        <f>AND(#REF!,"AAAAADZf7zE=")</f>
        <v>#REF!</v>
      </c>
      <c r="AY75" t="e">
        <f>AND(#REF!,"AAAAADZf7zI=")</f>
        <v>#REF!</v>
      </c>
      <c r="AZ75" t="e">
        <f>AND(#REF!,"AAAAADZf7zM=")</f>
        <v>#REF!</v>
      </c>
      <c r="BA75" t="e">
        <f>AND(#REF!,"AAAAADZf7zQ=")</f>
        <v>#REF!</v>
      </c>
      <c r="BB75" t="e">
        <f>AND(#REF!,"AAAAADZf7zU=")</f>
        <v>#REF!</v>
      </c>
      <c r="BC75" t="e">
        <f>AND(#REF!,"AAAAADZf7zY=")</f>
        <v>#REF!</v>
      </c>
      <c r="BD75" t="e">
        <f>AND(#REF!,"AAAAADZf7zc=")</f>
        <v>#REF!</v>
      </c>
      <c r="BE75" t="e">
        <f>AND(#REF!,"AAAAADZf7zg=")</f>
        <v>#REF!</v>
      </c>
      <c r="BF75" t="e">
        <f>AND(#REF!,"AAAAADZf7zk=")</f>
        <v>#REF!</v>
      </c>
      <c r="BG75" t="e">
        <f>AND(#REF!,"AAAAADZf7zo=")</f>
        <v>#REF!</v>
      </c>
      <c r="BH75" t="e">
        <f>AND(#REF!,"AAAAADZf7zs=")</f>
        <v>#REF!</v>
      </c>
      <c r="BI75" t="e">
        <f>AND(#REF!,"AAAAADZf7zw=")</f>
        <v>#REF!</v>
      </c>
      <c r="BJ75" t="e">
        <f>AND(#REF!,"AAAAADZf7z0=")</f>
        <v>#REF!</v>
      </c>
      <c r="BK75" t="e">
        <f>AND(#REF!,"AAAAADZf7z4=")</f>
        <v>#REF!</v>
      </c>
      <c r="BL75" t="e">
        <f>AND(#REF!,"AAAAADZf7z8=")</f>
        <v>#REF!</v>
      </c>
      <c r="BM75" t="e">
        <f>AND(#REF!,"AAAAADZf70A=")</f>
        <v>#REF!</v>
      </c>
      <c r="BN75" t="e">
        <f>AND(#REF!,"AAAAADZf70E=")</f>
        <v>#REF!</v>
      </c>
      <c r="BO75" t="e">
        <f>AND(#REF!,"AAAAADZf70I=")</f>
        <v>#REF!</v>
      </c>
      <c r="BP75" t="e">
        <f>AND(#REF!,"AAAAADZf70M=")</f>
        <v>#REF!</v>
      </c>
      <c r="BQ75" t="e">
        <f>AND(#REF!,"AAAAADZf70Q=")</f>
        <v>#REF!</v>
      </c>
      <c r="BR75" t="e">
        <f>AND(#REF!,"AAAAADZf70U=")</f>
        <v>#REF!</v>
      </c>
      <c r="BS75" t="e">
        <f>AND(#REF!,"AAAAADZf70Y=")</f>
        <v>#REF!</v>
      </c>
      <c r="BT75" t="e">
        <f>AND(#REF!,"AAAAADZf70c=")</f>
        <v>#REF!</v>
      </c>
      <c r="BU75" t="e">
        <f>AND(#REF!,"AAAAADZf70g=")</f>
        <v>#REF!</v>
      </c>
      <c r="BV75" t="e">
        <f>AND(#REF!,"AAAAADZf70k=")</f>
        <v>#REF!</v>
      </c>
      <c r="BW75" t="e">
        <f>AND(#REF!,"AAAAADZf70o=")</f>
        <v>#REF!</v>
      </c>
      <c r="BX75" t="e">
        <f>AND(#REF!,"AAAAADZf70s=")</f>
        <v>#REF!</v>
      </c>
      <c r="BY75" t="e">
        <f>IF(#REF!,"AAAAADZf70w=",0)</f>
        <v>#REF!</v>
      </c>
      <c r="BZ75" t="e">
        <f>IF(#REF!,"AAAAADZf700=",0)</f>
        <v>#REF!</v>
      </c>
      <c r="CA75" t="e">
        <f>IF(#REF!,"AAAAADZf704=",0)</f>
        <v>#REF!</v>
      </c>
      <c r="CB75" t="e">
        <f>IF(#REF!,"AAAAADZf708=",0)</f>
        <v>#REF!</v>
      </c>
      <c r="CC75" t="e">
        <f>IF(#REF!,"AAAAADZf71A=",0)</f>
        <v>#REF!</v>
      </c>
      <c r="CD75" t="e">
        <f>IF(#REF!,"AAAAADZf71E=",0)</f>
        <v>#REF!</v>
      </c>
      <c r="CE75" t="e">
        <f>IF(#REF!,"AAAAADZf71I=",0)</f>
        <v>#REF!</v>
      </c>
      <c r="CF75" t="e">
        <f>IF(#REF!,"AAAAADZf71M=",0)</f>
        <v>#REF!</v>
      </c>
      <c r="CG75" t="e">
        <f>IF(#REF!,"AAAAADZf71Q=",0)</f>
        <v>#REF!</v>
      </c>
      <c r="CH75" t="e">
        <f>IF(#REF!,"AAAAADZf71U=",0)</f>
        <v>#REF!</v>
      </c>
      <c r="CI75" t="e">
        <f>IF(#REF!,"AAAAADZf71Y=",0)</f>
        <v>#REF!</v>
      </c>
      <c r="CJ75" t="e">
        <f>IF(#REF!,"AAAAADZf71c=",0)</f>
        <v>#REF!</v>
      </c>
      <c r="CK75" t="e">
        <f>IF(#REF!,"AAAAADZf71g=",0)</f>
        <v>#REF!</v>
      </c>
      <c r="CL75" t="e">
        <f>IF(#REF!,"AAAAADZf71k=",0)</f>
        <v>#REF!</v>
      </c>
      <c r="CM75" t="e">
        <f>IF(#REF!,"AAAAADZf71o=",0)</f>
        <v>#REF!</v>
      </c>
      <c r="CN75" t="e">
        <f>IF(#REF!,"AAAAADZf71s=",0)</f>
        <v>#REF!</v>
      </c>
      <c r="CO75" t="e">
        <f>IF(#REF!,"AAAAADZf71w=",0)</f>
        <v>#REF!</v>
      </c>
      <c r="CP75" t="e">
        <f>IF(#REF!,"AAAAADZf710=",0)</f>
        <v>#REF!</v>
      </c>
      <c r="CQ75" t="e">
        <f>IF(#REF!,"AAAAADZf714=",0)</f>
        <v>#REF!</v>
      </c>
      <c r="CR75" t="e">
        <f>IF(#REF!,"AAAAADZf718=",0)</f>
        <v>#REF!</v>
      </c>
      <c r="CS75" t="e">
        <f>IF(#REF!,"AAAAADZf72A=",0)</f>
        <v>#REF!</v>
      </c>
      <c r="CT75" t="e">
        <f>IF(#REF!,"AAAAADZf72E=",0)</f>
        <v>#REF!</v>
      </c>
      <c r="CU75" t="e">
        <f>IF(#REF!,"AAAAADZf72I=",0)</f>
        <v>#REF!</v>
      </c>
      <c r="CV75" t="e">
        <f>IF(#REF!,"AAAAADZf72M=",0)</f>
        <v>#REF!</v>
      </c>
      <c r="CW75" t="e">
        <f>IF(#REF!,"AAAAADZf72Q=",0)</f>
        <v>#REF!</v>
      </c>
      <c r="CX75" t="e">
        <f>IF(#REF!,"AAAAADZf72U=",0)</f>
        <v>#REF!</v>
      </c>
      <c r="CY75" t="e">
        <f>IF(#REF!,"AAAAADZf72Y=",0)</f>
        <v>#REF!</v>
      </c>
      <c r="CZ75" t="e">
        <f>IF(#REF!,"AAAAADZf72c=",0)</f>
        <v>#REF!</v>
      </c>
      <c r="DA75" t="e">
        <f>IF(#REF!,"AAAAADZf72g=",0)</f>
        <v>#REF!</v>
      </c>
      <c r="DB75" t="e">
        <f>IF(#REF!,"AAAAADZf72k=",0)</f>
        <v>#REF!</v>
      </c>
      <c r="DC75" t="e">
        <f>IF(#REF!,"AAAAADZf72o=",0)</f>
        <v>#REF!</v>
      </c>
      <c r="DD75" t="e">
        <f>IF(#REF!,"AAAAADZf72s=",0)</f>
        <v>#REF!</v>
      </c>
      <c r="DE75" t="e">
        <f>IF(#REF!,"AAAAADZf72w=",0)</f>
        <v>#REF!</v>
      </c>
      <c r="DF75" t="e">
        <f>IF(#REF!,"AAAAADZf720=",0)</f>
        <v>#REF!</v>
      </c>
      <c r="DG75" t="e">
        <f>IF(#REF!,"AAAAADZf724=",0)</f>
        <v>#REF!</v>
      </c>
      <c r="DH75" t="e">
        <f>IF(#REF!,"AAAAADZf728=",0)</f>
        <v>#REF!</v>
      </c>
      <c r="DI75" t="e">
        <f>IF(#REF!,"AAAAADZf73A=",0)</f>
        <v>#REF!</v>
      </c>
      <c r="DJ75" t="e">
        <f>IF(#REF!,"AAAAADZf73E=",0)</f>
        <v>#REF!</v>
      </c>
      <c r="DK75" t="e">
        <f>IF(#REF!,"AAAAADZf73I=",0)</f>
        <v>#REF!</v>
      </c>
      <c r="DL75" t="e">
        <f>IF(#REF!,"AAAAADZf73M=",0)</f>
        <v>#REF!</v>
      </c>
      <c r="DM75" t="e">
        <f>IF(#REF!,"AAAAADZf73Q=",0)</f>
        <v>#REF!</v>
      </c>
      <c r="DN75" t="e">
        <f>IF(#REF!,"AAAAADZf73U=",0)</f>
        <v>#REF!</v>
      </c>
    </row>
    <row r="76" spans="1:256">
      <c r="A76" t="e">
        <f>IF(#REF!,"AAAAAG9vfQA=",0)</f>
        <v>#REF!</v>
      </c>
      <c r="B76" t="e">
        <f>AND(#REF!,"AAAAAG9vfQE=")</f>
        <v>#REF!</v>
      </c>
      <c r="C76" t="e">
        <f>AND(#REF!,"AAAAAG9vfQI=")</f>
        <v>#REF!</v>
      </c>
      <c r="D76" t="e">
        <f>AND(#REF!,"AAAAAG9vfQM=")</f>
        <v>#REF!</v>
      </c>
      <c r="E76" t="e">
        <f>AND(#REF!,"AAAAAG9vfQQ=")</f>
        <v>#REF!</v>
      </c>
      <c r="F76" t="e">
        <f>AND(#REF!,"AAAAAG9vfQU=")</f>
        <v>#REF!</v>
      </c>
      <c r="G76" t="e">
        <f>AND(#REF!,"AAAAAG9vfQY=")</f>
        <v>#REF!</v>
      </c>
      <c r="H76" t="e">
        <f>AND(#REF!,"AAAAAG9vfQc=")</f>
        <v>#REF!</v>
      </c>
      <c r="I76" t="e">
        <f>AND(#REF!,"AAAAAG9vfQg=")</f>
        <v>#REF!</v>
      </c>
      <c r="J76" t="e">
        <f>AND(#REF!,"AAAAAG9vfQk=")</f>
        <v>#REF!</v>
      </c>
      <c r="K76" t="e">
        <f>AND(#REF!,"AAAAAG9vfQo=")</f>
        <v>#REF!</v>
      </c>
      <c r="L76" t="e">
        <f>AND(#REF!,"AAAAAG9vfQs=")</f>
        <v>#REF!</v>
      </c>
      <c r="M76" t="e">
        <f>AND(#REF!,"AAAAAG9vfQw=")</f>
        <v>#REF!</v>
      </c>
      <c r="N76" t="e">
        <f>AND(#REF!,"AAAAAG9vfQ0=")</f>
        <v>#REF!</v>
      </c>
      <c r="O76" t="e">
        <f>AND(#REF!,"AAAAAG9vfQ4=")</f>
        <v>#REF!</v>
      </c>
      <c r="P76" t="e">
        <f>AND(#REF!,"AAAAAG9vfQ8=")</f>
        <v>#REF!</v>
      </c>
      <c r="Q76" t="e">
        <f>AND(#REF!,"AAAAAG9vfRA=")</f>
        <v>#REF!</v>
      </c>
      <c r="R76" t="e">
        <f>AND(#REF!,"AAAAAG9vfRE=")</f>
        <v>#REF!</v>
      </c>
      <c r="S76" t="e">
        <f>AND(#REF!,"AAAAAG9vfRI=")</f>
        <v>#REF!</v>
      </c>
      <c r="T76" t="e">
        <f>AND(#REF!,"AAAAAG9vfRM=")</f>
        <v>#REF!</v>
      </c>
      <c r="U76" t="e">
        <f>AND(#REF!,"AAAAAG9vfRQ=")</f>
        <v>#REF!</v>
      </c>
      <c r="V76" t="e">
        <f>AND(#REF!,"AAAAAG9vfRU=")</f>
        <v>#REF!</v>
      </c>
      <c r="W76" t="e">
        <f>AND(#REF!,"AAAAAG9vfRY=")</f>
        <v>#REF!</v>
      </c>
      <c r="X76" t="e">
        <f>AND(#REF!,"AAAAAG9vfRc=")</f>
        <v>#REF!</v>
      </c>
      <c r="Y76" t="e">
        <f>AND(#REF!,"AAAAAG9vfRg=")</f>
        <v>#REF!</v>
      </c>
      <c r="Z76" t="e">
        <f>AND(#REF!,"AAAAAG9vfRk=")</f>
        <v>#REF!</v>
      </c>
      <c r="AA76" t="e">
        <f>AND(#REF!,"AAAAAG9vfRo=")</f>
        <v>#REF!</v>
      </c>
      <c r="AB76" t="e">
        <f>AND(#REF!,"AAAAAG9vfRs=")</f>
        <v>#REF!</v>
      </c>
      <c r="AC76" t="e">
        <f>AND(#REF!,"AAAAAG9vfRw=")</f>
        <v>#REF!</v>
      </c>
      <c r="AD76" t="e">
        <f>AND(#REF!,"AAAAAG9vfR0=")</f>
        <v>#REF!</v>
      </c>
      <c r="AE76" t="e">
        <f>AND(#REF!,"AAAAAG9vfR4=")</f>
        <v>#REF!</v>
      </c>
      <c r="AF76" t="e">
        <f>AND(#REF!,"AAAAAG9vfR8=")</f>
        <v>#REF!</v>
      </c>
      <c r="AG76" t="e">
        <f>AND(#REF!,"AAAAAG9vfSA=")</f>
        <v>#REF!</v>
      </c>
      <c r="AH76" t="e">
        <f>AND(#REF!,"AAAAAG9vfSE=")</f>
        <v>#REF!</v>
      </c>
      <c r="AI76" t="e">
        <f>AND(#REF!,"AAAAAG9vfSI=")</f>
        <v>#REF!</v>
      </c>
      <c r="AJ76" t="e">
        <f>AND(#REF!,"AAAAAG9vfSM=")</f>
        <v>#REF!</v>
      </c>
      <c r="AK76" t="e">
        <f>AND(#REF!,"AAAAAG9vfSQ=")</f>
        <v>#REF!</v>
      </c>
      <c r="AL76" t="e">
        <f>AND(#REF!,"AAAAAG9vfSU=")</f>
        <v>#REF!</v>
      </c>
      <c r="AM76" t="e">
        <f>AND(#REF!,"AAAAAG9vfSY=")</f>
        <v>#REF!</v>
      </c>
      <c r="AN76" t="e">
        <f>AND(#REF!,"AAAAAG9vfSc=")</f>
        <v>#REF!</v>
      </c>
      <c r="AO76" t="e">
        <f>AND(#REF!,"AAAAAG9vfSg=")</f>
        <v>#REF!</v>
      </c>
      <c r="AP76" t="e">
        <f>AND(#REF!,"AAAAAG9vfSk=")</f>
        <v>#REF!</v>
      </c>
      <c r="AQ76" t="e">
        <f>AND(#REF!,"AAAAAG9vfSo=")</f>
        <v>#REF!</v>
      </c>
      <c r="AR76" t="e">
        <f>AND(#REF!,"AAAAAG9vfSs=")</f>
        <v>#REF!</v>
      </c>
      <c r="AS76" t="e">
        <f>AND(#REF!,"AAAAAG9vfSw=")</f>
        <v>#REF!</v>
      </c>
      <c r="AT76" t="e">
        <f>AND(#REF!,"AAAAAG9vfS0=")</f>
        <v>#REF!</v>
      </c>
      <c r="AU76" t="e">
        <f>AND(#REF!,"AAAAAG9vfS4=")</f>
        <v>#REF!</v>
      </c>
      <c r="AV76" t="e">
        <f>AND(#REF!,"AAAAAG9vfS8=")</f>
        <v>#REF!</v>
      </c>
      <c r="AW76" t="e">
        <f>AND(#REF!,"AAAAAG9vfTA=")</f>
        <v>#REF!</v>
      </c>
      <c r="AX76" t="e">
        <f>AND(#REF!,"AAAAAG9vfTE=")</f>
        <v>#REF!</v>
      </c>
      <c r="AY76" t="e">
        <f>AND(#REF!,"AAAAAG9vfTI=")</f>
        <v>#REF!</v>
      </c>
      <c r="AZ76" t="e">
        <f>AND(#REF!,"AAAAAG9vfTM=")</f>
        <v>#REF!</v>
      </c>
      <c r="BA76" t="e">
        <f>AND(#REF!,"AAAAAG9vfTQ=")</f>
        <v>#REF!</v>
      </c>
      <c r="BB76" t="e">
        <f>AND(#REF!,"AAAAAG9vfTU=")</f>
        <v>#REF!</v>
      </c>
      <c r="BC76" t="e">
        <f>AND(#REF!,"AAAAAG9vfTY=")</f>
        <v>#REF!</v>
      </c>
      <c r="BD76" t="e">
        <f>AND(#REF!,"AAAAAG9vfTc=")</f>
        <v>#REF!</v>
      </c>
      <c r="BE76" t="e">
        <f>AND(#REF!,"AAAAAG9vfTg=")</f>
        <v>#REF!</v>
      </c>
      <c r="BF76" t="e">
        <f>AND(#REF!,"AAAAAG9vfTk=")</f>
        <v>#REF!</v>
      </c>
      <c r="BG76" t="e">
        <f>AND(#REF!,"AAAAAG9vfTo=")</f>
        <v>#REF!</v>
      </c>
      <c r="BH76" t="e">
        <f>AND(#REF!,"AAAAAG9vfTs=")</f>
        <v>#REF!</v>
      </c>
      <c r="BI76" t="e">
        <f>AND(#REF!,"AAAAAG9vfTw=")</f>
        <v>#REF!</v>
      </c>
      <c r="BJ76" t="e">
        <f>AND(#REF!,"AAAAAG9vfT0=")</f>
        <v>#REF!</v>
      </c>
      <c r="BK76" t="e">
        <f>AND(#REF!,"AAAAAG9vfT4=")</f>
        <v>#REF!</v>
      </c>
      <c r="BL76" t="e">
        <f>AND(#REF!,"AAAAAG9vfT8=")</f>
        <v>#REF!</v>
      </c>
      <c r="BM76" t="e">
        <f>AND(#REF!,"AAAAAG9vfUA=")</f>
        <v>#REF!</v>
      </c>
      <c r="BN76" t="e">
        <f>AND(#REF!,"AAAAAG9vfUE=")</f>
        <v>#REF!</v>
      </c>
      <c r="BO76" t="e">
        <f>AND(#REF!,"AAAAAG9vfUI=")</f>
        <v>#REF!</v>
      </c>
      <c r="BP76" t="e">
        <f>AND(#REF!,"AAAAAG9vfUM=")</f>
        <v>#REF!</v>
      </c>
      <c r="BQ76" t="e">
        <f>AND(#REF!,"AAAAAG9vfUQ=")</f>
        <v>#REF!</v>
      </c>
      <c r="BR76" t="e">
        <f>AND(#REF!,"AAAAAG9vfUU=")</f>
        <v>#REF!</v>
      </c>
      <c r="BS76" t="e">
        <f>AND(#REF!,"AAAAAG9vfUY=")</f>
        <v>#REF!</v>
      </c>
      <c r="BT76" t="e">
        <f>AND(#REF!,"AAAAAG9vfUc=")</f>
        <v>#REF!</v>
      </c>
      <c r="BU76" t="e">
        <f>AND(#REF!,"AAAAAG9vfUg=")</f>
        <v>#REF!</v>
      </c>
      <c r="BV76" t="e">
        <f>AND(#REF!,"AAAAAG9vfUk=")</f>
        <v>#REF!</v>
      </c>
      <c r="BW76" t="e">
        <f>AND(#REF!,"AAAAAG9vfUo=")</f>
        <v>#REF!</v>
      </c>
      <c r="BX76" t="e">
        <f>AND(#REF!,"AAAAAG9vfUs=")</f>
        <v>#REF!</v>
      </c>
      <c r="BY76" t="e">
        <f>AND(#REF!,"AAAAAG9vfUw=")</f>
        <v>#REF!</v>
      </c>
      <c r="BZ76" t="e">
        <f>AND(#REF!,"AAAAAG9vfU0=")</f>
        <v>#REF!</v>
      </c>
      <c r="CA76" t="e">
        <f>AND(#REF!,"AAAAAG9vfU4=")</f>
        <v>#REF!</v>
      </c>
      <c r="CB76" t="e">
        <f>AND(#REF!,"AAAAAG9vfU8=")</f>
        <v>#REF!</v>
      </c>
      <c r="CC76" t="e">
        <f>AND(#REF!,"AAAAAG9vfVA=")</f>
        <v>#REF!</v>
      </c>
      <c r="CD76" t="e">
        <f>AND(#REF!,"AAAAAG9vfVE=")</f>
        <v>#REF!</v>
      </c>
      <c r="CE76" t="e">
        <f>AND(#REF!,"AAAAAG9vfVI=")</f>
        <v>#REF!</v>
      </c>
      <c r="CF76" t="e">
        <f>AND(#REF!,"AAAAAG9vfVM=")</f>
        <v>#REF!</v>
      </c>
      <c r="CG76" t="e">
        <f>AND(#REF!,"AAAAAG9vfVQ=")</f>
        <v>#REF!</v>
      </c>
      <c r="CH76" t="e">
        <f>AND(#REF!,"AAAAAG9vfVU=")</f>
        <v>#REF!</v>
      </c>
      <c r="CI76" t="e">
        <f>AND(#REF!,"AAAAAG9vfVY=")</f>
        <v>#REF!</v>
      </c>
      <c r="CJ76" t="e">
        <f>AND(#REF!,"AAAAAG9vfVc=")</f>
        <v>#REF!</v>
      </c>
      <c r="CK76" t="e">
        <f>AND(#REF!,"AAAAAG9vfVg=")</f>
        <v>#REF!</v>
      </c>
      <c r="CL76" t="e">
        <f>AND(#REF!,"AAAAAG9vfVk=")</f>
        <v>#REF!</v>
      </c>
      <c r="CM76" t="e">
        <f>AND(#REF!,"AAAAAG9vfVo=")</f>
        <v>#REF!</v>
      </c>
      <c r="CN76" t="e">
        <f>AND(#REF!,"AAAAAG9vfVs=")</f>
        <v>#REF!</v>
      </c>
      <c r="CO76" t="e">
        <f>AND(#REF!,"AAAAAG9vfVw=")</f>
        <v>#REF!</v>
      </c>
      <c r="CP76" t="e">
        <f>AND(#REF!,"AAAAAG9vfV0=")</f>
        <v>#REF!</v>
      </c>
      <c r="CQ76" t="e">
        <f>AND(#REF!,"AAAAAG9vfV4=")</f>
        <v>#REF!</v>
      </c>
      <c r="CR76" t="e">
        <f>AND(#REF!,"AAAAAG9vfV8=")</f>
        <v>#REF!</v>
      </c>
      <c r="CS76" t="e">
        <f>AND(#REF!,"AAAAAG9vfWA=")</f>
        <v>#REF!</v>
      </c>
      <c r="CT76" t="e">
        <f>AND(#REF!,"AAAAAG9vfWE=")</f>
        <v>#REF!</v>
      </c>
      <c r="CU76" t="e">
        <f>AND(#REF!,"AAAAAG9vfWI=")</f>
        <v>#REF!</v>
      </c>
      <c r="CV76" t="e">
        <f>AND(#REF!,"AAAAAG9vfWM=")</f>
        <v>#REF!</v>
      </c>
      <c r="CW76" t="e">
        <f>AND(#REF!,"AAAAAG9vfWQ=")</f>
        <v>#REF!</v>
      </c>
      <c r="CX76" t="e">
        <f>AND(#REF!,"AAAAAG9vfWU=")</f>
        <v>#REF!</v>
      </c>
      <c r="CY76" t="e">
        <f>AND(#REF!,"AAAAAG9vfWY=")</f>
        <v>#REF!</v>
      </c>
      <c r="CZ76" t="e">
        <f>AND(#REF!,"AAAAAG9vfWc=")</f>
        <v>#REF!</v>
      </c>
      <c r="DA76" t="e">
        <f>AND(#REF!,"AAAAAG9vfWg=")</f>
        <v>#REF!</v>
      </c>
      <c r="DB76" t="e">
        <f>AND(#REF!,"AAAAAG9vfWk=")</f>
        <v>#REF!</v>
      </c>
      <c r="DC76" t="e">
        <f>AND(#REF!,"AAAAAG9vfWo=")</f>
        <v>#REF!</v>
      </c>
      <c r="DD76" t="e">
        <f>AND(#REF!,"AAAAAG9vfWs=")</f>
        <v>#REF!</v>
      </c>
      <c r="DE76" t="e">
        <f>AND(#REF!,"AAAAAG9vfWw=")</f>
        <v>#REF!</v>
      </c>
      <c r="DF76" t="e">
        <f>AND(#REF!,"AAAAAG9vfW0=")</f>
        <v>#REF!</v>
      </c>
      <c r="DG76" t="e">
        <f>AND(#REF!,"AAAAAG9vfW4=")</f>
        <v>#REF!</v>
      </c>
      <c r="DH76" t="e">
        <f>AND(#REF!,"AAAAAG9vfW8=")</f>
        <v>#REF!</v>
      </c>
      <c r="DI76" t="e">
        <f>AND(#REF!,"AAAAAG9vfXA=")</f>
        <v>#REF!</v>
      </c>
      <c r="DJ76" t="e">
        <f>AND(#REF!,"AAAAAG9vfXE=")</f>
        <v>#REF!</v>
      </c>
      <c r="DK76" t="e">
        <f>AND(#REF!,"AAAAAG9vfXI=")</f>
        <v>#REF!</v>
      </c>
      <c r="DL76" t="e">
        <f>AND(#REF!,"AAAAAG9vfXM=")</f>
        <v>#REF!</v>
      </c>
      <c r="DM76" t="e">
        <f>AND(#REF!,"AAAAAG9vfXQ=")</f>
        <v>#REF!</v>
      </c>
      <c r="DN76" t="e">
        <f>AND(#REF!,"AAAAAG9vfXU=")</f>
        <v>#REF!</v>
      </c>
      <c r="DO76" t="e">
        <f>AND(#REF!,"AAAAAG9vfXY=")</f>
        <v>#REF!</v>
      </c>
      <c r="DP76" t="e">
        <f>AND(#REF!,"AAAAAG9vfXc=")</f>
        <v>#REF!</v>
      </c>
      <c r="DQ76" t="e">
        <f>AND(#REF!,"AAAAAG9vfXg=")</f>
        <v>#REF!</v>
      </c>
      <c r="DR76" t="e">
        <f>AND(#REF!,"AAAAAG9vfXk=")</f>
        <v>#REF!</v>
      </c>
      <c r="DS76" t="e">
        <f>AND(#REF!,"AAAAAG9vfXo=")</f>
        <v>#REF!</v>
      </c>
      <c r="DT76" t="e">
        <f>AND(#REF!,"AAAAAG9vfXs=")</f>
        <v>#REF!</v>
      </c>
      <c r="DU76" t="e">
        <f>AND(#REF!,"AAAAAG9vfXw=")</f>
        <v>#REF!</v>
      </c>
      <c r="DV76" t="e">
        <f>AND(#REF!,"AAAAAG9vfX0=")</f>
        <v>#REF!</v>
      </c>
      <c r="DW76" t="e">
        <f>AND(#REF!,"AAAAAG9vfX4=")</f>
        <v>#REF!</v>
      </c>
      <c r="DX76" t="e">
        <f>AND(#REF!,"AAAAAG9vfX8=")</f>
        <v>#REF!</v>
      </c>
      <c r="DY76" t="e">
        <f>IF(#REF!,"AAAAAG9vfYA=",0)</f>
        <v>#REF!</v>
      </c>
      <c r="DZ76" t="e">
        <f>AND(#REF!,"AAAAAG9vfYE=")</f>
        <v>#REF!</v>
      </c>
      <c r="EA76" t="e">
        <f>AND(#REF!,"AAAAAG9vfYI=")</f>
        <v>#REF!</v>
      </c>
      <c r="EB76" t="e">
        <f>AND(#REF!,"AAAAAG9vfYM=")</f>
        <v>#REF!</v>
      </c>
      <c r="EC76" t="e">
        <f>AND(#REF!,"AAAAAG9vfYQ=")</f>
        <v>#REF!</v>
      </c>
      <c r="ED76" t="e">
        <f>AND(#REF!,"AAAAAG9vfYU=")</f>
        <v>#REF!</v>
      </c>
      <c r="EE76" t="e">
        <f>AND(#REF!,"AAAAAG9vfYY=")</f>
        <v>#REF!</v>
      </c>
      <c r="EF76" t="e">
        <f>AND(#REF!,"AAAAAG9vfYc=")</f>
        <v>#REF!</v>
      </c>
      <c r="EG76" t="e">
        <f>AND(#REF!,"AAAAAG9vfYg=")</f>
        <v>#REF!</v>
      </c>
      <c r="EH76" t="e">
        <f>AND(#REF!,"AAAAAG9vfYk=")</f>
        <v>#REF!</v>
      </c>
      <c r="EI76" t="e">
        <f>AND(#REF!,"AAAAAG9vfYo=")</f>
        <v>#REF!</v>
      </c>
      <c r="EJ76" t="e">
        <f>AND(#REF!,"AAAAAG9vfYs=")</f>
        <v>#REF!</v>
      </c>
      <c r="EK76" t="e">
        <f>AND(#REF!,"AAAAAG9vfYw=")</f>
        <v>#REF!</v>
      </c>
      <c r="EL76" t="e">
        <f>AND(#REF!,"AAAAAG9vfY0=")</f>
        <v>#REF!</v>
      </c>
      <c r="EM76" t="e">
        <f>AND(#REF!,"AAAAAG9vfY4=")</f>
        <v>#REF!</v>
      </c>
      <c r="EN76" t="e">
        <f>AND(#REF!,"AAAAAG9vfY8=")</f>
        <v>#REF!</v>
      </c>
      <c r="EO76" t="e">
        <f>AND(#REF!,"AAAAAG9vfZA=")</f>
        <v>#REF!</v>
      </c>
      <c r="EP76" t="e">
        <f>AND(#REF!,"AAAAAG9vfZE=")</f>
        <v>#REF!</v>
      </c>
      <c r="EQ76" t="e">
        <f>AND(#REF!,"AAAAAG9vfZI=")</f>
        <v>#REF!</v>
      </c>
      <c r="ER76" t="e">
        <f>AND(#REF!,"AAAAAG9vfZM=")</f>
        <v>#REF!</v>
      </c>
      <c r="ES76" t="e">
        <f>AND(#REF!,"AAAAAG9vfZQ=")</f>
        <v>#REF!</v>
      </c>
      <c r="ET76" t="e">
        <f>AND(#REF!,"AAAAAG9vfZU=")</f>
        <v>#REF!</v>
      </c>
      <c r="EU76" t="e">
        <f>AND(#REF!,"AAAAAG9vfZY=")</f>
        <v>#REF!</v>
      </c>
      <c r="EV76" t="e">
        <f>AND(#REF!,"AAAAAG9vfZc=")</f>
        <v>#REF!</v>
      </c>
      <c r="EW76" t="e">
        <f>AND(#REF!,"AAAAAG9vfZg=")</f>
        <v>#REF!</v>
      </c>
      <c r="EX76" t="e">
        <f>AND(#REF!,"AAAAAG9vfZk=")</f>
        <v>#REF!</v>
      </c>
      <c r="EY76" t="e">
        <f>AND(#REF!,"AAAAAG9vfZo=")</f>
        <v>#REF!</v>
      </c>
      <c r="EZ76" t="e">
        <f>AND(#REF!,"AAAAAG9vfZs=")</f>
        <v>#REF!</v>
      </c>
      <c r="FA76" t="e">
        <f>AND(#REF!,"AAAAAG9vfZw=")</f>
        <v>#REF!</v>
      </c>
      <c r="FB76" t="e">
        <f>AND(#REF!,"AAAAAG9vfZ0=")</f>
        <v>#REF!</v>
      </c>
      <c r="FC76" t="e">
        <f>AND(#REF!,"AAAAAG9vfZ4=")</f>
        <v>#REF!</v>
      </c>
      <c r="FD76" t="e">
        <f>AND(#REF!,"AAAAAG9vfZ8=")</f>
        <v>#REF!</v>
      </c>
      <c r="FE76" t="e">
        <f>AND(#REF!,"AAAAAG9vfaA=")</f>
        <v>#REF!</v>
      </c>
      <c r="FF76" t="e">
        <f>AND(#REF!,"AAAAAG9vfaE=")</f>
        <v>#REF!</v>
      </c>
      <c r="FG76" t="e">
        <f>AND(#REF!,"AAAAAG9vfaI=")</f>
        <v>#REF!</v>
      </c>
      <c r="FH76" t="e">
        <f>AND(#REF!,"AAAAAG9vfaM=")</f>
        <v>#REF!</v>
      </c>
      <c r="FI76" t="e">
        <f>AND(#REF!,"AAAAAG9vfaQ=")</f>
        <v>#REF!</v>
      </c>
      <c r="FJ76" t="e">
        <f>AND(#REF!,"AAAAAG9vfaU=")</f>
        <v>#REF!</v>
      </c>
      <c r="FK76" t="e">
        <f>AND(#REF!,"AAAAAG9vfaY=")</f>
        <v>#REF!</v>
      </c>
      <c r="FL76" t="e">
        <f>AND(#REF!,"AAAAAG9vfac=")</f>
        <v>#REF!</v>
      </c>
      <c r="FM76" t="e">
        <f>AND(#REF!,"AAAAAG9vfag=")</f>
        <v>#REF!</v>
      </c>
      <c r="FN76" t="e">
        <f>AND(#REF!,"AAAAAG9vfak=")</f>
        <v>#REF!</v>
      </c>
      <c r="FO76" t="e">
        <f>AND(#REF!,"AAAAAG9vfao=")</f>
        <v>#REF!</v>
      </c>
      <c r="FP76" t="e">
        <f>AND(#REF!,"AAAAAG9vfas=")</f>
        <v>#REF!</v>
      </c>
      <c r="FQ76" t="e">
        <f>AND(#REF!,"AAAAAG9vfaw=")</f>
        <v>#REF!</v>
      </c>
      <c r="FR76" t="e">
        <f>AND(#REF!,"AAAAAG9vfa0=")</f>
        <v>#REF!</v>
      </c>
      <c r="FS76" t="e">
        <f>AND(#REF!,"AAAAAG9vfa4=")</f>
        <v>#REF!</v>
      </c>
      <c r="FT76" t="e">
        <f>AND(#REF!,"AAAAAG9vfa8=")</f>
        <v>#REF!</v>
      </c>
      <c r="FU76" t="e">
        <f>AND(#REF!,"AAAAAG9vfbA=")</f>
        <v>#REF!</v>
      </c>
      <c r="FV76" t="e">
        <f>AND(#REF!,"AAAAAG9vfbE=")</f>
        <v>#REF!</v>
      </c>
      <c r="FW76" t="e">
        <f>AND(#REF!,"AAAAAG9vfbI=")</f>
        <v>#REF!</v>
      </c>
      <c r="FX76" t="e">
        <f>AND(#REF!,"AAAAAG9vfbM=")</f>
        <v>#REF!</v>
      </c>
      <c r="FY76" t="e">
        <f>AND(#REF!,"AAAAAG9vfbQ=")</f>
        <v>#REF!</v>
      </c>
      <c r="FZ76" t="e">
        <f>AND(#REF!,"AAAAAG9vfbU=")</f>
        <v>#REF!</v>
      </c>
      <c r="GA76" t="e">
        <f>AND(#REF!,"AAAAAG9vfbY=")</f>
        <v>#REF!</v>
      </c>
      <c r="GB76" t="e">
        <f>AND(#REF!,"AAAAAG9vfbc=")</f>
        <v>#REF!</v>
      </c>
      <c r="GC76" t="e">
        <f>AND(#REF!,"AAAAAG9vfbg=")</f>
        <v>#REF!</v>
      </c>
      <c r="GD76" t="e">
        <f>AND(#REF!,"AAAAAG9vfbk=")</f>
        <v>#REF!</v>
      </c>
      <c r="GE76" t="e">
        <f>AND(#REF!,"AAAAAG9vfbo=")</f>
        <v>#REF!</v>
      </c>
      <c r="GF76" t="e">
        <f>AND(#REF!,"AAAAAG9vfbs=")</f>
        <v>#REF!</v>
      </c>
      <c r="GG76" t="e">
        <f>AND(#REF!,"AAAAAG9vfbw=")</f>
        <v>#REF!</v>
      </c>
      <c r="GH76" t="e">
        <f>AND(#REF!,"AAAAAG9vfb0=")</f>
        <v>#REF!</v>
      </c>
      <c r="GI76" t="e">
        <f>AND(#REF!,"AAAAAG9vfb4=")</f>
        <v>#REF!</v>
      </c>
      <c r="GJ76" t="e">
        <f>AND(#REF!,"AAAAAG9vfb8=")</f>
        <v>#REF!</v>
      </c>
      <c r="GK76" t="e">
        <f>AND(#REF!,"AAAAAG9vfcA=")</f>
        <v>#REF!</v>
      </c>
      <c r="GL76" t="e">
        <f>AND(#REF!,"AAAAAG9vfcE=")</f>
        <v>#REF!</v>
      </c>
      <c r="GM76" t="e">
        <f>AND(#REF!,"AAAAAG9vfcI=")</f>
        <v>#REF!</v>
      </c>
      <c r="GN76" t="e">
        <f>AND(#REF!,"AAAAAG9vfcM=")</f>
        <v>#REF!</v>
      </c>
      <c r="GO76" t="e">
        <f>AND(#REF!,"AAAAAG9vfcQ=")</f>
        <v>#REF!</v>
      </c>
      <c r="GP76" t="e">
        <f>AND(#REF!,"AAAAAG9vfcU=")</f>
        <v>#REF!</v>
      </c>
      <c r="GQ76" t="e">
        <f>AND(#REF!,"AAAAAG9vfcY=")</f>
        <v>#REF!</v>
      </c>
      <c r="GR76" t="e">
        <f>AND(#REF!,"AAAAAG9vfcc=")</f>
        <v>#REF!</v>
      </c>
      <c r="GS76" t="e">
        <f>AND(#REF!,"AAAAAG9vfcg=")</f>
        <v>#REF!</v>
      </c>
      <c r="GT76" t="e">
        <f>AND(#REF!,"AAAAAG9vfck=")</f>
        <v>#REF!</v>
      </c>
      <c r="GU76" t="e">
        <f>AND(#REF!,"AAAAAG9vfco=")</f>
        <v>#REF!</v>
      </c>
      <c r="GV76" t="e">
        <f>AND(#REF!,"AAAAAG9vfcs=")</f>
        <v>#REF!</v>
      </c>
      <c r="GW76" t="e">
        <f>AND(#REF!,"AAAAAG9vfcw=")</f>
        <v>#REF!</v>
      </c>
      <c r="GX76" t="e">
        <f>AND(#REF!,"AAAAAG9vfc0=")</f>
        <v>#REF!</v>
      </c>
      <c r="GY76" t="e">
        <f>AND(#REF!,"AAAAAG9vfc4=")</f>
        <v>#REF!</v>
      </c>
      <c r="GZ76" t="e">
        <f>AND(#REF!,"AAAAAG9vfc8=")</f>
        <v>#REF!</v>
      </c>
      <c r="HA76" t="e">
        <f>AND(#REF!,"AAAAAG9vfdA=")</f>
        <v>#REF!</v>
      </c>
      <c r="HB76" t="e">
        <f>AND(#REF!,"AAAAAG9vfdE=")</f>
        <v>#REF!</v>
      </c>
      <c r="HC76" t="e">
        <f>AND(#REF!,"AAAAAG9vfdI=")</f>
        <v>#REF!</v>
      </c>
      <c r="HD76" t="e">
        <f>AND(#REF!,"AAAAAG9vfdM=")</f>
        <v>#REF!</v>
      </c>
      <c r="HE76" t="e">
        <f>AND(#REF!,"AAAAAG9vfdQ=")</f>
        <v>#REF!</v>
      </c>
      <c r="HF76" t="e">
        <f>AND(#REF!,"AAAAAG9vfdU=")</f>
        <v>#REF!</v>
      </c>
      <c r="HG76" t="e">
        <f>AND(#REF!,"AAAAAG9vfdY=")</f>
        <v>#REF!</v>
      </c>
      <c r="HH76" t="e">
        <f>AND(#REF!,"AAAAAG9vfdc=")</f>
        <v>#REF!</v>
      </c>
      <c r="HI76" t="e">
        <f>AND(#REF!,"AAAAAG9vfdg=")</f>
        <v>#REF!</v>
      </c>
      <c r="HJ76" t="e">
        <f>AND(#REF!,"AAAAAG9vfdk=")</f>
        <v>#REF!</v>
      </c>
      <c r="HK76" t="e">
        <f>AND(#REF!,"AAAAAG9vfdo=")</f>
        <v>#REF!</v>
      </c>
      <c r="HL76" t="e">
        <f>AND(#REF!,"AAAAAG9vfds=")</f>
        <v>#REF!</v>
      </c>
      <c r="HM76" t="e">
        <f>AND(#REF!,"AAAAAG9vfdw=")</f>
        <v>#REF!</v>
      </c>
      <c r="HN76" t="e">
        <f>AND(#REF!,"AAAAAG9vfd0=")</f>
        <v>#REF!</v>
      </c>
      <c r="HO76" t="e">
        <f>AND(#REF!,"AAAAAG9vfd4=")</f>
        <v>#REF!</v>
      </c>
      <c r="HP76" t="e">
        <f>AND(#REF!,"AAAAAG9vfd8=")</f>
        <v>#REF!</v>
      </c>
      <c r="HQ76" t="e">
        <f>AND(#REF!,"AAAAAG9vfeA=")</f>
        <v>#REF!</v>
      </c>
      <c r="HR76" t="e">
        <f>AND(#REF!,"AAAAAG9vfeE=")</f>
        <v>#REF!</v>
      </c>
      <c r="HS76" t="e">
        <f>AND(#REF!,"AAAAAG9vfeI=")</f>
        <v>#REF!</v>
      </c>
      <c r="HT76" t="e">
        <f>AND(#REF!,"AAAAAG9vfeM=")</f>
        <v>#REF!</v>
      </c>
      <c r="HU76" t="e">
        <f>AND(#REF!,"AAAAAG9vfeQ=")</f>
        <v>#REF!</v>
      </c>
      <c r="HV76" t="e">
        <f>AND(#REF!,"AAAAAG9vfeU=")</f>
        <v>#REF!</v>
      </c>
      <c r="HW76" t="e">
        <f>AND(#REF!,"AAAAAG9vfeY=")</f>
        <v>#REF!</v>
      </c>
      <c r="HX76" t="e">
        <f>AND(#REF!,"AAAAAG9vfec=")</f>
        <v>#REF!</v>
      </c>
      <c r="HY76" t="e">
        <f>AND(#REF!,"AAAAAG9vfeg=")</f>
        <v>#REF!</v>
      </c>
      <c r="HZ76" t="e">
        <f>AND(#REF!,"AAAAAG9vfek=")</f>
        <v>#REF!</v>
      </c>
      <c r="IA76" t="e">
        <f>AND(#REF!,"AAAAAG9vfeo=")</f>
        <v>#REF!</v>
      </c>
      <c r="IB76" t="e">
        <f>AND(#REF!,"AAAAAG9vfes=")</f>
        <v>#REF!</v>
      </c>
      <c r="IC76" t="e">
        <f>AND(#REF!,"AAAAAG9vfew=")</f>
        <v>#REF!</v>
      </c>
      <c r="ID76" t="e">
        <f>AND(#REF!,"AAAAAG9vfe0=")</f>
        <v>#REF!</v>
      </c>
      <c r="IE76" t="e">
        <f>AND(#REF!,"AAAAAG9vfe4=")</f>
        <v>#REF!</v>
      </c>
      <c r="IF76" t="e">
        <f>AND(#REF!,"AAAAAG9vfe8=")</f>
        <v>#REF!</v>
      </c>
      <c r="IG76" t="e">
        <f>AND(#REF!,"AAAAAG9vffA=")</f>
        <v>#REF!</v>
      </c>
      <c r="IH76" t="e">
        <f>AND(#REF!,"AAAAAG9vffE=")</f>
        <v>#REF!</v>
      </c>
      <c r="II76" t="e">
        <f>AND(#REF!,"AAAAAG9vffI=")</f>
        <v>#REF!</v>
      </c>
      <c r="IJ76" t="e">
        <f>AND(#REF!,"AAAAAG9vffM=")</f>
        <v>#REF!</v>
      </c>
      <c r="IK76" t="e">
        <f>AND(#REF!,"AAAAAG9vffQ=")</f>
        <v>#REF!</v>
      </c>
      <c r="IL76" t="e">
        <f>AND(#REF!,"AAAAAG9vffU=")</f>
        <v>#REF!</v>
      </c>
      <c r="IM76" t="e">
        <f>AND(#REF!,"AAAAAG9vffY=")</f>
        <v>#REF!</v>
      </c>
      <c r="IN76" t="e">
        <f>AND(#REF!,"AAAAAG9vffc=")</f>
        <v>#REF!</v>
      </c>
      <c r="IO76" t="e">
        <f>AND(#REF!,"AAAAAG9vffg=")</f>
        <v>#REF!</v>
      </c>
      <c r="IP76" t="e">
        <f>AND(#REF!,"AAAAAG9vffk=")</f>
        <v>#REF!</v>
      </c>
      <c r="IQ76" t="e">
        <f>AND(#REF!,"AAAAAG9vffo=")</f>
        <v>#REF!</v>
      </c>
      <c r="IR76" t="e">
        <f>AND(#REF!,"AAAAAG9vffs=")</f>
        <v>#REF!</v>
      </c>
      <c r="IS76" t="e">
        <f>AND(#REF!,"AAAAAG9vffw=")</f>
        <v>#REF!</v>
      </c>
      <c r="IT76" t="e">
        <f>AND(#REF!,"AAAAAG9vff0=")</f>
        <v>#REF!</v>
      </c>
      <c r="IU76" t="e">
        <f>AND(#REF!,"AAAAAG9vff4=")</f>
        <v>#REF!</v>
      </c>
      <c r="IV76" t="e">
        <f>AND(#REF!,"AAAAAG9vff8=")</f>
        <v>#REF!</v>
      </c>
    </row>
    <row r="77" spans="1:256">
      <c r="A77" t="e">
        <f>IF(#REF!,"AAAAAHc21wA=",0)</f>
        <v>#REF!</v>
      </c>
      <c r="B77" t="e">
        <f>AND(#REF!,"AAAAAHc21wE=")</f>
        <v>#REF!</v>
      </c>
      <c r="C77" t="e">
        <f>AND(#REF!,"AAAAAHc21wI=")</f>
        <v>#REF!</v>
      </c>
      <c r="D77" t="e">
        <f>AND(#REF!,"AAAAAHc21wM=")</f>
        <v>#REF!</v>
      </c>
      <c r="E77" t="e">
        <f>AND(#REF!,"AAAAAHc21wQ=")</f>
        <v>#REF!</v>
      </c>
      <c r="F77" t="e">
        <f>AND(#REF!,"AAAAAHc21wU=")</f>
        <v>#REF!</v>
      </c>
      <c r="G77" t="e">
        <f>AND(#REF!,"AAAAAHc21wY=")</f>
        <v>#REF!</v>
      </c>
      <c r="H77" t="e">
        <f>AND(#REF!,"AAAAAHc21wc=")</f>
        <v>#REF!</v>
      </c>
      <c r="I77" t="e">
        <f>AND(#REF!,"AAAAAHc21wg=")</f>
        <v>#REF!</v>
      </c>
      <c r="J77" t="e">
        <f>AND(#REF!,"AAAAAHc21wk=")</f>
        <v>#REF!</v>
      </c>
      <c r="K77" t="e">
        <f>AND(#REF!,"AAAAAHc21wo=")</f>
        <v>#REF!</v>
      </c>
      <c r="L77" t="e">
        <f>AND(#REF!,"AAAAAHc21ws=")</f>
        <v>#REF!</v>
      </c>
      <c r="M77" t="e">
        <f>AND(#REF!,"AAAAAHc21ww=")</f>
        <v>#REF!</v>
      </c>
      <c r="N77" t="e">
        <f>AND(#REF!,"AAAAAHc21w0=")</f>
        <v>#REF!</v>
      </c>
      <c r="O77" t="e">
        <f>AND(#REF!,"AAAAAHc21w4=")</f>
        <v>#REF!</v>
      </c>
      <c r="P77" t="e">
        <f>AND(#REF!,"AAAAAHc21w8=")</f>
        <v>#REF!</v>
      </c>
      <c r="Q77" t="e">
        <f>AND(#REF!,"AAAAAHc21xA=")</f>
        <v>#REF!</v>
      </c>
      <c r="R77" t="e">
        <f>AND(#REF!,"AAAAAHc21xE=")</f>
        <v>#REF!</v>
      </c>
      <c r="S77" t="e">
        <f>AND(#REF!,"AAAAAHc21xI=")</f>
        <v>#REF!</v>
      </c>
      <c r="T77" t="e">
        <f>AND(#REF!,"AAAAAHc21xM=")</f>
        <v>#REF!</v>
      </c>
      <c r="U77" t="e">
        <f>AND(#REF!,"AAAAAHc21xQ=")</f>
        <v>#REF!</v>
      </c>
      <c r="V77" t="e">
        <f>AND(#REF!,"AAAAAHc21xU=")</f>
        <v>#REF!</v>
      </c>
      <c r="W77" t="e">
        <f>AND(#REF!,"AAAAAHc21xY=")</f>
        <v>#REF!</v>
      </c>
      <c r="X77" t="e">
        <f>AND(#REF!,"AAAAAHc21xc=")</f>
        <v>#REF!</v>
      </c>
      <c r="Y77" t="e">
        <f>AND(#REF!,"AAAAAHc21xg=")</f>
        <v>#REF!</v>
      </c>
      <c r="Z77" t="e">
        <f>AND(#REF!,"AAAAAHc21xk=")</f>
        <v>#REF!</v>
      </c>
      <c r="AA77" t="e">
        <f>AND(#REF!,"AAAAAHc21xo=")</f>
        <v>#REF!</v>
      </c>
      <c r="AB77" t="e">
        <f>AND(#REF!,"AAAAAHc21xs=")</f>
        <v>#REF!</v>
      </c>
      <c r="AC77" t="e">
        <f>AND(#REF!,"AAAAAHc21xw=")</f>
        <v>#REF!</v>
      </c>
      <c r="AD77" t="e">
        <f>AND(#REF!,"AAAAAHc21x0=")</f>
        <v>#REF!</v>
      </c>
      <c r="AE77" t="e">
        <f>AND(#REF!,"AAAAAHc21x4=")</f>
        <v>#REF!</v>
      </c>
      <c r="AF77" t="e">
        <f>AND(#REF!,"AAAAAHc21x8=")</f>
        <v>#REF!</v>
      </c>
      <c r="AG77" t="e">
        <f>AND(#REF!,"AAAAAHc21yA=")</f>
        <v>#REF!</v>
      </c>
      <c r="AH77" t="e">
        <f>AND(#REF!,"AAAAAHc21yE=")</f>
        <v>#REF!</v>
      </c>
      <c r="AI77" t="e">
        <f>AND(#REF!,"AAAAAHc21yI=")</f>
        <v>#REF!</v>
      </c>
      <c r="AJ77" t="e">
        <f>AND(#REF!,"AAAAAHc21yM=")</f>
        <v>#REF!</v>
      </c>
      <c r="AK77" t="e">
        <f>AND(#REF!,"AAAAAHc21yQ=")</f>
        <v>#REF!</v>
      </c>
      <c r="AL77" t="e">
        <f>AND(#REF!,"AAAAAHc21yU=")</f>
        <v>#REF!</v>
      </c>
      <c r="AM77" t="e">
        <f>AND(#REF!,"AAAAAHc21yY=")</f>
        <v>#REF!</v>
      </c>
      <c r="AN77" t="e">
        <f>AND(#REF!,"AAAAAHc21yc=")</f>
        <v>#REF!</v>
      </c>
      <c r="AO77" t="e">
        <f>AND(#REF!,"AAAAAHc21yg=")</f>
        <v>#REF!</v>
      </c>
      <c r="AP77" t="e">
        <f>AND(#REF!,"AAAAAHc21yk=")</f>
        <v>#REF!</v>
      </c>
      <c r="AQ77" t="e">
        <f>AND(#REF!,"AAAAAHc21yo=")</f>
        <v>#REF!</v>
      </c>
      <c r="AR77" t="e">
        <f>AND(#REF!,"AAAAAHc21ys=")</f>
        <v>#REF!</v>
      </c>
      <c r="AS77" t="e">
        <f>AND(#REF!,"AAAAAHc21yw=")</f>
        <v>#REF!</v>
      </c>
      <c r="AT77" t="e">
        <f>AND(#REF!,"AAAAAHc21y0=")</f>
        <v>#REF!</v>
      </c>
      <c r="AU77" t="e">
        <f>AND(#REF!,"AAAAAHc21y4=")</f>
        <v>#REF!</v>
      </c>
      <c r="AV77" t="e">
        <f>AND(#REF!,"AAAAAHc21y8=")</f>
        <v>#REF!</v>
      </c>
      <c r="AW77" t="e">
        <f>AND(#REF!,"AAAAAHc21zA=")</f>
        <v>#REF!</v>
      </c>
      <c r="AX77" t="e">
        <f>AND(#REF!,"AAAAAHc21zE=")</f>
        <v>#REF!</v>
      </c>
      <c r="AY77" t="e">
        <f>AND(#REF!,"AAAAAHc21zI=")</f>
        <v>#REF!</v>
      </c>
      <c r="AZ77" t="e">
        <f>AND(#REF!,"AAAAAHc21zM=")</f>
        <v>#REF!</v>
      </c>
      <c r="BA77" t="e">
        <f>AND(#REF!,"AAAAAHc21zQ=")</f>
        <v>#REF!</v>
      </c>
      <c r="BB77" t="e">
        <f>AND(#REF!,"AAAAAHc21zU=")</f>
        <v>#REF!</v>
      </c>
      <c r="BC77" t="e">
        <f>AND(#REF!,"AAAAAHc21zY=")</f>
        <v>#REF!</v>
      </c>
      <c r="BD77" t="e">
        <f>AND(#REF!,"AAAAAHc21zc=")</f>
        <v>#REF!</v>
      </c>
      <c r="BE77" t="e">
        <f>AND(#REF!,"AAAAAHc21zg=")</f>
        <v>#REF!</v>
      </c>
      <c r="BF77" t="e">
        <f>AND(#REF!,"AAAAAHc21zk=")</f>
        <v>#REF!</v>
      </c>
      <c r="BG77" t="e">
        <f>AND(#REF!,"AAAAAHc21zo=")</f>
        <v>#REF!</v>
      </c>
      <c r="BH77" t="e">
        <f>AND(#REF!,"AAAAAHc21zs=")</f>
        <v>#REF!</v>
      </c>
      <c r="BI77" t="e">
        <f>AND(#REF!,"AAAAAHc21zw=")</f>
        <v>#REF!</v>
      </c>
      <c r="BJ77" t="e">
        <f>AND(#REF!,"AAAAAHc21z0=")</f>
        <v>#REF!</v>
      </c>
      <c r="BK77" t="e">
        <f>AND(#REF!,"AAAAAHc21z4=")</f>
        <v>#REF!</v>
      </c>
      <c r="BL77" t="e">
        <f>AND(#REF!,"AAAAAHc21z8=")</f>
        <v>#REF!</v>
      </c>
      <c r="BM77" t="e">
        <f>AND(#REF!,"AAAAAHc210A=")</f>
        <v>#REF!</v>
      </c>
      <c r="BN77" t="e">
        <f>AND(#REF!,"AAAAAHc210E=")</f>
        <v>#REF!</v>
      </c>
      <c r="BO77" t="e">
        <f>AND(#REF!,"AAAAAHc210I=")</f>
        <v>#REF!</v>
      </c>
      <c r="BP77" t="e">
        <f>AND(#REF!,"AAAAAHc210M=")</f>
        <v>#REF!</v>
      </c>
      <c r="BQ77" t="e">
        <f>AND(#REF!,"AAAAAHc210Q=")</f>
        <v>#REF!</v>
      </c>
      <c r="BR77" t="e">
        <f>AND(#REF!,"AAAAAHc210U=")</f>
        <v>#REF!</v>
      </c>
      <c r="BS77" t="e">
        <f>AND(#REF!,"AAAAAHc210Y=")</f>
        <v>#REF!</v>
      </c>
      <c r="BT77" t="e">
        <f>AND(#REF!,"AAAAAHc210c=")</f>
        <v>#REF!</v>
      </c>
      <c r="BU77" t="e">
        <f>AND(#REF!,"AAAAAHc210g=")</f>
        <v>#REF!</v>
      </c>
      <c r="BV77" t="e">
        <f>AND(#REF!,"AAAAAHc210k=")</f>
        <v>#REF!</v>
      </c>
      <c r="BW77" t="e">
        <f>AND(#REF!,"AAAAAHc210o=")</f>
        <v>#REF!</v>
      </c>
      <c r="BX77" t="e">
        <f>AND(#REF!,"AAAAAHc210s=")</f>
        <v>#REF!</v>
      </c>
      <c r="BY77" t="e">
        <f>AND(#REF!,"AAAAAHc210w=")</f>
        <v>#REF!</v>
      </c>
      <c r="BZ77" t="e">
        <f>AND(#REF!,"AAAAAHc2100=")</f>
        <v>#REF!</v>
      </c>
      <c r="CA77" t="e">
        <f>AND(#REF!,"AAAAAHc2104=")</f>
        <v>#REF!</v>
      </c>
      <c r="CB77" t="e">
        <f>AND(#REF!,"AAAAAHc2108=")</f>
        <v>#REF!</v>
      </c>
      <c r="CC77" t="e">
        <f>AND(#REF!,"AAAAAHc211A=")</f>
        <v>#REF!</v>
      </c>
      <c r="CD77" t="e">
        <f>AND(#REF!,"AAAAAHc211E=")</f>
        <v>#REF!</v>
      </c>
      <c r="CE77" t="e">
        <f>AND(#REF!,"AAAAAHc211I=")</f>
        <v>#REF!</v>
      </c>
      <c r="CF77" t="e">
        <f>AND(#REF!,"AAAAAHc211M=")</f>
        <v>#REF!</v>
      </c>
      <c r="CG77" t="e">
        <f>AND(#REF!,"AAAAAHc211Q=")</f>
        <v>#REF!</v>
      </c>
      <c r="CH77" t="e">
        <f>AND(#REF!,"AAAAAHc211U=")</f>
        <v>#REF!</v>
      </c>
      <c r="CI77" t="e">
        <f>AND(#REF!,"AAAAAHc211Y=")</f>
        <v>#REF!</v>
      </c>
      <c r="CJ77" t="e">
        <f>AND(#REF!,"AAAAAHc211c=")</f>
        <v>#REF!</v>
      </c>
      <c r="CK77" t="e">
        <f>AND(#REF!,"AAAAAHc211g=")</f>
        <v>#REF!</v>
      </c>
      <c r="CL77" t="e">
        <f>AND(#REF!,"AAAAAHc211k=")</f>
        <v>#REF!</v>
      </c>
      <c r="CM77" t="e">
        <f>AND(#REF!,"AAAAAHc211o=")</f>
        <v>#REF!</v>
      </c>
      <c r="CN77" t="e">
        <f>AND(#REF!,"AAAAAHc211s=")</f>
        <v>#REF!</v>
      </c>
      <c r="CO77" t="e">
        <f>AND(#REF!,"AAAAAHc211w=")</f>
        <v>#REF!</v>
      </c>
      <c r="CP77" t="e">
        <f>AND(#REF!,"AAAAAHc2110=")</f>
        <v>#REF!</v>
      </c>
      <c r="CQ77" t="e">
        <f>AND(#REF!,"AAAAAHc2114=")</f>
        <v>#REF!</v>
      </c>
      <c r="CR77" t="e">
        <f>AND(#REF!,"AAAAAHc2118=")</f>
        <v>#REF!</v>
      </c>
      <c r="CS77" t="e">
        <f>AND(#REF!,"AAAAAHc212A=")</f>
        <v>#REF!</v>
      </c>
      <c r="CT77" t="e">
        <f>AND(#REF!,"AAAAAHc212E=")</f>
        <v>#REF!</v>
      </c>
      <c r="CU77" t="e">
        <f>AND(#REF!,"AAAAAHc212I=")</f>
        <v>#REF!</v>
      </c>
      <c r="CV77" t="e">
        <f>AND(#REF!,"AAAAAHc212M=")</f>
        <v>#REF!</v>
      </c>
      <c r="CW77" t="e">
        <f>AND(#REF!,"AAAAAHc212Q=")</f>
        <v>#REF!</v>
      </c>
      <c r="CX77" t="e">
        <f>AND(#REF!,"AAAAAHc212U=")</f>
        <v>#REF!</v>
      </c>
      <c r="CY77" t="e">
        <f>AND(#REF!,"AAAAAHc212Y=")</f>
        <v>#REF!</v>
      </c>
      <c r="CZ77" t="e">
        <f>AND(#REF!,"AAAAAHc212c=")</f>
        <v>#REF!</v>
      </c>
      <c r="DA77" t="e">
        <f>AND(#REF!,"AAAAAHc212g=")</f>
        <v>#REF!</v>
      </c>
      <c r="DB77" t="e">
        <f>AND(#REF!,"AAAAAHc212k=")</f>
        <v>#REF!</v>
      </c>
      <c r="DC77" t="e">
        <f>AND(#REF!,"AAAAAHc212o=")</f>
        <v>#REF!</v>
      </c>
      <c r="DD77" t="e">
        <f>AND(#REF!,"AAAAAHc212s=")</f>
        <v>#REF!</v>
      </c>
      <c r="DE77" t="e">
        <f>AND(#REF!,"AAAAAHc212w=")</f>
        <v>#REF!</v>
      </c>
      <c r="DF77" t="e">
        <f>AND(#REF!,"AAAAAHc2120=")</f>
        <v>#REF!</v>
      </c>
      <c r="DG77" t="e">
        <f>AND(#REF!,"AAAAAHc2124=")</f>
        <v>#REF!</v>
      </c>
      <c r="DH77" t="e">
        <f>AND(#REF!,"AAAAAHc2128=")</f>
        <v>#REF!</v>
      </c>
      <c r="DI77" t="e">
        <f>AND(#REF!,"AAAAAHc213A=")</f>
        <v>#REF!</v>
      </c>
      <c r="DJ77" t="e">
        <f>AND(#REF!,"AAAAAHc213E=")</f>
        <v>#REF!</v>
      </c>
      <c r="DK77" t="e">
        <f>AND(#REF!,"AAAAAHc213I=")</f>
        <v>#REF!</v>
      </c>
      <c r="DL77" t="e">
        <f>AND(#REF!,"AAAAAHc213M=")</f>
        <v>#REF!</v>
      </c>
      <c r="DM77" t="e">
        <f>AND(#REF!,"AAAAAHc213Q=")</f>
        <v>#REF!</v>
      </c>
      <c r="DN77" t="e">
        <f>AND(#REF!,"AAAAAHc213U=")</f>
        <v>#REF!</v>
      </c>
      <c r="DO77" t="e">
        <f>AND(#REF!,"AAAAAHc213Y=")</f>
        <v>#REF!</v>
      </c>
      <c r="DP77" t="e">
        <f>AND(#REF!,"AAAAAHc213c=")</f>
        <v>#REF!</v>
      </c>
      <c r="DQ77" t="e">
        <f>AND(#REF!,"AAAAAHc213g=")</f>
        <v>#REF!</v>
      </c>
      <c r="DR77" t="e">
        <f>AND(#REF!,"AAAAAHc213k=")</f>
        <v>#REF!</v>
      </c>
      <c r="DS77" t="e">
        <f>AND(#REF!,"AAAAAHc213o=")</f>
        <v>#REF!</v>
      </c>
      <c r="DT77" t="e">
        <f>AND(#REF!,"AAAAAHc213s=")</f>
        <v>#REF!</v>
      </c>
      <c r="DU77" t="e">
        <f>AND(#REF!,"AAAAAHc213w=")</f>
        <v>#REF!</v>
      </c>
      <c r="DV77" t="e">
        <f>AND(#REF!,"AAAAAHc2130=")</f>
        <v>#REF!</v>
      </c>
      <c r="DW77" t="e">
        <f>AND(#REF!,"AAAAAHc2134=")</f>
        <v>#REF!</v>
      </c>
      <c r="DX77" t="e">
        <f>AND(#REF!,"AAAAAHc2138=")</f>
        <v>#REF!</v>
      </c>
      <c r="DY77" t="e">
        <f>IF(#REF!,"AAAAAHc214A=",0)</f>
        <v>#REF!</v>
      </c>
      <c r="DZ77" t="e">
        <f>AND(#REF!,"AAAAAHc214E=")</f>
        <v>#REF!</v>
      </c>
      <c r="EA77" t="e">
        <f>AND(#REF!,"AAAAAHc214I=")</f>
        <v>#REF!</v>
      </c>
      <c r="EB77" t="e">
        <f>AND(#REF!,"AAAAAHc214M=")</f>
        <v>#REF!</v>
      </c>
      <c r="EC77" t="e">
        <f>AND(#REF!,"AAAAAHc214Q=")</f>
        <v>#REF!</v>
      </c>
      <c r="ED77" t="e">
        <f>AND(#REF!,"AAAAAHc214U=")</f>
        <v>#REF!</v>
      </c>
      <c r="EE77" t="e">
        <f>AND(#REF!,"AAAAAHc214Y=")</f>
        <v>#REF!</v>
      </c>
      <c r="EF77" t="e">
        <f>AND(#REF!,"AAAAAHc214c=")</f>
        <v>#REF!</v>
      </c>
      <c r="EG77" t="e">
        <f>AND(#REF!,"AAAAAHc214g=")</f>
        <v>#REF!</v>
      </c>
      <c r="EH77" t="e">
        <f>AND(#REF!,"AAAAAHc214k=")</f>
        <v>#REF!</v>
      </c>
      <c r="EI77" t="e">
        <f>AND(#REF!,"AAAAAHc214o=")</f>
        <v>#REF!</v>
      </c>
      <c r="EJ77" t="e">
        <f>AND(#REF!,"AAAAAHc214s=")</f>
        <v>#REF!</v>
      </c>
      <c r="EK77" t="e">
        <f>AND(#REF!,"AAAAAHc214w=")</f>
        <v>#REF!</v>
      </c>
      <c r="EL77" t="e">
        <f>AND(#REF!,"AAAAAHc2140=")</f>
        <v>#REF!</v>
      </c>
      <c r="EM77" t="e">
        <f>AND(#REF!,"AAAAAHc2144=")</f>
        <v>#REF!</v>
      </c>
      <c r="EN77" t="e">
        <f>AND(#REF!,"AAAAAHc2148=")</f>
        <v>#REF!</v>
      </c>
      <c r="EO77" t="e">
        <f>AND(#REF!,"AAAAAHc215A=")</f>
        <v>#REF!</v>
      </c>
      <c r="EP77" t="e">
        <f>AND(#REF!,"AAAAAHc215E=")</f>
        <v>#REF!</v>
      </c>
      <c r="EQ77" t="e">
        <f>AND(#REF!,"AAAAAHc215I=")</f>
        <v>#REF!</v>
      </c>
      <c r="ER77" t="e">
        <f>AND(#REF!,"AAAAAHc215M=")</f>
        <v>#REF!</v>
      </c>
      <c r="ES77" t="e">
        <f>AND(#REF!,"AAAAAHc215Q=")</f>
        <v>#REF!</v>
      </c>
      <c r="ET77" t="e">
        <f>AND(#REF!,"AAAAAHc215U=")</f>
        <v>#REF!</v>
      </c>
      <c r="EU77" t="e">
        <f>AND(#REF!,"AAAAAHc215Y=")</f>
        <v>#REF!</v>
      </c>
      <c r="EV77" t="e">
        <f>AND(#REF!,"AAAAAHc215c=")</f>
        <v>#REF!</v>
      </c>
      <c r="EW77" t="e">
        <f>AND(#REF!,"AAAAAHc215g=")</f>
        <v>#REF!</v>
      </c>
      <c r="EX77" t="e">
        <f>AND(#REF!,"AAAAAHc215k=")</f>
        <v>#REF!</v>
      </c>
      <c r="EY77" t="e">
        <f>AND(#REF!,"AAAAAHc215o=")</f>
        <v>#REF!</v>
      </c>
      <c r="EZ77" t="e">
        <f>AND(#REF!,"AAAAAHc215s=")</f>
        <v>#REF!</v>
      </c>
      <c r="FA77" t="e">
        <f>AND(#REF!,"AAAAAHc215w=")</f>
        <v>#REF!</v>
      </c>
      <c r="FB77" t="e">
        <f>AND(#REF!,"AAAAAHc2150=")</f>
        <v>#REF!</v>
      </c>
      <c r="FC77" t="e">
        <f>AND(#REF!,"AAAAAHc2154=")</f>
        <v>#REF!</v>
      </c>
      <c r="FD77" t="e">
        <f>AND(#REF!,"AAAAAHc2158=")</f>
        <v>#REF!</v>
      </c>
      <c r="FE77" t="e">
        <f>AND(#REF!,"AAAAAHc216A=")</f>
        <v>#REF!</v>
      </c>
      <c r="FF77" t="e">
        <f>AND(#REF!,"AAAAAHc216E=")</f>
        <v>#REF!</v>
      </c>
      <c r="FG77" t="e">
        <f>AND(#REF!,"AAAAAHc216I=")</f>
        <v>#REF!</v>
      </c>
      <c r="FH77" t="e">
        <f>AND(#REF!,"AAAAAHc216M=")</f>
        <v>#REF!</v>
      </c>
      <c r="FI77" t="e">
        <f>AND(#REF!,"AAAAAHc216Q=")</f>
        <v>#REF!</v>
      </c>
      <c r="FJ77" t="e">
        <f>AND(#REF!,"AAAAAHc216U=")</f>
        <v>#REF!</v>
      </c>
      <c r="FK77" t="e">
        <f>AND(#REF!,"AAAAAHc216Y=")</f>
        <v>#REF!</v>
      </c>
      <c r="FL77" t="e">
        <f>AND(#REF!,"AAAAAHc216c=")</f>
        <v>#REF!</v>
      </c>
      <c r="FM77" t="e">
        <f>AND(#REF!,"AAAAAHc216g=")</f>
        <v>#REF!</v>
      </c>
      <c r="FN77" t="e">
        <f>AND(#REF!,"AAAAAHc216k=")</f>
        <v>#REF!</v>
      </c>
      <c r="FO77" t="e">
        <f>AND(#REF!,"AAAAAHc216o=")</f>
        <v>#REF!</v>
      </c>
      <c r="FP77" t="e">
        <f>AND(#REF!,"AAAAAHc216s=")</f>
        <v>#REF!</v>
      </c>
      <c r="FQ77" t="e">
        <f>AND(#REF!,"AAAAAHc216w=")</f>
        <v>#REF!</v>
      </c>
      <c r="FR77" t="e">
        <f>AND(#REF!,"AAAAAHc2160=")</f>
        <v>#REF!</v>
      </c>
      <c r="FS77" t="e">
        <f>AND(#REF!,"AAAAAHc2164=")</f>
        <v>#REF!</v>
      </c>
      <c r="FT77" t="e">
        <f>AND(#REF!,"AAAAAHc2168=")</f>
        <v>#REF!</v>
      </c>
      <c r="FU77" t="e">
        <f>AND(#REF!,"AAAAAHc217A=")</f>
        <v>#REF!</v>
      </c>
      <c r="FV77" t="e">
        <f>AND(#REF!,"AAAAAHc217E=")</f>
        <v>#REF!</v>
      </c>
      <c r="FW77" t="e">
        <f>AND(#REF!,"AAAAAHc217I=")</f>
        <v>#REF!</v>
      </c>
      <c r="FX77" t="e">
        <f>AND(#REF!,"AAAAAHc217M=")</f>
        <v>#REF!</v>
      </c>
      <c r="FY77" t="e">
        <f>AND(#REF!,"AAAAAHc217Q=")</f>
        <v>#REF!</v>
      </c>
      <c r="FZ77" t="e">
        <f>AND(#REF!,"AAAAAHc217U=")</f>
        <v>#REF!</v>
      </c>
      <c r="GA77" t="e">
        <f>AND(#REF!,"AAAAAHc217Y=")</f>
        <v>#REF!</v>
      </c>
      <c r="GB77" t="e">
        <f>AND(#REF!,"AAAAAHc217c=")</f>
        <v>#REF!</v>
      </c>
      <c r="GC77" t="e">
        <f>AND(#REF!,"AAAAAHc217g=")</f>
        <v>#REF!</v>
      </c>
      <c r="GD77" t="e">
        <f>AND(#REF!,"AAAAAHc217k=")</f>
        <v>#REF!</v>
      </c>
      <c r="GE77" t="e">
        <f>AND(#REF!,"AAAAAHc217o=")</f>
        <v>#REF!</v>
      </c>
      <c r="GF77" t="e">
        <f>AND(#REF!,"AAAAAHc217s=")</f>
        <v>#REF!</v>
      </c>
      <c r="GG77" t="e">
        <f>AND(#REF!,"AAAAAHc217w=")</f>
        <v>#REF!</v>
      </c>
      <c r="GH77" t="e">
        <f>AND(#REF!,"AAAAAHc2170=")</f>
        <v>#REF!</v>
      </c>
      <c r="GI77" t="e">
        <f>AND(#REF!,"AAAAAHc2174=")</f>
        <v>#REF!</v>
      </c>
      <c r="GJ77" t="e">
        <f>AND(#REF!,"AAAAAHc2178=")</f>
        <v>#REF!</v>
      </c>
      <c r="GK77" t="e">
        <f>AND(#REF!,"AAAAAHc218A=")</f>
        <v>#REF!</v>
      </c>
      <c r="GL77" t="e">
        <f>AND(#REF!,"AAAAAHc218E=")</f>
        <v>#REF!</v>
      </c>
      <c r="GM77" t="e">
        <f>AND(#REF!,"AAAAAHc218I=")</f>
        <v>#REF!</v>
      </c>
      <c r="GN77" t="e">
        <f>AND(#REF!,"AAAAAHc218M=")</f>
        <v>#REF!</v>
      </c>
      <c r="GO77" t="e">
        <f>AND(#REF!,"AAAAAHc218Q=")</f>
        <v>#REF!</v>
      </c>
      <c r="GP77" t="e">
        <f>AND(#REF!,"AAAAAHc218U=")</f>
        <v>#REF!</v>
      </c>
      <c r="GQ77" t="e">
        <f>AND(#REF!,"AAAAAHc218Y=")</f>
        <v>#REF!</v>
      </c>
      <c r="GR77" t="e">
        <f>AND(#REF!,"AAAAAHc218c=")</f>
        <v>#REF!</v>
      </c>
      <c r="GS77" t="e">
        <f>AND(#REF!,"AAAAAHc218g=")</f>
        <v>#REF!</v>
      </c>
      <c r="GT77" t="e">
        <f>AND(#REF!,"AAAAAHc218k=")</f>
        <v>#REF!</v>
      </c>
      <c r="GU77" t="e">
        <f>AND(#REF!,"AAAAAHc218o=")</f>
        <v>#REF!</v>
      </c>
      <c r="GV77" t="e">
        <f>AND(#REF!,"AAAAAHc218s=")</f>
        <v>#REF!</v>
      </c>
      <c r="GW77" t="e">
        <f>AND(#REF!,"AAAAAHc218w=")</f>
        <v>#REF!</v>
      </c>
      <c r="GX77" t="e">
        <f>AND(#REF!,"AAAAAHc2180=")</f>
        <v>#REF!</v>
      </c>
      <c r="GY77" t="e">
        <f>AND(#REF!,"AAAAAHc2184=")</f>
        <v>#REF!</v>
      </c>
      <c r="GZ77" t="e">
        <f>AND(#REF!,"AAAAAHc2188=")</f>
        <v>#REF!</v>
      </c>
      <c r="HA77" t="e">
        <f>AND(#REF!,"AAAAAHc219A=")</f>
        <v>#REF!</v>
      </c>
      <c r="HB77" t="e">
        <f>AND(#REF!,"AAAAAHc219E=")</f>
        <v>#REF!</v>
      </c>
      <c r="HC77" t="e">
        <f>AND(#REF!,"AAAAAHc219I=")</f>
        <v>#REF!</v>
      </c>
      <c r="HD77" t="e">
        <f>AND(#REF!,"AAAAAHc219M=")</f>
        <v>#REF!</v>
      </c>
      <c r="HE77" t="e">
        <f>AND(#REF!,"AAAAAHc219Q=")</f>
        <v>#REF!</v>
      </c>
      <c r="HF77" t="e">
        <f>AND(#REF!,"AAAAAHc219U=")</f>
        <v>#REF!</v>
      </c>
      <c r="HG77" t="e">
        <f>AND(#REF!,"AAAAAHc219Y=")</f>
        <v>#REF!</v>
      </c>
      <c r="HH77" t="e">
        <f>AND(#REF!,"AAAAAHc219c=")</f>
        <v>#REF!</v>
      </c>
      <c r="HI77" t="e">
        <f>AND(#REF!,"AAAAAHc219g=")</f>
        <v>#REF!</v>
      </c>
      <c r="HJ77" t="e">
        <f>AND(#REF!,"AAAAAHc219k=")</f>
        <v>#REF!</v>
      </c>
      <c r="HK77" t="e">
        <f>AND(#REF!,"AAAAAHc219o=")</f>
        <v>#REF!</v>
      </c>
      <c r="HL77" t="e">
        <f>AND(#REF!,"AAAAAHc219s=")</f>
        <v>#REF!</v>
      </c>
      <c r="HM77" t="e">
        <f>AND(#REF!,"AAAAAHc219w=")</f>
        <v>#REF!</v>
      </c>
      <c r="HN77" t="e">
        <f>AND(#REF!,"AAAAAHc2190=")</f>
        <v>#REF!</v>
      </c>
      <c r="HO77" t="e">
        <f>AND(#REF!,"AAAAAHc2194=")</f>
        <v>#REF!</v>
      </c>
      <c r="HP77" t="e">
        <f>AND(#REF!,"AAAAAHc2198=")</f>
        <v>#REF!</v>
      </c>
      <c r="HQ77" t="e">
        <f>AND(#REF!,"AAAAAHc21+A=")</f>
        <v>#REF!</v>
      </c>
      <c r="HR77" t="e">
        <f>AND(#REF!,"AAAAAHc21+E=")</f>
        <v>#REF!</v>
      </c>
      <c r="HS77" t="e">
        <f>AND(#REF!,"AAAAAHc21+I=")</f>
        <v>#REF!</v>
      </c>
      <c r="HT77" t="e">
        <f>AND(#REF!,"AAAAAHc21+M=")</f>
        <v>#REF!</v>
      </c>
      <c r="HU77" t="e">
        <f>AND(#REF!,"AAAAAHc21+Q=")</f>
        <v>#REF!</v>
      </c>
      <c r="HV77" t="e">
        <f>AND(#REF!,"AAAAAHc21+U=")</f>
        <v>#REF!</v>
      </c>
      <c r="HW77" t="e">
        <f>AND(#REF!,"AAAAAHc21+Y=")</f>
        <v>#REF!</v>
      </c>
      <c r="HX77" t="e">
        <f>AND(#REF!,"AAAAAHc21+c=")</f>
        <v>#REF!</v>
      </c>
      <c r="HY77" t="e">
        <f>AND(#REF!,"AAAAAHc21+g=")</f>
        <v>#REF!</v>
      </c>
      <c r="HZ77" t="e">
        <f>AND(#REF!,"AAAAAHc21+k=")</f>
        <v>#REF!</v>
      </c>
      <c r="IA77" t="e">
        <f>AND(#REF!,"AAAAAHc21+o=")</f>
        <v>#REF!</v>
      </c>
      <c r="IB77" t="e">
        <f>AND(#REF!,"AAAAAHc21+s=")</f>
        <v>#REF!</v>
      </c>
      <c r="IC77" t="e">
        <f>AND(#REF!,"AAAAAHc21+w=")</f>
        <v>#REF!</v>
      </c>
      <c r="ID77" t="e">
        <f>AND(#REF!,"AAAAAHc21+0=")</f>
        <v>#REF!</v>
      </c>
      <c r="IE77" t="e">
        <f>AND(#REF!,"AAAAAHc21+4=")</f>
        <v>#REF!</v>
      </c>
      <c r="IF77" t="e">
        <f>AND(#REF!,"AAAAAHc21+8=")</f>
        <v>#REF!</v>
      </c>
      <c r="IG77" t="e">
        <f>AND(#REF!,"AAAAAHc21/A=")</f>
        <v>#REF!</v>
      </c>
      <c r="IH77" t="e">
        <f>AND(#REF!,"AAAAAHc21/E=")</f>
        <v>#REF!</v>
      </c>
      <c r="II77" t="e">
        <f>AND(#REF!,"AAAAAHc21/I=")</f>
        <v>#REF!</v>
      </c>
      <c r="IJ77" t="e">
        <f>AND(#REF!,"AAAAAHc21/M=")</f>
        <v>#REF!</v>
      </c>
      <c r="IK77" t="e">
        <f>AND(#REF!,"AAAAAHc21/Q=")</f>
        <v>#REF!</v>
      </c>
      <c r="IL77" t="e">
        <f>AND(#REF!,"AAAAAHc21/U=")</f>
        <v>#REF!</v>
      </c>
      <c r="IM77" t="e">
        <f>AND(#REF!,"AAAAAHc21/Y=")</f>
        <v>#REF!</v>
      </c>
      <c r="IN77" t="e">
        <f>AND(#REF!,"AAAAAHc21/c=")</f>
        <v>#REF!</v>
      </c>
      <c r="IO77" t="e">
        <f>AND(#REF!,"AAAAAHc21/g=")</f>
        <v>#REF!</v>
      </c>
      <c r="IP77" t="e">
        <f>AND(#REF!,"AAAAAHc21/k=")</f>
        <v>#REF!</v>
      </c>
      <c r="IQ77" t="e">
        <f>AND(#REF!,"AAAAAHc21/o=")</f>
        <v>#REF!</v>
      </c>
      <c r="IR77" t="e">
        <f>AND(#REF!,"AAAAAHc21/s=")</f>
        <v>#REF!</v>
      </c>
      <c r="IS77" t="e">
        <f>AND(#REF!,"AAAAAHc21/w=")</f>
        <v>#REF!</v>
      </c>
      <c r="IT77" t="e">
        <f>AND(#REF!,"AAAAAHc21/0=")</f>
        <v>#REF!</v>
      </c>
      <c r="IU77" t="e">
        <f>AND(#REF!,"AAAAAHc21/4=")</f>
        <v>#REF!</v>
      </c>
      <c r="IV77" t="e">
        <f>AND(#REF!,"AAAAAHc21/8=")</f>
        <v>#REF!</v>
      </c>
    </row>
    <row r="78" spans="1:256">
      <c r="A78" t="e">
        <f>IF(#REF!,"AAAAAHyf2QA=",0)</f>
        <v>#REF!</v>
      </c>
      <c r="B78" t="e">
        <f>AND(#REF!,"AAAAAHyf2QE=")</f>
        <v>#REF!</v>
      </c>
      <c r="C78" t="e">
        <f>AND(#REF!,"AAAAAHyf2QI=")</f>
        <v>#REF!</v>
      </c>
      <c r="D78" t="e">
        <f>AND(#REF!,"AAAAAHyf2QM=")</f>
        <v>#REF!</v>
      </c>
      <c r="E78" t="e">
        <f>AND(#REF!,"AAAAAHyf2QQ=")</f>
        <v>#REF!</v>
      </c>
      <c r="F78" t="e">
        <f>AND(#REF!,"AAAAAHyf2QU=")</f>
        <v>#REF!</v>
      </c>
      <c r="G78" t="e">
        <f>AND(#REF!,"AAAAAHyf2QY=")</f>
        <v>#REF!</v>
      </c>
      <c r="H78" t="e">
        <f>AND(#REF!,"AAAAAHyf2Qc=")</f>
        <v>#REF!</v>
      </c>
      <c r="I78" t="e">
        <f>AND(#REF!,"AAAAAHyf2Qg=")</f>
        <v>#REF!</v>
      </c>
      <c r="J78" t="e">
        <f>AND(#REF!,"AAAAAHyf2Qk=")</f>
        <v>#REF!</v>
      </c>
      <c r="K78" t="e">
        <f>AND(#REF!,"AAAAAHyf2Qo=")</f>
        <v>#REF!</v>
      </c>
      <c r="L78" t="e">
        <f>AND(#REF!,"AAAAAHyf2Qs=")</f>
        <v>#REF!</v>
      </c>
      <c r="M78" t="e">
        <f>AND(#REF!,"AAAAAHyf2Qw=")</f>
        <v>#REF!</v>
      </c>
      <c r="N78" t="e">
        <f>AND(#REF!,"AAAAAHyf2Q0=")</f>
        <v>#REF!</v>
      </c>
      <c r="O78" t="e">
        <f>AND(#REF!,"AAAAAHyf2Q4=")</f>
        <v>#REF!</v>
      </c>
      <c r="P78" t="e">
        <f>AND(#REF!,"AAAAAHyf2Q8=")</f>
        <v>#REF!</v>
      </c>
      <c r="Q78" t="e">
        <f>AND(#REF!,"AAAAAHyf2RA=")</f>
        <v>#REF!</v>
      </c>
      <c r="R78" t="e">
        <f>AND(#REF!,"AAAAAHyf2RE=")</f>
        <v>#REF!</v>
      </c>
      <c r="S78" t="e">
        <f>AND(#REF!,"AAAAAHyf2RI=")</f>
        <v>#REF!</v>
      </c>
      <c r="T78" t="e">
        <f>AND(#REF!,"AAAAAHyf2RM=")</f>
        <v>#REF!</v>
      </c>
      <c r="U78" t="e">
        <f>AND(#REF!,"AAAAAHyf2RQ=")</f>
        <v>#REF!</v>
      </c>
      <c r="V78" t="e">
        <f>AND(#REF!,"AAAAAHyf2RU=")</f>
        <v>#REF!</v>
      </c>
      <c r="W78" t="e">
        <f>AND(#REF!,"AAAAAHyf2RY=")</f>
        <v>#REF!</v>
      </c>
      <c r="X78" t="e">
        <f>AND(#REF!,"AAAAAHyf2Rc=")</f>
        <v>#REF!</v>
      </c>
      <c r="Y78" t="e">
        <f>AND(#REF!,"AAAAAHyf2Rg=")</f>
        <v>#REF!</v>
      </c>
      <c r="Z78" t="e">
        <f>AND(#REF!,"AAAAAHyf2Rk=")</f>
        <v>#REF!</v>
      </c>
      <c r="AA78" t="e">
        <f>AND(#REF!,"AAAAAHyf2Ro=")</f>
        <v>#REF!</v>
      </c>
      <c r="AB78" t="e">
        <f>AND(#REF!,"AAAAAHyf2Rs=")</f>
        <v>#REF!</v>
      </c>
      <c r="AC78" t="e">
        <f>AND(#REF!,"AAAAAHyf2Rw=")</f>
        <v>#REF!</v>
      </c>
      <c r="AD78" t="e">
        <f>AND(#REF!,"AAAAAHyf2R0=")</f>
        <v>#REF!</v>
      </c>
      <c r="AE78" t="e">
        <f>AND(#REF!,"AAAAAHyf2R4=")</f>
        <v>#REF!</v>
      </c>
      <c r="AF78" t="e">
        <f>AND(#REF!,"AAAAAHyf2R8=")</f>
        <v>#REF!</v>
      </c>
      <c r="AG78" t="e">
        <f>AND(#REF!,"AAAAAHyf2SA=")</f>
        <v>#REF!</v>
      </c>
      <c r="AH78" t="e">
        <f>AND(#REF!,"AAAAAHyf2SE=")</f>
        <v>#REF!</v>
      </c>
      <c r="AI78" t="e">
        <f>AND(#REF!,"AAAAAHyf2SI=")</f>
        <v>#REF!</v>
      </c>
      <c r="AJ78" t="e">
        <f>AND(#REF!,"AAAAAHyf2SM=")</f>
        <v>#REF!</v>
      </c>
      <c r="AK78" t="e">
        <f>AND(#REF!,"AAAAAHyf2SQ=")</f>
        <v>#REF!</v>
      </c>
      <c r="AL78" t="e">
        <f>AND(#REF!,"AAAAAHyf2SU=")</f>
        <v>#REF!</v>
      </c>
      <c r="AM78" t="e">
        <f>AND(#REF!,"AAAAAHyf2SY=")</f>
        <v>#REF!</v>
      </c>
      <c r="AN78" t="e">
        <f>AND(#REF!,"AAAAAHyf2Sc=")</f>
        <v>#REF!</v>
      </c>
      <c r="AO78" t="e">
        <f>AND(#REF!,"AAAAAHyf2Sg=")</f>
        <v>#REF!</v>
      </c>
      <c r="AP78" t="e">
        <f>AND(#REF!,"AAAAAHyf2Sk=")</f>
        <v>#REF!</v>
      </c>
      <c r="AQ78" t="e">
        <f>AND(#REF!,"AAAAAHyf2So=")</f>
        <v>#REF!</v>
      </c>
      <c r="AR78" t="e">
        <f>AND(#REF!,"AAAAAHyf2Ss=")</f>
        <v>#REF!</v>
      </c>
      <c r="AS78" t="e">
        <f>AND(#REF!,"AAAAAHyf2Sw=")</f>
        <v>#REF!</v>
      </c>
      <c r="AT78" t="e">
        <f>AND(#REF!,"AAAAAHyf2S0=")</f>
        <v>#REF!</v>
      </c>
      <c r="AU78" t="e">
        <f>AND(#REF!,"AAAAAHyf2S4=")</f>
        <v>#REF!</v>
      </c>
      <c r="AV78" t="e">
        <f>AND(#REF!,"AAAAAHyf2S8=")</f>
        <v>#REF!</v>
      </c>
      <c r="AW78" t="e">
        <f>AND(#REF!,"AAAAAHyf2TA=")</f>
        <v>#REF!</v>
      </c>
      <c r="AX78" t="e">
        <f>AND(#REF!,"AAAAAHyf2TE=")</f>
        <v>#REF!</v>
      </c>
      <c r="AY78" t="e">
        <f>AND(#REF!,"AAAAAHyf2TI=")</f>
        <v>#REF!</v>
      </c>
      <c r="AZ78" t="e">
        <f>AND(#REF!,"AAAAAHyf2TM=")</f>
        <v>#REF!</v>
      </c>
      <c r="BA78" t="e">
        <f>AND(#REF!,"AAAAAHyf2TQ=")</f>
        <v>#REF!</v>
      </c>
      <c r="BB78" t="e">
        <f>AND(#REF!,"AAAAAHyf2TU=")</f>
        <v>#REF!</v>
      </c>
      <c r="BC78" t="e">
        <f>AND(#REF!,"AAAAAHyf2TY=")</f>
        <v>#REF!</v>
      </c>
      <c r="BD78" t="e">
        <f>AND(#REF!,"AAAAAHyf2Tc=")</f>
        <v>#REF!</v>
      </c>
      <c r="BE78" t="e">
        <f>AND(#REF!,"AAAAAHyf2Tg=")</f>
        <v>#REF!</v>
      </c>
      <c r="BF78" t="e">
        <f>AND(#REF!,"AAAAAHyf2Tk=")</f>
        <v>#REF!</v>
      </c>
      <c r="BG78" t="e">
        <f>AND(#REF!,"AAAAAHyf2To=")</f>
        <v>#REF!</v>
      </c>
      <c r="BH78" t="e">
        <f>AND(#REF!,"AAAAAHyf2Ts=")</f>
        <v>#REF!</v>
      </c>
      <c r="BI78" t="e">
        <f>AND(#REF!,"AAAAAHyf2Tw=")</f>
        <v>#REF!</v>
      </c>
      <c r="BJ78" t="e">
        <f>AND(#REF!,"AAAAAHyf2T0=")</f>
        <v>#REF!</v>
      </c>
      <c r="BK78" t="e">
        <f>AND(#REF!,"AAAAAHyf2T4=")</f>
        <v>#REF!</v>
      </c>
      <c r="BL78" t="e">
        <f>AND(#REF!,"AAAAAHyf2T8=")</f>
        <v>#REF!</v>
      </c>
      <c r="BM78" t="e">
        <f>AND(#REF!,"AAAAAHyf2UA=")</f>
        <v>#REF!</v>
      </c>
      <c r="BN78" t="e">
        <f>AND(#REF!,"AAAAAHyf2UE=")</f>
        <v>#REF!</v>
      </c>
      <c r="BO78" t="e">
        <f>AND(#REF!,"AAAAAHyf2UI=")</f>
        <v>#REF!</v>
      </c>
      <c r="BP78" t="e">
        <f>AND(#REF!,"AAAAAHyf2UM=")</f>
        <v>#REF!</v>
      </c>
      <c r="BQ78" t="e">
        <f>AND(#REF!,"AAAAAHyf2UQ=")</f>
        <v>#REF!</v>
      </c>
      <c r="BR78" t="e">
        <f>AND(#REF!,"AAAAAHyf2UU=")</f>
        <v>#REF!</v>
      </c>
      <c r="BS78" t="e">
        <f>AND(#REF!,"AAAAAHyf2UY=")</f>
        <v>#REF!</v>
      </c>
      <c r="BT78" t="e">
        <f>AND(#REF!,"AAAAAHyf2Uc=")</f>
        <v>#REF!</v>
      </c>
      <c r="BU78" t="e">
        <f>AND(#REF!,"AAAAAHyf2Ug=")</f>
        <v>#REF!</v>
      </c>
      <c r="BV78" t="e">
        <f>AND(#REF!,"AAAAAHyf2Uk=")</f>
        <v>#REF!</v>
      </c>
      <c r="BW78" t="e">
        <f>AND(#REF!,"AAAAAHyf2Uo=")</f>
        <v>#REF!</v>
      </c>
      <c r="BX78" t="e">
        <f>AND(#REF!,"AAAAAHyf2Us=")</f>
        <v>#REF!</v>
      </c>
      <c r="BY78" t="e">
        <f>AND(#REF!,"AAAAAHyf2Uw=")</f>
        <v>#REF!</v>
      </c>
      <c r="BZ78" t="e">
        <f>AND(#REF!,"AAAAAHyf2U0=")</f>
        <v>#REF!</v>
      </c>
      <c r="CA78" t="e">
        <f>AND(#REF!,"AAAAAHyf2U4=")</f>
        <v>#REF!</v>
      </c>
      <c r="CB78" t="e">
        <f>AND(#REF!,"AAAAAHyf2U8=")</f>
        <v>#REF!</v>
      </c>
      <c r="CC78" t="e">
        <f>AND(#REF!,"AAAAAHyf2VA=")</f>
        <v>#REF!</v>
      </c>
      <c r="CD78" t="e">
        <f>AND(#REF!,"AAAAAHyf2VE=")</f>
        <v>#REF!</v>
      </c>
      <c r="CE78" t="e">
        <f>AND(#REF!,"AAAAAHyf2VI=")</f>
        <v>#REF!</v>
      </c>
      <c r="CF78" t="e">
        <f>AND(#REF!,"AAAAAHyf2VM=")</f>
        <v>#REF!</v>
      </c>
      <c r="CG78" t="e">
        <f>AND(#REF!,"AAAAAHyf2VQ=")</f>
        <v>#REF!</v>
      </c>
      <c r="CH78" t="e">
        <f>AND(#REF!,"AAAAAHyf2VU=")</f>
        <v>#REF!</v>
      </c>
      <c r="CI78" t="e">
        <f>AND(#REF!,"AAAAAHyf2VY=")</f>
        <v>#REF!</v>
      </c>
      <c r="CJ78" t="e">
        <f>AND(#REF!,"AAAAAHyf2Vc=")</f>
        <v>#REF!</v>
      </c>
      <c r="CK78" t="e">
        <f>AND(#REF!,"AAAAAHyf2Vg=")</f>
        <v>#REF!</v>
      </c>
      <c r="CL78" t="e">
        <f>AND(#REF!,"AAAAAHyf2Vk=")</f>
        <v>#REF!</v>
      </c>
      <c r="CM78" t="e">
        <f>AND(#REF!,"AAAAAHyf2Vo=")</f>
        <v>#REF!</v>
      </c>
      <c r="CN78" t="e">
        <f>AND(#REF!,"AAAAAHyf2Vs=")</f>
        <v>#REF!</v>
      </c>
      <c r="CO78" t="e">
        <f>AND(#REF!,"AAAAAHyf2Vw=")</f>
        <v>#REF!</v>
      </c>
      <c r="CP78" t="e">
        <f>AND(#REF!,"AAAAAHyf2V0=")</f>
        <v>#REF!</v>
      </c>
      <c r="CQ78" t="e">
        <f>AND(#REF!,"AAAAAHyf2V4=")</f>
        <v>#REF!</v>
      </c>
      <c r="CR78" t="e">
        <f>AND(#REF!,"AAAAAHyf2V8=")</f>
        <v>#REF!</v>
      </c>
      <c r="CS78" t="e">
        <f>AND(#REF!,"AAAAAHyf2WA=")</f>
        <v>#REF!</v>
      </c>
      <c r="CT78" t="e">
        <f>AND(#REF!,"AAAAAHyf2WE=")</f>
        <v>#REF!</v>
      </c>
      <c r="CU78" t="e">
        <f>AND(#REF!,"AAAAAHyf2WI=")</f>
        <v>#REF!</v>
      </c>
      <c r="CV78" t="e">
        <f>AND(#REF!,"AAAAAHyf2WM=")</f>
        <v>#REF!</v>
      </c>
      <c r="CW78" t="e">
        <f>AND(#REF!,"AAAAAHyf2WQ=")</f>
        <v>#REF!</v>
      </c>
      <c r="CX78" t="e">
        <f>AND(#REF!,"AAAAAHyf2WU=")</f>
        <v>#REF!</v>
      </c>
      <c r="CY78" t="e">
        <f>AND(#REF!,"AAAAAHyf2WY=")</f>
        <v>#REF!</v>
      </c>
      <c r="CZ78" t="e">
        <f>AND(#REF!,"AAAAAHyf2Wc=")</f>
        <v>#REF!</v>
      </c>
      <c r="DA78" t="e">
        <f>AND(#REF!,"AAAAAHyf2Wg=")</f>
        <v>#REF!</v>
      </c>
      <c r="DB78" t="e">
        <f>AND(#REF!,"AAAAAHyf2Wk=")</f>
        <v>#REF!</v>
      </c>
      <c r="DC78" t="e">
        <f>AND(#REF!,"AAAAAHyf2Wo=")</f>
        <v>#REF!</v>
      </c>
      <c r="DD78" t="e">
        <f>AND(#REF!,"AAAAAHyf2Ws=")</f>
        <v>#REF!</v>
      </c>
      <c r="DE78" t="e">
        <f>AND(#REF!,"AAAAAHyf2Ww=")</f>
        <v>#REF!</v>
      </c>
      <c r="DF78" t="e">
        <f>AND(#REF!,"AAAAAHyf2W0=")</f>
        <v>#REF!</v>
      </c>
      <c r="DG78" t="e">
        <f>AND(#REF!,"AAAAAHyf2W4=")</f>
        <v>#REF!</v>
      </c>
      <c r="DH78" t="e">
        <f>AND(#REF!,"AAAAAHyf2W8=")</f>
        <v>#REF!</v>
      </c>
      <c r="DI78" t="e">
        <f>AND(#REF!,"AAAAAHyf2XA=")</f>
        <v>#REF!</v>
      </c>
      <c r="DJ78" t="e">
        <f>AND(#REF!,"AAAAAHyf2XE=")</f>
        <v>#REF!</v>
      </c>
      <c r="DK78" t="e">
        <f>AND(#REF!,"AAAAAHyf2XI=")</f>
        <v>#REF!</v>
      </c>
      <c r="DL78" t="e">
        <f>AND(#REF!,"AAAAAHyf2XM=")</f>
        <v>#REF!</v>
      </c>
      <c r="DM78" t="e">
        <f>AND(#REF!,"AAAAAHyf2XQ=")</f>
        <v>#REF!</v>
      </c>
      <c r="DN78" t="e">
        <f>AND(#REF!,"AAAAAHyf2XU=")</f>
        <v>#REF!</v>
      </c>
      <c r="DO78" t="e">
        <f>AND(#REF!,"AAAAAHyf2XY=")</f>
        <v>#REF!</v>
      </c>
      <c r="DP78" t="e">
        <f>AND(#REF!,"AAAAAHyf2Xc=")</f>
        <v>#REF!</v>
      </c>
      <c r="DQ78" t="e">
        <f>AND(#REF!,"AAAAAHyf2Xg=")</f>
        <v>#REF!</v>
      </c>
      <c r="DR78" t="e">
        <f>AND(#REF!,"AAAAAHyf2Xk=")</f>
        <v>#REF!</v>
      </c>
      <c r="DS78" t="e">
        <f>AND(#REF!,"AAAAAHyf2Xo=")</f>
        <v>#REF!</v>
      </c>
      <c r="DT78" t="e">
        <f>AND(#REF!,"AAAAAHyf2Xs=")</f>
        <v>#REF!</v>
      </c>
      <c r="DU78" t="e">
        <f>AND(#REF!,"AAAAAHyf2Xw=")</f>
        <v>#REF!</v>
      </c>
      <c r="DV78" t="e">
        <f>AND(#REF!,"AAAAAHyf2X0=")</f>
        <v>#REF!</v>
      </c>
      <c r="DW78" t="e">
        <f>AND(#REF!,"AAAAAHyf2X4=")</f>
        <v>#REF!</v>
      </c>
      <c r="DX78" t="e">
        <f>AND(#REF!,"AAAAAHyf2X8=")</f>
        <v>#REF!</v>
      </c>
      <c r="DY78" t="e">
        <f>IF(#REF!,"AAAAAHyf2YA=",0)</f>
        <v>#REF!</v>
      </c>
      <c r="DZ78" t="e">
        <f>AND(#REF!,"AAAAAHyf2YE=")</f>
        <v>#REF!</v>
      </c>
      <c r="EA78" t="e">
        <f>AND(#REF!,"AAAAAHyf2YI=")</f>
        <v>#REF!</v>
      </c>
      <c r="EB78" t="e">
        <f>AND(#REF!,"AAAAAHyf2YM=")</f>
        <v>#REF!</v>
      </c>
      <c r="EC78" t="e">
        <f>AND(#REF!,"AAAAAHyf2YQ=")</f>
        <v>#REF!</v>
      </c>
      <c r="ED78" t="e">
        <f>AND(#REF!,"AAAAAHyf2YU=")</f>
        <v>#REF!</v>
      </c>
      <c r="EE78" t="e">
        <f>AND(#REF!,"AAAAAHyf2YY=")</f>
        <v>#REF!</v>
      </c>
      <c r="EF78" t="e">
        <f>AND(#REF!,"AAAAAHyf2Yc=")</f>
        <v>#REF!</v>
      </c>
      <c r="EG78" t="e">
        <f>AND(#REF!,"AAAAAHyf2Yg=")</f>
        <v>#REF!</v>
      </c>
      <c r="EH78" t="e">
        <f>AND(#REF!,"AAAAAHyf2Yk=")</f>
        <v>#REF!</v>
      </c>
      <c r="EI78" t="e">
        <f>AND(#REF!,"AAAAAHyf2Yo=")</f>
        <v>#REF!</v>
      </c>
      <c r="EJ78" t="e">
        <f>AND(#REF!,"AAAAAHyf2Ys=")</f>
        <v>#REF!</v>
      </c>
      <c r="EK78" t="e">
        <f>AND(#REF!,"AAAAAHyf2Yw=")</f>
        <v>#REF!</v>
      </c>
      <c r="EL78" t="e">
        <f>AND(#REF!,"AAAAAHyf2Y0=")</f>
        <v>#REF!</v>
      </c>
      <c r="EM78" t="e">
        <f>AND(#REF!,"AAAAAHyf2Y4=")</f>
        <v>#REF!</v>
      </c>
      <c r="EN78" t="e">
        <f>AND(#REF!,"AAAAAHyf2Y8=")</f>
        <v>#REF!</v>
      </c>
      <c r="EO78" t="e">
        <f>AND(#REF!,"AAAAAHyf2ZA=")</f>
        <v>#REF!</v>
      </c>
      <c r="EP78" t="e">
        <f>AND(#REF!,"AAAAAHyf2ZE=")</f>
        <v>#REF!</v>
      </c>
      <c r="EQ78" t="e">
        <f>AND(#REF!,"AAAAAHyf2ZI=")</f>
        <v>#REF!</v>
      </c>
      <c r="ER78" t="e">
        <f>AND(#REF!,"AAAAAHyf2ZM=")</f>
        <v>#REF!</v>
      </c>
      <c r="ES78" t="e">
        <f>AND(#REF!,"AAAAAHyf2ZQ=")</f>
        <v>#REF!</v>
      </c>
      <c r="ET78" t="e">
        <f>AND(#REF!,"AAAAAHyf2ZU=")</f>
        <v>#REF!</v>
      </c>
      <c r="EU78" t="e">
        <f>AND(#REF!,"AAAAAHyf2ZY=")</f>
        <v>#REF!</v>
      </c>
      <c r="EV78" t="e">
        <f>AND(#REF!,"AAAAAHyf2Zc=")</f>
        <v>#REF!</v>
      </c>
      <c r="EW78" t="e">
        <f>AND(#REF!,"AAAAAHyf2Zg=")</f>
        <v>#REF!</v>
      </c>
      <c r="EX78" t="e">
        <f>AND(#REF!,"AAAAAHyf2Zk=")</f>
        <v>#REF!</v>
      </c>
      <c r="EY78" t="e">
        <f>AND(#REF!,"AAAAAHyf2Zo=")</f>
        <v>#REF!</v>
      </c>
      <c r="EZ78" t="e">
        <f>AND(#REF!,"AAAAAHyf2Zs=")</f>
        <v>#REF!</v>
      </c>
      <c r="FA78" t="e">
        <f>AND(#REF!,"AAAAAHyf2Zw=")</f>
        <v>#REF!</v>
      </c>
      <c r="FB78" t="e">
        <f>AND(#REF!,"AAAAAHyf2Z0=")</f>
        <v>#REF!</v>
      </c>
      <c r="FC78" t="e">
        <f>AND(#REF!,"AAAAAHyf2Z4=")</f>
        <v>#REF!</v>
      </c>
      <c r="FD78" t="e">
        <f>AND(#REF!,"AAAAAHyf2Z8=")</f>
        <v>#REF!</v>
      </c>
      <c r="FE78" t="e">
        <f>AND(#REF!,"AAAAAHyf2aA=")</f>
        <v>#REF!</v>
      </c>
      <c r="FF78" t="e">
        <f>AND(#REF!,"AAAAAHyf2aE=")</f>
        <v>#REF!</v>
      </c>
      <c r="FG78" t="e">
        <f>AND(#REF!,"AAAAAHyf2aI=")</f>
        <v>#REF!</v>
      </c>
      <c r="FH78" t="e">
        <f>AND(#REF!,"AAAAAHyf2aM=")</f>
        <v>#REF!</v>
      </c>
      <c r="FI78" t="e">
        <f>AND(#REF!,"AAAAAHyf2aQ=")</f>
        <v>#REF!</v>
      </c>
      <c r="FJ78" t="e">
        <f>AND(#REF!,"AAAAAHyf2aU=")</f>
        <v>#REF!</v>
      </c>
      <c r="FK78" t="e">
        <f>AND(#REF!,"AAAAAHyf2aY=")</f>
        <v>#REF!</v>
      </c>
      <c r="FL78" t="e">
        <f>AND(#REF!,"AAAAAHyf2ac=")</f>
        <v>#REF!</v>
      </c>
      <c r="FM78" t="e">
        <f>AND(#REF!,"AAAAAHyf2ag=")</f>
        <v>#REF!</v>
      </c>
      <c r="FN78" t="e">
        <f>AND(#REF!,"AAAAAHyf2ak=")</f>
        <v>#REF!</v>
      </c>
      <c r="FO78" t="e">
        <f>AND(#REF!,"AAAAAHyf2ao=")</f>
        <v>#REF!</v>
      </c>
      <c r="FP78" t="e">
        <f>AND(#REF!,"AAAAAHyf2as=")</f>
        <v>#REF!</v>
      </c>
      <c r="FQ78" t="e">
        <f>AND(#REF!,"AAAAAHyf2aw=")</f>
        <v>#REF!</v>
      </c>
      <c r="FR78" t="e">
        <f>AND(#REF!,"AAAAAHyf2a0=")</f>
        <v>#REF!</v>
      </c>
      <c r="FS78" t="e">
        <f>AND(#REF!,"AAAAAHyf2a4=")</f>
        <v>#REF!</v>
      </c>
      <c r="FT78" t="e">
        <f>AND(#REF!,"AAAAAHyf2a8=")</f>
        <v>#REF!</v>
      </c>
      <c r="FU78" t="e">
        <f>AND(#REF!,"AAAAAHyf2bA=")</f>
        <v>#REF!</v>
      </c>
      <c r="FV78" t="e">
        <f>AND(#REF!,"AAAAAHyf2bE=")</f>
        <v>#REF!</v>
      </c>
      <c r="FW78" t="e">
        <f>AND(#REF!,"AAAAAHyf2bI=")</f>
        <v>#REF!</v>
      </c>
      <c r="FX78" t="e">
        <f>AND(#REF!,"AAAAAHyf2bM=")</f>
        <v>#REF!</v>
      </c>
      <c r="FY78" t="e">
        <f>AND(#REF!,"AAAAAHyf2bQ=")</f>
        <v>#REF!</v>
      </c>
      <c r="FZ78" t="e">
        <f>AND(#REF!,"AAAAAHyf2bU=")</f>
        <v>#REF!</v>
      </c>
      <c r="GA78" t="e">
        <f>AND(#REF!,"AAAAAHyf2bY=")</f>
        <v>#REF!</v>
      </c>
      <c r="GB78" t="e">
        <f>AND(#REF!,"AAAAAHyf2bc=")</f>
        <v>#REF!</v>
      </c>
      <c r="GC78" t="e">
        <f>AND(#REF!,"AAAAAHyf2bg=")</f>
        <v>#REF!</v>
      </c>
      <c r="GD78" t="e">
        <f>AND(#REF!,"AAAAAHyf2bk=")</f>
        <v>#REF!</v>
      </c>
      <c r="GE78" t="e">
        <f>AND(#REF!,"AAAAAHyf2bo=")</f>
        <v>#REF!</v>
      </c>
      <c r="GF78" t="e">
        <f>AND(#REF!,"AAAAAHyf2bs=")</f>
        <v>#REF!</v>
      </c>
      <c r="GG78" t="e">
        <f>AND(#REF!,"AAAAAHyf2bw=")</f>
        <v>#REF!</v>
      </c>
      <c r="GH78" t="e">
        <f>AND(#REF!,"AAAAAHyf2b0=")</f>
        <v>#REF!</v>
      </c>
      <c r="GI78" t="e">
        <f>AND(#REF!,"AAAAAHyf2b4=")</f>
        <v>#REF!</v>
      </c>
      <c r="GJ78" t="e">
        <f>AND(#REF!,"AAAAAHyf2b8=")</f>
        <v>#REF!</v>
      </c>
      <c r="GK78" t="e">
        <f>AND(#REF!,"AAAAAHyf2cA=")</f>
        <v>#REF!</v>
      </c>
      <c r="GL78" t="e">
        <f>AND(#REF!,"AAAAAHyf2cE=")</f>
        <v>#REF!</v>
      </c>
      <c r="GM78" t="e">
        <f>AND(#REF!,"AAAAAHyf2cI=")</f>
        <v>#REF!</v>
      </c>
      <c r="GN78" t="e">
        <f>AND(#REF!,"AAAAAHyf2cM=")</f>
        <v>#REF!</v>
      </c>
      <c r="GO78" t="e">
        <f>AND(#REF!,"AAAAAHyf2cQ=")</f>
        <v>#REF!</v>
      </c>
      <c r="GP78" t="e">
        <f>AND(#REF!,"AAAAAHyf2cU=")</f>
        <v>#REF!</v>
      </c>
      <c r="GQ78" t="e">
        <f>AND(#REF!,"AAAAAHyf2cY=")</f>
        <v>#REF!</v>
      </c>
      <c r="GR78" t="e">
        <f>AND(#REF!,"AAAAAHyf2cc=")</f>
        <v>#REF!</v>
      </c>
      <c r="GS78" t="e">
        <f>AND(#REF!,"AAAAAHyf2cg=")</f>
        <v>#REF!</v>
      </c>
      <c r="GT78" t="e">
        <f>AND(#REF!,"AAAAAHyf2ck=")</f>
        <v>#REF!</v>
      </c>
      <c r="GU78" t="e">
        <f>AND(#REF!,"AAAAAHyf2co=")</f>
        <v>#REF!</v>
      </c>
      <c r="GV78" t="e">
        <f>AND(#REF!,"AAAAAHyf2cs=")</f>
        <v>#REF!</v>
      </c>
      <c r="GW78" t="e">
        <f>AND(#REF!,"AAAAAHyf2cw=")</f>
        <v>#REF!</v>
      </c>
      <c r="GX78" t="e">
        <f>AND(#REF!,"AAAAAHyf2c0=")</f>
        <v>#REF!</v>
      </c>
      <c r="GY78" t="e">
        <f>AND(#REF!,"AAAAAHyf2c4=")</f>
        <v>#REF!</v>
      </c>
      <c r="GZ78" t="e">
        <f>AND(#REF!,"AAAAAHyf2c8=")</f>
        <v>#REF!</v>
      </c>
      <c r="HA78" t="e">
        <f>AND(#REF!,"AAAAAHyf2dA=")</f>
        <v>#REF!</v>
      </c>
      <c r="HB78" t="e">
        <f>AND(#REF!,"AAAAAHyf2dE=")</f>
        <v>#REF!</v>
      </c>
      <c r="HC78" t="e">
        <f>AND(#REF!,"AAAAAHyf2dI=")</f>
        <v>#REF!</v>
      </c>
      <c r="HD78" t="e">
        <f>AND(#REF!,"AAAAAHyf2dM=")</f>
        <v>#REF!</v>
      </c>
      <c r="HE78" t="e">
        <f>AND(#REF!,"AAAAAHyf2dQ=")</f>
        <v>#REF!</v>
      </c>
      <c r="HF78" t="e">
        <f>AND(#REF!,"AAAAAHyf2dU=")</f>
        <v>#REF!</v>
      </c>
      <c r="HG78" t="e">
        <f>AND(#REF!,"AAAAAHyf2dY=")</f>
        <v>#REF!</v>
      </c>
      <c r="HH78" t="e">
        <f>AND(#REF!,"AAAAAHyf2dc=")</f>
        <v>#REF!</v>
      </c>
      <c r="HI78" t="e">
        <f>AND(#REF!,"AAAAAHyf2dg=")</f>
        <v>#REF!</v>
      </c>
      <c r="HJ78" t="e">
        <f>AND(#REF!,"AAAAAHyf2dk=")</f>
        <v>#REF!</v>
      </c>
      <c r="HK78" t="e">
        <f>AND(#REF!,"AAAAAHyf2do=")</f>
        <v>#REF!</v>
      </c>
      <c r="HL78" t="e">
        <f>AND(#REF!,"AAAAAHyf2ds=")</f>
        <v>#REF!</v>
      </c>
      <c r="HM78" t="e">
        <f>AND(#REF!,"AAAAAHyf2dw=")</f>
        <v>#REF!</v>
      </c>
      <c r="HN78" t="e">
        <f>AND(#REF!,"AAAAAHyf2d0=")</f>
        <v>#REF!</v>
      </c>
      <c r="HO78" t="e">
        <f>AND(#REF!,"AAAAAHyf2d4=")</f>
        <v>#REF!</v>
      </c>
      <c r="HP78" t="e">
        <f>AND(#REF!,"AAAAAHyf2d8=")</f>
        <v>#REF!</v>
      </c>
      <c r="HQ78" t="e">
        <f>AND(#REF!,"AAAAAHyf2eA=")</f>
        <v>#REF!</v>
      </c>
      <c r="HR78" t="e">
        <f>AND(#REF!,"AAAAAHyf2eE=")</f>
        <v>#REF!</v>
      </c>
      <c r="HS78" t="e">
        <f>AND(#REF!,"AAAAAHyf2eI=")</f>
        <v>#REF!</v>
      </c>
      <c r="HT78" t="e">
        <f>AND(#REF!,"AAAAAHyf2eM=")</f>
        <v>#REF!</v>
      </c>
      <c r="HU78" t="e">
        <f>AND(#REF!,"AAAAAHyf2eQ=")</f>
        <v>#REF!</v>
      </c>
      <c r="HV78" t="e">
        <f>AND(#REF!,"AAAAAHyf2eU=")</f>
        <v>#REF!</v>
      </c>
      <c r="HW78" t="e">
        <f>AND(#REF!,"AAAAAHyf2eY=")</f>
        <v>#REF!</v>
      </c>
      <c r="HX78" t="e">
        <f>AND(#REF!,"AAAAAHyf2ec=")</f>
        <v>#REF!</v>
      </c>
      <c r="HY78" t="e">
        <f>AND(#REF!,"AAAAAHyf2eg=")</f>
        <v>#REF!</v>
      </c>
      <c r="HZ78" t="e">
        <f>AND(#REF!,"AAAAAHyf2ek=")</f>
        <v>#REF!</v>
      </c>
      <c r="IA78" t="e">
        <f>AND(#REF!,"AAAAAHyf2eo=")</f>
        <v>#REF!</v>
      </c>
      <c r="IB78" t="e">
        <f>AND(#REF!,"AAAAAHyf2es=")</f>
        <v>#REF!</v>
      </c>
      <c r="IC78" t="e">
        <f>AND(#REF!,"AAAAAHyf2ew=")</f>
        <v>#REF!</v>
      </c>
      <c r="ID78" t="e">
        <f>AND(#REF!,"AAAAAHyf2e0=")</f>
        <v>#REF!</v>
      </c>
      <c r="IE78" t="e">
        <f>AND(#REF!,"AAAAAHyf2e4=")</f>
        <v>#REF!</v>
      </c>
      <c r="IF78" t="e">
        <f>AND(#REF!,"AAAAAHyf2e8=")</f>
        <v>#REF!</v>
      </c>
      <c r="IG78" t="e">
        <f>AND(#REF!,"AAAAAHyf2fA=")</f>
        <v>#REF!</v>
      </c>
      <c r="IH78" t="e">
        <f>AND(#REF!,"AAAAAHyf2fE=")</f>
        <v>#REF!</v>
      </c>
      <c r="II78" t="e">
        <f>AND(#REF!,"AAAAAHyf2fI=")</f>
        <v>#REF!</v>
      </c>
      <c r="IJ78" t="e">
        <f>AND(#REF!,"AAAAAHyf2fM=")</f>
        <v>#REF!</v>
      </c>
      <c r="IK78" t="e">
        <f>AND(#REF!,"AAAAAHyf2fQ=")</f>
        <v>#REF!</v>
      </c>
      <c r="IL78" t="e">
        <f>AND(#REF!,"AAAAAHyf2fU=")</f>
        <v>#REF!</v>
      </c>
      <c r="IM78" t="e">
        <f>AND(#REF!,"AAAAAHyf2fY=")</f>
        <v>#REF!</v>
      </c>
      <c r="IN78" t="e">
        <f>AND(#REF!,"AAAAAHyf2fc=")</f>
        <v>#REF!</v>
      </c>
      <c r="IO78" t="e">
        <f>AND(#REF!,"AAAAAHyf2fg=")</f>
        <v>#REF!</v>
      </c>
      <c r="IP78" t="e">
        <f>AND(#REF!,"AAAAAHyf2fk=")</f>
        <v>#REF!</v>
      </c>
      <c r="IQ78" t="e">
        <f>AND(#REF!,"AAAAAHyf2fo=")</f>
        <v>#REF!</v>
      </c>
      <c r="IR78" t="e">
        <f>AND(#REF!,"AAAAAHyf2fs=")</f>
        <v>#REF!</v>
      </c>
      <c r="IS78" t="e">
        <f>AND(#REF!,"AAAAAHyf2fw=")</f>
        <v>#REF!</v>
      </c>
      <c r="IT78" t="e">
        <f>AND(#REF!,"AAAAAHyf2f0=")</f>
        <v>#REF!</v>
      </c>
      <c r="IU78" t="e">
        <f>AND(#REF!,"AAAAAHyf2f4=")</f>
        <v>#REF!</v>
      </c>
      <c r="IV78" t="e">
        <f>AND(#REF!,"AAAAAHyf2f8=")</f>
        <v>#REF!</v>
      </c>
    </row>
    <row r="79" spans="1:256">
      <c r="A79" t="e">
        <f>IF(#REF!,"AAAAAF3YnwA=",0)</f>
        <v>#REF!</v>
      </c>
      <c r="B79" t="e">
        <f>AND(#REF!,"AAAAAF3YnwE=")</f>
        <v>#REF!</v>
      </c>
      <c r="C79" t="e">
        <f>AND(#REF!,"AAAAAF3YnwI=")</f>
        <v>#REF!</v>
      </c>
      <c r="D79" t="e">
        <f>AND(#REF!,"AAAAAF3YnwM=")</f>
        <v>#REF!</v>
      </c>
      <c r="E79" t="e">
        <f>AND(#REF!,"AAAAAF3YnwQ=")</f>
        <v>#REF!</v>
      </c>
      <c r="F79" t="e">
        <f>AND(#REF!,"AAAAAF3YnwU=")</f>
        <v>#REF!</v>
      </c>
      <c r="G79" t="e">
        <f>AND(#REF!,"AAAAAF3YnwY=")</f>
        <v>#REF!</v>
      </c>
      <c r="H79" t="e">
        <f>AND(#REF!,"AAAAAF3Ynwc=")</f>
        <v>#REF!</v>
      </c>
      <c r="I79" t="e">
        <f>AND(#REF!,"AAAAAF3Ynwg=")</f>
        <v>#REF!</v>
      </c>
      <c r="J79" t="e">
        <f>AND(#REF!,"AAAAAF3Ynwk=")</f>
        <v>#REF!</v>
      </c>
      <c r="K79" t="e">
        <f>AND(#REF!,"AAAAAF3Ynwo=")</f>
        <v>#REF!</v>
      </c>
      <c r="L79" t="e">
        <f>AND(#REF!,"AAAAAF3Ynws=")</f>
        <v>#REF!</v>
      </c>
      <c r="M79" t="e">
        <f>AND(#REF!,"AAAAAF3Ynww=")</f>
        <v>#REF!</v>
      </c>
      <c r="N79" t="e">
        <f>AND(#REF!,"AAAAAF3Ynw0=")</f>
        <v>#REF!</v>
      </c>
      <c r="O79" t="e">
        <f>AND(#REF!,"AAAAAF3Ynw4=")</f>
        <v>#REF!</v>
      </c>
      <c r="P79" t="e">
        <f>AND(#REF!,"AAAAAF3Ynw8=")</f>
        <v>#REF!</v>
      </c>
      <c r="Q79" t="e">
        <f>AND(#REF!,"AAAAAF3YnxA=")</f>
        <v>#REF!</v>
      </c>
      <c r="R79" t="e">
        <f>AND(#REF!,"AAAAAF3YnxE=")</f>
        <v>#REF!</v>
      </c>
      <c r="S79" t="e">
        <f>AND(#REF!,"AAAAAF3YnxI=")</f>
        <v>#REF!</v>
      </c>
      <c r="T79" t="e">
        <f>AND(#REF!,"AAAAAF3YnxM=")</f>
        <v>#REF!</v>
      </c>
      <c r="U79" t="e">
        <f>AND(#REF!,"AAAAAF3YnxQ=")</f>
        <v>#REF!</v>
      </c>
      <c r="V79" t="e">
        <f>AND(#REF!,"AAAAAF3YnxU=")</f>
        <v>#REF!</v>
      </c>
      <c r="W79" t="e">
        <f>AND(#REF!,"AAAAAF3YnxY=")</f>
        <v>#REF!</v>
      </c>
      <c r="X79" t="e">
        <f>AND(#REF!,"AAAAAF3Ynxc=")</f>
        <v>#REF!</v>
      </c>
      <c r="Y79" t="e">
        <f>AND(#REF!,"AAAAAF3Ynxg=")</f>
        <v>#REF!</v>
      </c>
      <c r="Z79" t="e">
        <f>AND(#REF!,"AAAAAF3Ynxk=")</f>
        <v>#REF!</v>
      </c>
      <c r="AA79" t="e">
        <f>AND(#REF!,"AAAAAF3Ynxo=")</f>
        <v>#REF!</v>
      </c>
      <c r="AB79" t="e">
        <f>AND(#REF!,"AAAAAF3Ynxs=")</f>
        <v>#REF!</v>
      </c>
      <c r="AC79" t="e">
        <f>AND(#REF!,"AAAAAF3Ynxw=")</f>
        <v>#REF!</v>
      </c>
      <c r="AD79" t="e">
        <f>AND(#REF!,"AAAAAF3Ynx0=")</f>
        <v>#REF!</v>
      </c>
      <c r="AE79" t="e">
        <f>AND(#REF!,"AAAAAF3Ynx4=")</f>
        <v>#REF!</v>
      </c>
      <c r="AF79" t="e">
        <f>AND(#REF!,"AAAAAF3Ynx8=")</f>
        <v>#REF!</v>
      </c>
      <c r="AG79" t="e">
        <f>AND(#REF!,"AAAAAF3YnyA=")</f>
        <v>#REF!</v>
      </c>
      <c r="AH79" t="e">
        <f>AND(#REF!,"AAAAAF3YnyE=")</f>
        <v>#REF!</v>
      </c>
      <c r="AI79" t="e">
        <f>AND(#REF!,"AAAAAF3YnyI=")</f>
        <v>#REF!</v>
      </c>
      <c r="AJ79" t="e">
        <f>AND(#REF!,"AAAAAF3YnyM=")</f>
        <v>#REF!</v>
      </c>
      <c r="AK79" t="e">
        <f>AND(#REF!,"AAAAAF3YnyQ=")</f>
        <v>#REF!</v>
      </c>
      <c r="AL79" t="e">
        <f>AND(#REF!,"AAAAAF3YnyU=")</f>
        <v>#REF!</v>
      </c>
      <c r="AM79" t="e">
        <f>AND(#REF!,"AAAAAF3YnyY=")</f>
        <v>#REF!</v>
      </c>
      <c r="AN79" t="e">
        <f>AND(#REF!,"AAAAAF3Ynyc=")</f>
        <v>#REF!</v>
      </c>
      <c r="AO79" t="e">
        <f>AND(#REF!,"AAAAAF3Ynyg=")</f>
        <v>#REF!</v>
      </c>
      <c r="AP79" t="e">
        <f>AND(#REF!,"AAAAAF3Ynyk=")</f>
        <v>#REF!</v>
      </c>
      <c r="AQ79" t="e">
        <f>AND(#REF!,"AAAAAF3Ynyo=")</f>
        <v>#REF!</v>
      </c>
      <c r="AR79" t="e">
        <f>AND(#REF!,"AAAAAF3Ynys=")</f>
        <v>#REF!</v>
      </c>
      <c r="AS79" t="e">
        <f>AND(#REF!,"AAAAAF3Ynyw=")</f>
        <v>#REF!</v>
      </c>
      <c r="AT79" t="e">
        <f>AND(#REF!,"AAAAAF3Yny0=")</f>
        <v>#REF!</v>
      </c>
      <c r="AU79" t="e">
        <f>AND(#REF!,"AAAAAF3Yny4=")</f>
        <v>#REF!</v>
      </c>
      <c r="AV79" t="e">
        <f>AND(#REF!,"AAAAAF3Yny8=")</f>
        <v>#REF!</v>
      </c>
      <c r="AW79" t="e">
        <f>AND(#REF!,"AAAAAF3YnzA=")</f>
        <v>#REF!</v>
      </c>
      <c r="AX79" t="e">
        <f>AND(#REF!,"AAAAAF3YnzE=")</f>
        <v>#REF!</v>
      </c>
      <c r="AY79" t="e">
        <f>AND(#REF!,"AAAAAF3YnzI=")</f>
        <v>#REF!</v>
      </c>
      <c r="AZ79" t="e">
        <f>AND(#REF!,"AAAAAF3YnzM=")</f>
        <v>#REF!</v>
      </c>
      <c r="BA79" t="e">
        <f>AND(#REF!,"AAAAAF3YnzQ=")</f>
        <v>#REF!</v>
      </c>
      <c r="BB79" t="e">
        <f>AND(#REF!,"AAAAAF3YnzU=")</f>
        <v>#REF!</v>
      </c>
      <c r="BC79" t="e">
        <f>AND(#REF!,"AAAAAF3YnzY=")</f>
        <v>#REF!</v>
      </c>
      <c r="BD79" t="e">
        <f>AND(#REF!,"AAAAAF3Ynzc=")</f>
        <v>#REF!</v>
      </c>
      <c r="BE79" t="e">
        <f>AND(#REF!,"AAAAAF3Ynzg=")</f>
        <v>#REF!</v>
      </c>
      <c r="BF79" t="e">
        <f>AND(#REF!,"AAAAAF3Ynzk=")</f>
        <v>#REF!</v>
      </c>
      <c r="BG79" t="e">
        <f>AND(#REF!,"AAAAAF3Ynzo=")</f>
        <v>#REF!</v>
      </c>
      <c r="BH79" t="e">
        <f>AND(#REF!,"AAAAAF3Ynzs=")</f>
        <v>#REF!</v>
      </c>
      <c r="BI79" t="e">
        <f>AND(#REF!,"AAAAAF3Ynzw=")</f>
        <v>#REF!</v>
      </c>
      <c r="BJ79" t="e">
        <f>AND(#REF!,"AAAAAF3Ynz0=")</f>
        <v>#REF!</v>
      </c>
      <c r="BK79" t="e">
        <f>AND(#REF!,"AAAAAF3Ynz4=")</f>
        <v>#REF!</v>
      </c>
      <c r="BL79" t="e">
        <f>AND(#REF!,"AAAAAF3Ynz8=")</f>
        <v>#REF!</v>
      </c>
      <c r="BM79" t="e">
        <f>AND(#REF!,"AAAAAF3Yn0A=")</f>
        <v>#REF!</v>
      </c>
      <c r="BN79" t="e">
        <f>AND(#REF!,"AAAAAF3Yn0E=")</f>
        <v>#REF!</v>
      </c>
      <c r="BO79" t="e">
        <f>AND(#REF!,"AAAAAF3Yn0I=")</f>
        <v>#REF!</v>
      </c>
      <c r="BP79" t="e">
        <f>AND(#REF!,"AAAAAF3Yn0M=")</f>
        <v>#REF!</v>
      </c>
      <c r="BQ79" t="e">
        <f>AND(#REF!,"AAAAAF3Yn0Q=")</f>
        <v>#REF!</v>
      </c>
      <c r="BR79" t="e">
        <f>AND(#REF!,"AAAAAF3Yn0U=")</f>
        <v>#REF!</v>
      </c>
      <c r="BS79" t="e">
        <f>AND(#REF!,"AAAAAF3Yn0Y=")</f>
        <v>#REF!</v>
      </c>
      <c r="BT79" t="e">
        <f>AND(#REF!,"AAAAAF3Yn0c=")</f>
        <v>#REF!</v>
      </c>
      <c r="BU79" t="e">
        <f>AND(#REF!,"AAAAAF3Yn0g=")</f>
        <v>#REF!</v>
      </c>
      <c r="BV79" t="e">
        <f>AND(#REF!,"AAAAAF3Yn0k=")</f>
        <v>#REF!</v>
      </c>
      <c r="BW79" t="e">
        <f>AND(#REF!,"AAAAAF3Yn0o=")</f>
        <v>#REF!</v>
      </c>
      <c r="BX79" t="e">
        <f>AND(#REF!,"AAAAAF3Yn0s=")</f>
        <v>#REF!</v>
      </c>
      <c r="BY79" t="e">
        <f>AND(#REF!,"AAAAAF3Yn0w=")</f>
        <v>#REF!</v>
      </c>
      <c r="BZ79" t="e">
        <f>AND(#REF!,"AAAAAF3Yn00=")</f>
        <v>#REF!</v>
      </c>
      <c r="CA79" t="e">
        <f>AND(#REF!,"AAAAAF3Yn04=")</f>
        <v>#REF!</v>
      </c>
      <c r="CB79" t="e">
        <f>AND(#REF!,"AAAAAF3Yn08=")</f>
        <v>#REF!</v>
      </c>
      <c r="CC79" t="e">
        <f>AND(#REF!,"AAAAAF3Yn1A=")</f>
        <v>#REF!</v>
      </c>
      <c r="CD79" t="e">
        <f>AND(#REF!,"AAAAAF3Yn1E=")</f>
        <v>#REF!</v>
      </c>
      <c r="CE79" t="e">
        <f>AND(#REF!,"AAAAAF3Yn1I=")</f>
        <v>#REF!</v>
      </c>
      <c r="CF79" t="e">
        <f>AND(#REF!,"AAAAAF3Yn1M=")</f>
        <v>#REF!</v>
      </c>
      <c r="CG79" t="e">
        <f>AND(#REF!,"AAAAAF3Yn1Q=")</f>
        <v>#REF!</v>
      </c>
      <c r="CH79" t="e">
        <f>AND(#REF!,"AAAAAF3Yn1U=")</f>
        <v>#REF!</v>
      </c>
      <c r="CI79" t="e">
        <f>AND(#REF!,"AAAAAF3Yn1Y=")</f>
        <v>#REF!</v>
      </c>
      <c r="CJ79" t="e">
        <f>AND(#REF!,"AAAAAF3Yn1c=")</f>
        <v>#REF!</v>
      </c>
      <c r="CK79" t="e">
        <f>AND(#REF!,"AAAAAF3Yn1g=")</f>
        <v>#REF!</v>
      </c>
      <c r="CL79" t="e">
        <f>AND(#REF!,"AAAAAF3Yn1k=")</f>
        <v>#REF!</v>
      </c>
      <c r="CM79" t="e">
        <f>AND(#REF!,"AAAAAF3Yn1o=")</f>
        <v>#REF!</v>
      </c>
      <c r="CN79" t="e">
        <f>AND(#REF!,"AAAAAF3Yn1s=")</f>
        <v>#REF!</v>
      </c>
      <c r="CO79" t="e">
        <f>AND(#REF!,"AAAAAF3Yn1w=")</f>
        <v>#REF!</v>
      </c>
      <c r="CP79" t="e">
        <f>AND(#REF!,"AAAAAF3Yn10=")</f>
        <v>#REF!</v>
      </c>
      <c r="CQ79" t="e">
        <f>AND(#REF!,"AAAAAF3Yn14=")</f>
        <v>#REF!</v>
      </c>
      <c r="CR79" t="e">
        <f>AND(#REF!,"AAAAAF3Yn18=")</f>
        <v>#REF!</v>
      </c>
      <c r="CS79" t="e">
        <f>AND(#REF!,"AAAAAF3Yn2A=")</f>
        <v>#REF!</v>
      </c>
      <c r="CT79" t="e">
        <f>AND(#REF!,"AAAAAF3Yn2E=")</f>
        <v>#REF!</v>
      </c>
      <c r="CU79" t="e">
        <f>AND(#REF!,"AAAAAF3Yn2I=")</f>
        <v>#REF!</v>
      </c>
      <c r="CV79" t="e">
        <f>AND(#REF!,"AAAAAF3Yn2M=")</f>
        <v>#REF!</v>
      </c>
      <c r="CW79" t="e">
        <f>AND(#REF!,"AAAAAF3Yn2Q=")</f>
        <v>#REF!</v>
      </c>
      <c r="CX79" t="e">
        <f>AND(#REF!,"AAAAAF3Yn2U=")</f>
        <v>#REF!</v>
      </c>
      <c r="CY79" t="e">
        <f>AND(#REF!,"AAAAAF3Yn2Y=")</f>
        <v>#REF!</v>
      </c>
      <c r="CZ79" t="e">
        <f>AND(#REF!,"AAAAAF3Yn2c=")</f>
        <v>#REF!</v>
      </c>
      <c r="DA79" t="e">
        <f>AND(#REF!,"AAAAAF3Yn2g=")</f>
        <v>#REF!</v>
      </c>
      <c r="DB79" t="e">
        <f>AND(#REF!,"AAAAAF3Yn2k=")</f>
        <v>#REF!</v>
      </c>
      <c r="DC79" t="e">
        <f>AND(#REF!,"AAAAAF3Yn2o=")</f>
        <v>#REF!</v>
      </c>
      <c r="DD79" t="e">
        <f>AND(#REF!,"AAAAAF3Yn2s=")</f>
        <v>#REF!</v>
      </c>
      <c r="DE79" t="e">
        <f>AND(#REF!,"AAAAAF3Yn2w=")</f>
        <v>#REF!</v>
      </c>
      <c r="DF79" t="e">
        <f>AND(#REF!,"AAAAAF3Yn20=")</f>
        <v>#REF!</v>
      </c>
      <c r="DG79" t="e">
        <f>AND(#REF!,"AAAAAF3Yn24=")</f>
        <v>#REF!</v>
      </c>
      <c r="DH79" t="e">
        <f>AND(#REF!,"AAAAAF3Yn28=")</f>
        <v>#REF!</v>
      </c>
      <c r="DI79" t="e">
        <f>AND(#REF!,"AAAAAF3Yn3A=")</f>
        <v>#REF!</v>
      </c>
      <c r="DJ79" t="e">
        <f>AND(#REF!,"AAAAAF3Yn3E=")</f>
        <v>#REF!</v>
      </c>
      <c r="DK79" t="e">
        <f>AND(#REF!,"AAAAAF3Yn3I=")</f>
        <v>#REF!</v>
      </c>
      <c r="DL79" t="e">
        <f>AND(#REF!,"AAAAAF3Yn3M=")</f>
        <v>#REF!</v>
      </c>
      <c r="DM79" t="e">
        <f>AND(#REF!,"AAAAAF3Yn3Q=")</f>
        <v>#REF!</v>
      </c>
      <c r="DN79" t="e">
        <f>AND(#REF!,"AAAAAF3Yn3U=")</f>
        <v>#REF!</v>
      </c>
      <c r="DO79" t="e">
        <f>AND(#REF!,"AAAAAF3Yn3Y=")</f>
        <v>#REF!</v>
      </c>
      <c r="DP79" t="e">
        <f>AND(#REF!,"AAAAAF3Yn3c=")</f>
        <v>#REF!</v>
      </c>
      <c r="DQ79" t="e">
        <f>AND(#REF!,"AAAAAF3Yn3g=")</f>
        <v>#REF!</v>
      </c>
      <c r="DR79" t="e">
        <f>AND(#REF!,"AAAAAF3Yn3k=")</f>
        <v>#REF!</v>
      </c>
      <c r="DS79" t="e">
        <f>AND(#REF!,"AAAAAF3Yn3o=")</f>
        <v>#REF!</v>
      </c>
      <c r="DT79" t="e">
        <f>AND(#REF!,"AAAAAF3Yn3s=")</f>
        <v>#REF!</v>
      </c>
      <c r="DU79" t="e">
        <f>AND(#REF!,"AAAAAF3Yn3w=")</f>
        <v>#REF!</v>
      </c>
      <c r="DV79" t="e">
        <f>AND(#REF!,"AAAAAF3Yn30=")</f>
        <v>#REF!</v>
      </c>
      <c r="DW79" t="e">
        <f>AND(#REF!,"AAAAAF3Yn34=")</f>
        <v>#REF!</v>
      </c>
      <c r="DX79" t="e">
        <f>AND(#REF!,"AAAAAF3Yn38=")</f>
        <v>#REF!</v>
      </c>
      <c r="DY79" t="e">
        <f>IF(#REF!,"AAAAAF3Yn4A=",0)</f>
        <v>#REF!</v>
      </c>
      <c r="DZ79" t="e">
        <f>AND(#REF!,"AAAAAF3Yn4E=")</f>
        <v>#REF!</v>
      </c>
      <c r="EA79" t="e">
        <f>AND(#REF!,"AAAAAF3Yn4I=")</f>
        <v>#REF!</v>
      </c>
      <c r="EB79" t="e">
        <f>AND(#REF!,"AAAAAF3Yn4M=")</f>
        <v>#REF!</v>
      </c>
      <c r="EC79" t="e">
        <f>AND(#REF!,"AAAAAF3Yn4Q=")</f>
        <v>#REF!</v>
      </c>
      <c r="ED79" t="e">
        <f>AND(#REF!,"AAAAAF3Yn4U=")</f>
        <v>#REF!</v>
      </c>
      <c r="EE79" t="e">
        <f>AND(#REF!,"AAAAAF3Yn4Y=")</f>
        <v>#REF!</v>
      </c>
      <c r="EF79" t="e">
        <f>AND(#REF!,"AAAAAF3Yn4c=")</f>
        <v>#REF!</v>
      </c>
      <c r="EG79" t="e">
        <f>AND(#REF!,"AAAAAF3Yn4g=")</f>
        <v>#REF!</v>
      </c>
      <c r="EH79" t="e">
        <f>AND(#REF!,"AAAAAF3Yn4k=")</f>
        <v>#REF!</v>
      </c>
      <c r="EI79" t="e">
        <f>AND(#REF!,"AAAAAF3Yn4o=")</f>
        <v>#REF!</v>
      </c>
      <c r="EJ79" t="e">
        <f>AND(#REF!,"AAAAAF3Yn4s=")</f>
        <v>#REF!</v>
      </c>
      <c r="EK79" t="e">
        <f>AND(#REF!,"AAAAAF3Yn4w=")</f>
        <v>#REF!</v>
      </c>
      <c r="EL79" t="e">
        <f>AND(#REF!,"AAAAAF3Yn40=")</f>
        <v>#REF!</v>
      </c>
      <c r="EM79" t="e">
        <f>AND(#REF!,"AAAAAF3Yn44=")</f>
        <v>#REF!</v>
      </c>
      <c r="EN79" t="e">
        <f>AND(#REF!,"AAAAAF3Yn48=")</f>
        <v>#REF!</v>
      </c>
      <c r="EO79" t="e">
        <f>AND(#REF!,"AAAAAF3Yn5A=")</f>
        <v>#REF!</v>
      </c>
      <c r="EP79" t="e">
        <f>AND(#REF!,"AAAAAF3Yn5E=")</f>
        <v>#REF!</v>
      </c>
      <c r="EQ79" t="e">
        <f>AND(#REF!,"AAAAAF3Yn5I=")</f>
        <v>#REF!</v>
      </c>
      <c r="ER79" t="e">
        <f>AND(#REF!,"AAAAAF3Yn5M=")</f>
        <v>#REF!</v>
      </c>
      <c r="ES79" t="e">
        <f>AND(#REF!,"AAAAAF3Yn5Q=")</f>
        <v>#REF!</v>
      </c>
      <c r="ET79" t="e">
        <f>AND(#REF!,"AAAAAF3Yn5U=")</f>
        <v>#REF!</v>
      </c>
      <c r="EU79" t="e">
        <f>AND(#REF!,"AAAAAF3Yn5Y=")</f>
        <v>#REF!</v>
      </c>
      <c r="EV79" t="e">
        <f>AND(#REF!,"AAAAAF3Yn5c=")</f>
        <v>#REF!</v>
      </c>
      <c r="EW79" t="e">
        <f>AND(#REF!,"AAAAAF3Yn5g=")</f>
        <v>#REF!</v>
      </c>
      <c r="EX79" t="e">
        <f>AND(#REF!,"AAAAAF3Yn5k=")</f>
        <v>#REF!</v>
      </c>
      <c r="EY79" t="e">
        <f>AND(#REF!,"AAAAAF3Yn5o=")</f>
        <v>#REF!</v>
      </c>
      <c r="EZ79" t="e">
        <f>AND(#REF!,"AAAAAF3Yn5s=")</f>
        <v>#REF!</v>
      </c>
      <c r="FA79" t="e">
        <f>AND(#REF!,"AAAAAF3Yn5w=")</f>
        <v>#REF!</v>
      </c>
      <c r="FB79" t="e">
        <f>AND(#REF!,"AAAAAF3Yn50=")</f>
        <v>#REF!</v>
      </c>
      <c r="FC79" t="e">
        <f>AND(#REF!,"AAAAAF3Yn54=")</f>
        <v>#REF!</v>
      </c>
      <c r="FD79" t="e">
        <f>AND(#REF!,"AAAAAF3Yn58=")</f>
        <v>#REF!</v>
      </c>
      <c r="FE79" t="e">
        <f>AND(#REF!,"AAAAAF3Yn6A=")</f>
        <v>#REF!</v>
      </c>
      <c r="FF79" t="e">
        <f>AND(#REF!,"AAAAAF3Yn6E=")</f>
        <v>#REF!</v>
      </c>
      <c r="FG79" t="e">
        <f>AND(#REF!,"AAAAAF3Yn6I=")</f>
        <v>#REF!</v>
      </c>
      <c r="FH79" t="e">
        <f>AND(#REF!,"AAAAAF3Yn6M=")</f>
        <v>#REF!</v>
      </c>
      <c r="FI79" t="e">
        <f>AND(#REF!,"AAAAAF3Yn6Q=")</f>
        <v>#REF!</v>
      </c>
      <c r="FJ79" t="e">
        <f>AND(#REF!,"AAAAAF3Yn6U=")</f>
        <v>#REF!</v>
      </c>
      <c r="FK79" t="e">
        <f>AND(#REF!,"AAAAAF3Yn6Y=")</f>
        <v>#REF!</v>
      </c>
      <c r="FL79" t="e">
        <f>AND(#REF!,"AAAAAF3Yn6c=")</f>
        <v>#REF!</v>
      </c>
      <c r="FM79" t="e">
        <f>AND(#REF!,"AAAAAF3Yn6g=")</f>
        <v>#REF!</v>
      </c>
      <c r="FN79" t="e">
        <f>AND(#REF!,"AAAAAF3Yn6k=")</f>
        <v>#REF!</v>
      </c>
      <c r="FO79" t="e">
        <f>AND(#REF!,"AAAAAF3Yn6o=")</f>
        <v>#REF!</v>
      </c>
      <c r="FP79" t="e">
        <f>AND(#REF!,"AAAAAF3Yn6s=")</f>
        <v>#REF!</v>
      </c>
      <c r="FQ79" t="e">
        <f>AND(#REF!,"AAAAAF3Yn6w=")</f>
        <v>#REF!</v>
      </c>
      <c r="FR79" t="e">
        <f>AND(#REF!,"AAAAAF3Yn60=")</f>
        <v>#REF!</v>
      </c>
      <c r="FS79" t="e">
        <f>AND(#REF!,"AAAAAF3Yn64=")</f>
        <v>#REF!</v>
      </c>
      <c r="FT79" t="e">
        <f>AND(#REF!,"AAAAAF3Yn68=")</f>
        <v>#REF!</v>
      </c>
      <c r="FU79" t="e">
        <f>AND(#REF!,"AAAAAF3Yn7A=")</f>
        <v>#REF!</v>
      </c>
      <c r="FV79" t="e">
        <f>AND(#REF!,"AAAAAF3Yn7E=")</f>
        <v>#REF!</v>
      </c>
      <c r="FW79" t="e">
        <f>AND(#REF!,"AAAAAF3Yn7I=")</f>
        <v>#REF!</v>
      </c>
      <c r="FX79" t="e">
        <f>AND(#REF!,"AAAAAF3Yn7M=")</f>
        <v>#REF!</v>
      </c>
      <c r="FY79" t="e">
        <f>AND(#REF!,"AAAAAF3Yn7Q=")</f>
        <v>#REF!</v>
      </c>
      <c r="FZ79" t="e">
        <f>AND(#REF!,"AAAAAF3Yn7U=")</f>
        <v>#REF!</v>
      </c>
      <c r="GA79" t="e">
        <f>AND(#REF!,"AAAAAF3Yn7Y=")</f>
        <v>#REF!</v>
      </c>
      <c r="GB79" t="e">
        <f>AND(#REF!,"AAAAAF3Yn7c=")</f>
        <v>#REF!</v>
      </c>
      <c r="GC79" t="e">
        <f>AND(#REF!,"AAAAAF3Yn7g=")</f>
        <v>#REF!</v>
      </c>
      <c r="GD79" t="e">
        <f>AND(#REF!,"AAAAAF3Yn7k=")</f>
        <v>#REF!</v>
      </c>
      <c r="GE79" t="e">
        <f>AND(#REF!,"AAAAAF3Yn7o=")</f>
        <v>#REF!</v>
      </c>
      <c r="GF79" t="e">
        <f>AND(#REF!,"AAAAAF3Yn7s=")</f>
        <v>#REF!</v>
      </c>
      <c r="GG79" t="e">
        <f>AND(#REF!,"AAAAAF3Yn7w=")</f>
        <v>#REF!</v>
      </c>
      <c r="GH79" t="e">
        <f>AND(#REF!,"AAAAAF3Yn70=")</f>
        <v>#REF!</v>
      </c>
      <c r="GI79" t="e">
        <f>AND(#REF!,"AAAAAF3Yn74=")</f>
        <v>#REF!</v>
      </c>
      <c r="GJ79" t="e">
        <f>AND(#REF!,"AAAAAF3Yn78=")</f>
        <v>#REF!</v>
      </c>
      <c r="GK79" t="e">
        <f>AND(#REF!,"AAAAAF3Yn8A=")</f>
        <v>#REF!</v>
      </c>
      <c r="GL79" t="e">
        <f>AND(#REF!,"AAAAAF3Yn8E=")</f>
        <v>#REF!</v>
      </c>
      <c r="GM79" t="e">
        <f>AND(#REF!,"AAAAAF3Yn8I=")</f>
        <v>#REF!</v>
      </c>
      <c r="GN79" t="e">
        <f>AND(#REF!,"AAAAAF3Yn8M=")</f>
        <v>#REF!</v>
      </c>
      <c r="GO79" t="e">
        <f>AND(#REF!,"AAAAAF3Yn8Q=")</f>
        <v>#REF!</v>
      </c>
      <c r="GP79" t="e">
        <f>AND(#REF!,"AAAAAF3Yn8U=")</f>
        <v>#REF!</v>
      </c>
      <c r="GQ79" t="e">
        <f>AND(#REF!,"AAAAAF3Yn8Y=")</f>
        <v>#REF!</v>
      </c>
      <c r="GR79" t="e">
        <f>AND(#REF!,"AAAAAF3Yn8c=")</f>
        <v>#REF!</v>
      </c>
      <c r="GS79" t="e">
        <f>AND(#REF!,"AAAAAF3Yn8g=")</f>
        <v>#REF!</v>
      </c>
      <c r="GT79" t="e">
        <f>AND(#REF!,"AAAAAF3Yn8k=")</f>
        <v>#REF!</v>
      </c>
      <c r="GU79" t="e">
        <f>AND(#REF!,"AAAAAF3Yn8o=")</f>
        <v>#REF!</v>
      </c>
      <c r="GV79" t="e">
        <f>AND(#REF!,"AAAAAF3Yn8s=")</f>
        <v>#REF!</v>
      </c>
      <c r="GW79" t="e">
        <f>AND(#REF!,"AAAAAF3Yn8w=")</f>
        <v>#REF!</v>
      </c>
      <c r="GX79" t="e">
        <f>AND(#REF!,"AAAAAF3Yn80=")</f>
        <v>#REF!</v>
      </c>
      <c r="GY79" t="e">
        <f>AND(#REF!,"AAAAAF3Yn84=")</f>
        <v>#REF!</v>
      </c>
      <c r="GZ79" t="e">
        <f>AND(#REF!,"AAAAAF3Yn88=")</f>
        <v>#REF!</v>
      </c>
      <c r="HA79" t="e">
        <f>AND(#REF!,"AAAAAF3Yn9A=")</f>
        <v>#REF!</v>
      </c>
      <c r="HB79" t="e">
        <f>AND(#REF!,"AAAAAF3Yn9E=")</f>
        <v>#REF!</v>
      </c>
      <c r="HC79" t="e">
        <f>AND(#REF!,"AAAAAF3Yn9I=")</f>
        <v>#REF!</v>
      </c>
      <c r="HD79" t="e">
        <f>AND(#REF!,"AAAAAF3Yn9M=")</f>
        <v>#REF!</v>
      </c>
      <c r="HE79" t="e">
        <f>AND(#REF!,"AAAAAF3Yn9Q=")</f>
        <v>#REF!</v>
      </c>
      <c r="HF79" t="e">
        <f>AND(#REF!,"AAAAAF3Yn9U=")</f>
        <v>#REF!</v>
      </c>
      <c r="HG79" t="e">
        <f>AND(#REF!,"AAAAAF3Yn9Y=")</f>
        <v>#REF!</v>
      </c>
      <c r="HH79" t="e">
        <f>AND(#REF!,"AAAAAF3Yn9c=")</f>
        <v>#REF!</v>
      </c>
      <c r="HI79" t="e">
        <f>AND(#REF!,"AAAAAF3Yn9g=")</f>
        <v>#REF!</v>
      </c>
      <c r="HJ79" t="e">
        <f>AND(#REF!,"AAAAAF3Yn9k=")</f>
        <v>#REF!</v>
      </c>
      <c r="HK79" t="e">
        <f>AND(#REF!,"AAAAAF3Yn9o=")</f>
        <v>#REF!</v>
      </c>
      <c r="HL79" t="e">
        <f>AND(#REF!,"AAAAAF3Yn9s=")</f>
        <v>#REF!</v>
      </c>
      <c r="HM79" t="e">
        <f>AND(#REF!,"AAAAAF3Yn9w=")</f>
        <v>#REF!</v>
      </c>
      <c r="HN79" t="e">
        <f>AND(#REF!,"AAAAAF3Yn90=")</f>
        <v>#REF!</v>
      </c>
      <c r="HO79" t="e">
        <f>AND(#REF!,"AAAAAF3Yn94=")</f>
        <v>#REF!</v>
      </c>
      <c r="HP79" t="e">
        <f>AND(#REF!,"AAAAAF3Yn98=")</f>
        <v>#REF!</v>
      </c>
      <c r="HQ79" t="e">
        <f>AND(#REF!,"AAAAAF3Yn+A=")</f>
        <v>#REF!</v>
      </c>
      <c r="HR79" t="e">
        <f>AND(#REF!,"AAAAAF3Yn+E=")</f>
        <v>#REF!</v>
      </c>
      <c r="HS79" t="e">
        <f>AND(#REF!,"AAAAAF3Yn+I=")</f>
        <v>#REF!</v>
      </c>
      <c r="HT79" t="e">
        <f>AND(#REF!,"AAAAAF3Yn+M=")</f>
        <v>#REF!</v>
      </c>
      <c r="HU79" t="e">
        <f>AND(#REF!,"AAAAAF3Yn+Q=")</f>
        <v>#REF!</v>
      </c>
      <c r="HV79" t="e">
        <f>AND(#REF!,"AAAAAF3Yn+U=")</f>
        <v>#REF!</v>
      </c>
      <c r="HW79" t="e">
        <f>AND(#REF!,"AAAAAF3Yn+Y=")</f>
        <v>#REF!</v>
      </c>
      <c r="HX79" t="e">
        <f>AND(#REF!,"AAAAAF3Yn+c=")</f>
        <v>#REF!</v>
      </c>
      <c r="HY79" t="e">
        <f>AND(#REF!,"AAAAAF3Yn+g=")</f>
        <v>#REF!</v>
      </c>
      <c r="HZ79" t="e">
        <f>AND(#REF!,"AAAAAF3Yn+k=")</f>
        <v>#REF!</v>
      </c>
      <c r="IA79" t="e">
        <f>AND(#REF!,"AAAAAF3Yn+o=")</f>
        <v>#REF!</v>
      </c>
      <c r="IB79" t="e">
        <f>AND(#REF!,"AAAAAF3Yn+s=")</f>
        <v>#REF!</v>
      </c>
      <c r="IC79" t="e">
        <f>AND(#REF!,"AAAAAF3Yn+w=")</f>
        <v>#REF!</v>
      </c>
      <c r="ID79" t="e">
        <f>AND(#REF!,"AAAAAF3Yn+0=")</f>
        <v>#REF!</v>
      </c>
      <c r="IE79" t="e">
        <f>AND(#REF!,"AAAAAF3Yn+4=")</f>
        <v>#REF!</v>
      </c>
      <c r="IF79" t="e">
        <f>AND(#REF!,"AAAAAF3Yn+8=")</f>
        <v>#REF!</v>
      </c>
      <c r="IG79" t="e">
        <f>AND(#REF!,"AAAAAF3Yn/A=")</f>
        <v>#REF!</v>
      </c>
      <c r="IH79" t="e">
        <f>AND(#REF!,"AAAAAF3Yn/E=")</f>
        <v>#REF!</v>
      </c>
      <c r="II79" t="e">
        <f>AND(#REF!,"AAAAAF3Yn/I=")</f>
        <v>#REF!</v>
      </c>
      <c r="IJ79" t="e">
        <f>AND(#REF!,"AAAAAF3Yn/M=")</f>
        <v>#REF!</v>
      </c>
      <c r="IK79" t="e">
        <f>AND(#REF!,"AAAAAF3Yn/Q=")</f>
        <v>#REF!</v>
      </c>
      <c r="IL79" t="e">
        <f>AND(#REF!,"AAAAAF3Yn/U=")</f>
        <v>#REF!</v>
      </c>
      <c r="IM79" t="e">
        <f>AND(#REF!,"AAAAAF3Yn/Y=")</f>
        <v>#REF!</v>
      </c>
      <c r="IN79" t="e">
        <f>AND(#REF!,"AAAAAF3Yn/c=")</f>
        <v>#REF!</v>
      </c>
      <c r="IO79" t="e">
        <f>AND(#REF!,"AAAAAF3Yn/g=")</f>
        <v>#REF!</v>
      </c>
      <c r="IP79" t="e">
        <f>AND(#REF!,"AAAAAF3Yn/k=")</f>
        <v>#REF!</v>
      </c>
      <c r="IQ79" t="e">
        <f>AND(#REF!,"AAAAAF3Yn/o=")</f>
        <v>#REF!</v>
      </c>
      <c r="IR79" t="e">
        <f>AND(#REF!,"AAAAAF3Yn/s=")</f>
        <v>#REF!</v>
      </c>
      <c r="IS79" t="e">
        <f>AND(#REF!,"AAAAAF3Yn/w=")</f>
        <v>#REF!</v>
      </c>
      <c r="IT79" t="e">
        <f>AND(#REF!,"AAAAAF3Yn/0=")</f>
        <v>#REF!</v>
      </c>
      <c r="IU79" t="e">
        <f>AND(#REF!,"AAAAAF3Yn/4=")</f>
        <v>#REF!</v>
      </c>
      <c r="IV79" t="e">
        <f>AND(#REF!,"AAAAAF3Yn/8=")</f>
        <v>#REF!</v>
      </c>
    </row>
    <row r="80" spans="1:256">
      <c r="A80" t="e">
        <f>IF(#REF!,"AAAAAH93/wA=",0)</f>
        <v>#REF!</v>
      </c>
      <c r="B80" t="e">
        <f>AND(#REF!,"AAAAAH93/wE=")</f>
        <v>#REF!</v>
      </c>
      <c r="C80" t="e">
        <f>AND(#REF!,"AAAAAH93/wI=")</f>
        <v>#REF!</v>
      </c>
      <c r="D80" t="e">
        <f>AND(#REF!,"AAAAAH93/wM=")</f>
        <v>#REF!</v>
      </c>
      <c r="E80" t="e">
        <f>AND(#REF!,"AAAAAH93/wQ=")</f>
        <v>#REF!</v>
      </c>
      <c r="F80" t="e">
        <f>AND(#REF!,"AAAAAH93/wU=")</f>
        <v>#REF!</v>
      </c>
      <c r="G80" t="e">
        <f>AND(#REF!,"AAAAAH93/wY=")</f>
        <v>#REF!</v>
      </c>
      <c r="H80" t="e">
        <f>AND(#REF!,"AAAAAH93/wc=")</f>
        <v>#REF!</v>
      </c>
      <c r="I80" t="e">
        <f>AND(#REF!,"AAAAAH93/wg=")</f>
        <v>#REF!</v>
      </c>
      <c r="J80" t="e">
        <f>AND(#REF!,"AAAAAH93/wk=")</f>
        <v>#REF!</v>
      </c>
      <c r="K80" t="e">
        <f>AND(#REF!,"AAAAAH93/wo=")</f>
        <v>#REF!</v>
      </c>
      <c r="L80" t="e">
        <f>AND(#REF!,"AAAAAH93/ws=")</f>
        <v>#REF!</v>
      </c>
      <c r="M80" t="e">
        <f>AND(#REF!,"AAAAAH93/ww=")</f>
        <v>#REF!</v>
      </c>
      <c r="N80" t="e">
        <f>AND(#REF!,"AAAAAH93/w0=")</f>
        <v>#REF!</v>
      </c>
      <c r="O80" t="e">
        <f>AND(#REF!,"AAAAAH93/w4=")</f>
        <v>#REF!</v>
      </c>
      <c r="P80" t="e">
        <f>AND(#REF!,"AAAAAH93/w8=")</f>
        <v>#REF!</v>
      </c>
      <c r="Q80" t="e">
        <f>AND(#REF!,"AAAAAH93/xA=")</f>
        <v>#REF!</v>
      </c>
      <c r="R80" t="e">
        <f>AND(#REF!,"AAAAAH93/xE=")</f>
        <v>#REF!</v>
      </c>
      <c r="S80" t="e">
        <f>AND(#REF!,"AAAAAH93/xI=")</f>
        <v>#REF!</v>
      </c>
      <c r="T80" t="e">
        <f>AND(#REF!,"AAAAAH93/xM=")</f>
        <v>#REF!</v>
      </c>
      <c r="U80" t="e">
        <f>AND(#REF!,"AAAAAH93/xQ=")</f>
        <v>#REF!</v>
      </c>
      <c r="V80" t="e">
        <f>AND(#REF!,"AAAAAH93/xU=")</f>
        <v>#REF!</v>
      </c>
      <c r="W80" t="e">
        <f>AND(#REF!,"AAAAAH93/xY=")</f>
        <v>#REF!</v>
      </c>
      <c r="X80" t="e">
        <f>AND(#REF!,"AAAAAH93/xc=")</f>
        <v>#REF!</v>
      </c>
      <c r="Y80" t="e">
        <f>AND(#REF!,"AAAAAH93/xg=")</f>
        <v>#REF!</v>
      </c>
      <c r="Z80" t="e">
        <f>AND(#REF!,"AAAAAH93/xk=")</f>
        <v>#REF!</v>
      </c>
      <c r="AA80" t="e">
        <f>AND(#REF!,"AAAAAH93/xo=")</f>
        <v>#REF!</v>
      </c>
      <c r="AB80" t="e">
        <f>AND(#REF!,"AAAAAH93/xs=")</f>
        <v>#REF!</v>
      </c>
      <c r="AC80" t="e">
        <f>AND(#REF!,"AAAAAH93/xw=")</f>
        <v>#REF!</v>
      </c>
      <c r="AD80" t="e">
        <f>AND(#REF!,"AAAAAH93/x0=")</f>
        <v>#REF!</v>
      </c>
      <c r="AE80" t="e">
        <f>AND(#REF!,"AAAAAH93/x4=")</f>
        <v>#REF!</v>
      </c>
      <c r="AF80" t="e">
        <f>AND(#REF!,"AAAAAH93/x8=")</f>
        <v>#REF!</v>
      </c>
      <c r="AG80" t="e">
        <f>AND(#REF!,"AAAAAH93/yA=")</f>
        <v>#REF!</v>
      </c>
      <c r="AH80" t="e">
        <f>AND(#REF!,"AAAAAH93/yE=")</f>
        <v>#REF!</v>
      </c>
      <c r="AI80" t="e">
        <f>AND(#REF!,"AAAAAH93/yI=")</f>
        <v>#REF!</v>
      </c>
      <c r="AJ80" t="e">
        <f>AND(#REF!,"AAAAAH93/yM=")</f>
        <v>#REF!</v>
      </c>
      <c r="AK80" t="e">
        <f>AND(#REF!,"AAAAAH93/yQ=")</f>
        <v>#REF!</v>
      </c>
      <c r="AL80" t="e">
        <f>AND(#REF!,"AAAAAH93/yU=")</f>
        <v>#REF!</v>
      </c>
      <c r="AM80" t="e">
        <f>AND(#REF!,"AAAAAH93/yY=")</f>
        <v>#REF!</v>
      </c>
      <c r="AN80" t="e">
        <f>AND(#REF!,"AAAAAH93/yc=")</f>
        <v>#REF!</v>
      </c>
      <c r="AO80" t="e">
        <f>AND(#REF!,"AAAAAH93/yg=")</f>
        <v>#REF!</v>
      </c>
      <c r="AP80" t="e">
        <f>AND(#REF!,"AAAAAH93/yk=")</f>
        <v>#REF!</v>
      </c>
      <c r="AQ80" t="e">
        <f>AND(#REF!,"AAAAAH93/yo=")</f>
        <v>#REF!</v>
      </c>
      <c r="AR80" t="e">
        <f>AND(#REF!,"AAAAAH93/ys=")</f>
        <v>#REF!</v>
      </c>
      <c r="AS80" t="e">
        <f>AND(#REF!,"AAAAAH93/yw=")</f>
        <v>#REF!</v>
      </c>
      <c r="AT80" t="e">
        <f>AND(#REF!,"AAAAAH93/y0=")</f>
        <v>#REF!</v>
      </c>
      <c r="AU80" t="e">
        <f>AND(#REF!,"AAAAAH93/y4=")</f>
        <v>#REF!</v>
      </c>
      <c r="AV80" t="e">
        <f>AND(#REF!,"AAAAAH93/y8=")</f>
        <v>#REF!</v>
      </c>
      <c r="AW80" t="e">
        <f>AND(#REF!,"AAAAAH93/zA=")</f>
        <v>#REF!</v>
      </c>
      <c r="AX80" t="e">
        <f>AND(#REF!,"AAAAAH93/zE=")</f>
        <v>#REF!</v>
      </c>
      <c r="AY80" t="e">
        <f>AND(#REF!,"AAAAAH93/zI=")</f>
        <v>#REF!</v>
      </c>
      <c r="AZ80" t="e">
        <f>AND(#REF!,"AAAAAH93/zM=")</f>
        <v>#REF!</v>
      </c>
      <c r="BA80" t="e">
        <f>AND(#REF!,"AAAAAH93/zQ=")</f>
        <v>#REF!</v>
      </c>
      <c r="BB80" t="e">
        <f>AND(#REF!,"AAAAAH93/zU=")</f>
        <v>#REF!</v>
      </c>
      <c r="BC80" t="e">
        <f>AND(#REF!,"AAAAAH93/zY=")</f>
        <v>#REF!</v>
      </c>
      <c r="BD80" t="e">
        <f>AND(#REF!,"AAAAAH93/zc=")</f>
        <v>#REF!</v>
      </c>
      <c r="BE80" t="e">
        <f>AND(#REF!,"AAAAAH93/zg=")</f>
        <v>#REF!</v>
      </c>
      <c r="BF80" t="e">
        <f>AND(#REF!,"AAAAAH93/zk=")</f>
        <v>#REF!</v>
      </c>
      <c r="BG80" t="e">
        <f>AND(#REF!,"AAAAAH93/zo=")</f>
        <v>#REF!</v>
      </c>
      <c r="BH80" t="e">
        <f>AND(#REF!,"AAAAAH93/zs=")</f>
        <v>#REF!</v>
      </c>
      <c r="BI80" t="e">
        <f>AND(#REF!,"AAAAAH93/zw=")</f>
        <v>#REF!</v>
      </c>
      <c r="BJ80" t="e">
        <f>AND(#REF!,"AAAAAH93/z0=")</f>
        <v>#REF!</v>
      </c>
      <c r="BK80" t="e">
        <f>AND(#REF!,"AAAAAH93/z4=")</f>
        <v>#REF!</v>
      </c>
      <c r="BL80" t="e">
        <f>AND(#REF!,"AAAAAH93/z8=")</f>
        <v>#REF!</v>
      </c>
      <c r="BM80" t="e">
        <f>AND(#REF!,"AAAAAH93/0A=")</f>
        <v>#REF!</v>
      </c>
      <c r="BN80" t="e">
        <f>AND(#REF!,"AAAAAH93/0E=")</f>
        <v>#REF!</v>
      </c>
      <c r="BO80" t="e">
        <f>AND(#REF!,"AAAAAH93/0I=")</f>
        <v>#REF!</v>
      </c>
      <c r="BP80" t="e">
        <f>AND(#REF!,"AAAAAH93/0M=")</f>
        <v>#REF!</v>
      </c>
      <c r="BQ80" t="e">
        <f>AND(#REF!,"AAAAAH93/0Q=")</f>
        <v>#REF!</v>
      </c>
      <c r="BR80" t="e">
        <f>AND(#REF!,"AAAAAH93/0U=")</f>
        <v>#REF!</v>
      </c>
      <c r="BS80" t="e">
        <f>AND(#REF!,"AAAAAH93/0Y=")</f>
        <v>#REF!</v>
      </c>
      <c r="BT80" t="e">
        <f>AND(#REF!,"AAAAAH93/0c=")</f>
        <v>#REF!</v>
      </c>
      <c r="BU80" t="e">
        <f>AND(#REF!,"AAAAAH93/0g=")</f>
        <v>#REF!</v>
      </c>
      <c r="BV80" t="e">
        <f>AND(#REF!,"AAAAAH93/0k=")</f>
        <v>#REF!</v>
      </c>
      <c r="BW80" t="e">
        <f>AND(#REF!,"AAAAAH93/0o=")</f>
        <v>#REF!</v>
      </c>
      <c r="BX80" t="e">
        <f>AND(#REF!,"AAAAAH93/0s=")</f>
        <v>#REF!</v>
      </c>
      <c r="BY80" t="e">
        <f>AND(#REF!,"AAAAAH93/0w=")</f>
        <v>#REF!</v>
      </c>
      <c r="BZ80" t="e">
        <f>AND(#REF!,"AAAAAH93/00=")</f>
        <v>#REF!</v>
      </c>
      <c r="CA80" t="e">
        <f>AND(#REF!,"AAAAAH93/04=")</f>
        <v>#REF!</v>
      </c>
      <c r="CB80" t="e">
        <f>AND(#REF!,"AAAAAH93/08=")</f>
        <v>#REF!</v>
      </c>
      <c r="CC80" t="e">
        <f>AND(#REF!,"AAAAAH93/1A=")</f>
        <v>#REF!</v>
      </c>
      <c r="CD80" t="e">
        <f>AND(#REF!,"AAAAAH93/1E=")</f>
        <v>#REF!</v>
      </c>
      <c r="CE80" t="e">
        <f>AND(#REF!,"AAAAAH93/1I=")</f>
        <v>#REF!</v>
      </c>
      <c r="CF80" t="e">
        <f>AND(#REF!,"AAAAAH93/1M=")</f>
        <v>#REF!</v>
      </c>
      <c r="CG80" t="e">
        <f>AND(#REF!,"AAAAAH93/1Q=")</f>
        <v>#REF!</v>
      </c>
      <c r="CH80" t="e">
        <f>AND(#REF!,"AAAAAH93/1U=")</f>
        <v>#REF!</v>
      </c>
      <c r="CI80" t="e">
        <f>AND(#REF!,"AAAAAH93/1Y=")</f>
        <v>#REF!</v>
      </c>
      <c r="CJ80" t="e">
        <f>AND(#REF!,"AAAAAH93/1c=")</f>
        <v>#REF!</v>
      </c>
      <c r="CK80" t="e">
        <f>AND(#REF!,"AAAAAH93/1g=")</f>
        <v>#REF!</v>
      </c>
      <c r="CL80" t="e">
        <f>AND(#REF!,"AAAAAH93/1k=")</f>
        <v>#REF!</v>
      </c>
      <c r="CM80" t="e">
        <f>AND(#REF!,"AAAAAH93/1o=")</f>
        <v>#REF!</v>
      </c>
      <c r="CN80" t="e">
        <f>AND(#REF!,"AAAAAH93/1s=")</f>
        <v>#REF!</v>
      </c>
      <c r="CO80" t="e">
        <f>AND(#REF!,"AAAAAH93/1w=")</f>
        <v>#REF!</v>
      </c>
      <c r="CP80" t="e">
        <f>AND(#REF!,"AAAAAH93/10=")</f>
        <v>#REF!</v>
      </c>
      <c r="CQ80" t="e">
        <f>AND(#REF!,"AAAAAH93/14=")</f>
        <v>#REF!</v>
      </c>
      <c r="CR80" t="e">
        <f>AND(#REF!,"AAAAAH93/18=")</f>
        <v>#REF!</v>
      </c>
      <c r="CS80" t="e">
        <f>AND(#REF!,"AAAAAH93/2A=")</f>
        <v>#REF!</v>
      </c>
      <c r="CT80" t="e">
        <f>AND(#REF!,"AAAAAH93/2E=")</f>
        <v>#REF!</v>
      </c>
      <c r="CU80" t="e">
        <f>AND(#REF!,"AAAAAH93/2I=")</f>
        <v>#REF!</v>
      </c>
      <c r="CV80" t="e">
        <f>AND(#REF!,"AAAAAH93/2M=")</f>
        <v>#REF!</v>
      </c>
      <c r="CW80" t="e">
        <f>AND(#REF!,"AAAAAH93/2Q=")</f>
        <v>#REF!</v>
      </c>
      <c r="CX80" t="e">
        <f>AND(#REF!,"AAAAAH93/2U=")</f>
        <v>#REF!</v>
      </c>
      <c r="CY80" t="e">
        <f>AND(#REF!,"AAAAAH93/2Y=")</f>
        <v>#REF!</v>
      </c>
      <c r="CZ80" t="e">
        <f>AND(#REF!,"AAAAAH93/2c=")</f>
        <v>#REF!</v>
      </c>
      <c r="DA80" t="e">
        <f>AND(#REF!,"AAAAAH93/2g=")</f>
        <v>#REF!</v>
      </c>
      <c r="DB80" t="e">
        <f>AND(#REF!,"AAAAAH93/2k=")</f>
        <v>#REF!</v>
      </c>
      <c r="DC80" t="e">
        <f>AND(#REF!,"AAAAAH93/2o=")</f>
        <v>#REF!</v>
      </c>
      <c r="DD80" t="e">
        <f>AND(#REF!,"AAAAAH93/2s=")</f>
        <v>#REF!</v>
      </c>
      <c r="DE80" t="e">
        <f>AND(#REF!,"AAAAAH93/2w=")</f>
        <v>#REF!</v>
      </c>
      <c r="DF80" t="e">
        <f>AND(#REF!,"AAAAAH93/20=")</f>
        <v>#REF!</v>
      </c>
      <c r="DG80" t="e">
        <f>AND(#REF!,"AAAAAH93/24=")</f>
        <v>#REF!</v>
      </c>
      <c r="DH80" t="e">
        <f>AND(#REF!,"AAAAAH93/28=")</f>
        <v>#REF!</v>
      </c>
      <c r="DI80" t="e">
        <f>AND(#REF!,"AAAAAH93/3A=")</f>
        <v>#REF!</v>
      </c>
      <c r="DJ80" t="e">
        <f>AND(#REF!,"AAAAAH93/3E=")</f>
        <v>#REF!</v>
      </c>
      <c r="DK80" t="e">
        <f>AND(#REF!,"AAAAAH93/3I=")</f>
        <v>#REF!</v>
      </c>
      <c r="DL80" t="e">
        <f>AND(#REF!,"AAAAAH93/3M=")</f>
        <v>#REF!</v>
      </c>
      <c r="DM80" t="e">
        <f>AND(#REF!,"AAAAAH93/3Q=")</f>
        <v>#REF!</v>
      </c>
      <c r="DN80" t="e">
        <f>AND(#REF!,"AAAAAH93/3U=")</f>
        <v>#REF!</v>
      </c>
      <c r="DO80" t="e">
        <f>AND(#REF!,"AAAAAH93/3Y=")</f>
        <v>#REF!</v>
      </c>
      <c r="DP80" t="e">
        <f>AND(#REF!,"AAAAAH93/3c=")</f>
        <v>#REF!</v>
      </c>
      <c r="DQ80" t="e">
        <f>AND(#REF!,"AAAAAH93/3g=")</f>
        <v>#REF!</v>
      </c>
      <c r="DR80" t="e">
        <f>AND(#REF!,"AAAAAH93/3k=")</f>
        <v>#REF!</v>
      </c>
      <c r="DS80" t="e">
        <f>AND(#REF!,"AAAAAH93/3o=")</f>
        <v>#REF!</v>
      </c>
      <c r="DT80" t="e">
        <f>AND(#REF!,"AAAAAH93/3s=")</f>
        <v>#REF!</v>
      </c>
      <c r="DU80" t="e">
        <f>AND(#REF!,"AAAAAH93/3w=")</f>
        <v>#REF!</v>
      </c>
      <c r="DV80" t="e">
        <f>AND(#REF!,"AAAAAH93/30=")</f>
        <v>#REF!</v>
      </c>
      <c r="DW80" t="e">
        <f>AND(#REF!,"AAAAAH93/34=")</f>
        <v>#REF!</v>
      </c>
      <c r="DX80" t="e">
        <f>AND(#REF!,"AAAAAH93/38=")</f>
        <v>#REF!</v>
      </c>
      <c r="DY80" t="e">
        <f>AND(#REF!,"AAAAAH93/4A=")</f>
        <v>#REF!</v>
      </c>
      <c r="DZ80" t="e">
        <f>AND(#REF!,"AAAAAH93/4E=")</f>
        <v>#REF!</v>
      </c>
      <c r="EA80" t="e">
        <f>AND(#REF!,"AAAAAH93/4I=")</f>
        <v>#REF!</v>
      </c>
      <c r="EB80" t="e">
        <f>AND(#REF!,"AAAAAH93/4M=")</f>
        <v>#REF!</v>
      </c>
      <c r="EC80" t="e">
        <f>AND(#REF!,"AAAAAH93/4Q=")</f>
        <v>#REF!</v>
      </c>
      <c r="ED80" t="e">
        <f>AND(#REF!,"AAAAAH93/4U=")</f>
        <v>#REF!</v>
      </c>
      <c r="EE80" t="e">
        <f>AND(#REF!,"AAAAAH93/4Y=")</f>
        <v>#REF!</v>
      </c>
      <c r="EF80" t="e">
        <f>AND(#REF!,"AAAAAH93/4c=")</f>
        <v>#REF!</v>
      </c>
      <c r="EG80" t="e">
        <f>IF(#REF!,"AAAAAH93/4g=",0)</f>
        <v>#REF!</v>
      </c>
      <c r="EH80" t="e">
        <f>AND(#REF!,"AAAAAH93/4k=")</f>
        <v>#REF!</v>
      </c>
      <c r="EI80" t="e">
        <f>AND(#REF!,"AAAAAH93/4o=")</f>
        <v>#REF!</v>
      </c>
      <c r="EJ80" t="e">
        <f>AND(#REF!,"AAAAAH93/4s=")</f>
        <v>#REF!</v>
      </c>
      <c r="EK80" t="e">
        <f>AND(#REF!,"AAAAAH93/4w=")</f>
        <v>#REF!</v>
      </c>
      <c r="EL80" t="e">
        <f>AND(#REF!,"AAAAAH93/40=")</f>
        <v>#REF!</v>
      </c>
      <c r="EM80" t="e">
        <f>AND(#REF!,"AAAAAH93/44=")</f>
        <v>#REF!</v>
      </c>
      <c r="EN80" t="e">
        <f>AND(#REF!,"AAAAAH93/48=")</f>
        <v>#REF!</v>
      </c>
      <c r="EO80" t="e">
        <f>AND(#REF!,"AAAAAH93/5A=")</f>
        <v>#REF!</v>
      </c>
      <c r="EP80" t="e">
        <f>AND(#REF!,"AAAAAH93/5E=")</f>
        <v>#REF!</v>
      </c>
      <c r="EQ80" t="e">
        <f>AND(#REF!,"AAAAAH93/5I=")</f>
        <v>#REF!</v>
      </c>
      <c r="ER80" t="e">
        <f>AND(#REF!,"AAAAAH93/5M=")</f>
        <v>#REF!</v>
      </c>
      <c r="ES80" t="e">
        <f>AND(#REF!,"AAAAAH93/5Q=")</f>
        <v>#REF!</v>
      </c>
      <c r="ET80" t="e">
        <f>AND(#REF!,"AAAAAH93/5U=")</f>
        <v>#REF!</v>
      </c>
      <c r="EU80" t="e">
        <f>AND(#REF!,"AAAAAH93/5Y=")</f>
        <v>#REF!</v>
      </c>
      <c r="EV80" t="e">
        <f>AND(#REF!,"AAAAAH93/5c=")</f>
        <v>#REF!</v>
      </c>
      <c r="EW80" t="e">
        <f>AND(#REF!,"AAAAAH93/5g=")</f>
        <v>#REF!</v>
      </c>
      <c r="EX80" t="e">
        <f>AND(#REF!,"AAAAAH93/5k=")</f>
        <v>#REF!</v>
      </c>
      <c r="EY80" t="e">
        <f>AND(#REF!,"AAAAAH93/5o=")</f>
        <v>#REF!</v>
      </c>
      <c r="EZ80" t="e">
        <f>AND(#REF!,"AAAAAH93/5s=")</f>
        <v>#REF!</v>
      </c>
      <c r="FA80" t="e">
        <f>AND(#REF!,"AAAAAH93/5w=")</f>
        <v>#REF!</v>
      </c>
      <c r="FB80" t="e">
        <f>AND(#REF!,"AAAAAH93/50=")</f>
        <v>#REF!</v>
      </c>
      <c r="FC80" t="e">
        <f>AND(#REF!,"AAAAAH93/54=")</f>
        <v>#REF!</v>
      </c>
      <c r="FD80" t="e">
        <f>AND(#REF!,"AAAAAH93/58=")</f>
        <v>#REF!</v>
      </c>
      <c r="FE80" t="e">
        <f>AND(#REF!,"AAAAAH93/6A=")</f>
        <v>#REF!</v>
      </c>
      <c r="FF80" t="e">
        <f>AND(#REF!,"AAAAAH93/6E=")</f>
        <v>#REF!</v>
      </c>
      <c r="FG80" t="e">
        <f>AND(#REF!,"AAAAAH93/6I=")</f>
        <v>#REF!</v>
      </c>
      <c r="FH80" t="e">
        <f>AND(#REF!,"AAAAAH93/6M=")</f>
        <v>#REF!</v>
      </c>
      <c r="FI80" t="e">
        <f>AND(#REF!,"AAAAAH93/6Q=")</f>
        <v>#REF!</v>
      </c>
      <c r="FJ80" t="e">
        <f>AND(#REF!,"AAAAAH93/6U=")</f>
        <v>#REF!</v>
      </c>
      <c r="FK80" t="e">
        <f>AND(#REF!,"AAAAAH93/6Y=")</f>
        <v>#REF!</v>
      </c>
      <c r="FL80" t="e">
        <f>AND(#REF!,"AAAAAH93/6c=")</f>
        <v>#REF!</v>
      </c>
      <c r="FM80" t="e">
        <f>AND(#REF!,"AAAAAH93/6g=")</f>
        <v>#REF!</v>
      </c>
      <c r="FN80" t="e">
        <f>AND(#REF!,"AAAAAH93/6k=")</f>
        <v>#REF!</v>
      </c>
      <c r="FO80" t="e">
        <f>AND(#REF!,"AAAAAH93/6o=")</f>
        <v>#REF!</v>
      </c>
      <c r="FP80" t="e">
        <f>AND(#REF!,"AAAAAH93/6s=")</f>
        <v>#REF!</v>
      </c>
      <c r="FQ80" t="e">
        <f>AND(#REF!,"AAAAAH93/6w=")</f>
        <v>#REF!</v>
      </c>
      <c r="FR80" t="e">
        <f>AND(#REF!,"AAAAAH93/60=")</f>
        <v>#REF!</v>
      </c>
      <c r="FS80" t="e">
        <f>AND(#REF!,"AAAAAH93/64=")</f>
        <v>#REF!</v>
      </c>
      <c r="FT80" t="e">
        <f>AND(#REF!,"AAAAAH93/68=")</f>
        <v>#REF!</v>
      </c>
      <c r="FU80" t="e">
        <f>AND(#REF!,"AAAAAH93/7A=")</f>
        <v>#REF!</v>
      </c>
      <c r="FV80" t="e">
        <f>AND(#REF!,"AAAAAH93/7E=")</f>
        <v>#REF!</v>
      </c>
      <c r="FW80" t="e">
        <f>AND(#REF!,"AAAAAH93/7I=")</f>
        <v>#REF!</v>
      </c>
      <c r="FX80" t="e">
        <f>AND(#REF!,"AAAAAH93/7M=")</f>
        <v>#REF!</v>
      </c>
      <c r="FY80" t="e">
        <f>AND(#REF!,"AAAAAH93/7Q=")</f>
        <v>#REF!</v>
      </c>
      <c r="FZ80" t="e">
        <f>AND(#REF!,"AAAAAH93/7U=")</f>
        <v>#REF!</v>
      </c>
      <c r="GA80" t="e">
        <f>AND(#REF!,"AAAAAH93/7Y=")</f>
        <v>#REF!</v>
      </c>
      <c r="GB80" t="e">
        <f>AND(#REF!,"AAAAAH93/7c=")</f>
        <v>#REF!</v>
      </c>
      <c r="GC80" t="e">
        <f>AND(#REF!,"AAAAAH93/7g=")</f>
        <v>#REF!</v>
      </c>
      <c r="GD80" t="e">
        <f>AND(#REF!,"AAAAAH93/7k=")</f>
        <v>#REF!</v>
      </c>
      <c r="GE80" t="e">
        <f>AND(#REF!,"AAAAAH93/7o=")</f>
        <v>#REF!</v>
      </c>
      <c r="GF80" t="e">
        <f>AND(#REF!,"AAAAAH93/7s=")</f>
        <v>#REF!</v>
      </c>
      <c r="GG80" t="e">
        <f>AND(#REF!,"AAAAAH93/7w=")</f>
        <v>#REF!</v>
      </c>
      <c r="GH80" t="e">
        <f>AND(#REF!,"AAAAAH93/70=")</f>
        <v>#REF!</v>
      </c>
      <c r="GI80" t="e">
        <f>AND(#REF!,"AAAAAH93/74=")</f>
        <v>#REF!</v>
      </c>
      <c r="GJ80" t="e">
        <f>AND(#REF!,"AAAAAH93/78=")</f>
        <v>#REF!</v>
      </c>
      <c r="GK80" t="e">
        <f>AND(#REF!,"AAAAAH93/8A=")</f>
        <v>#REF!</v>
      </c>
      <c r="GL80" t="e">
        <f>AND(#REF!,"AAAAAH93/8E=")</f>
        <v>#REF!</v>
      </c>
      <c r="GM80" t="e">
        <f>AND(#REF!,"AAAAAH93/8I=")</f>
        <v>#REF!</v>
      </c>
      <c r="GN80" t="e">
        <f>AND(#REF!,"AAAAAH93/8M=")</f>
        <v>#REF!</v>
      </c>
      <c r="GO80" t="e">
        <f>AND(#REF!,"AAAAAH93/8Q=")</f>
        <v>#REF!</v>
      </c>
      <c r="GP80" t="e">
        <f>AND(#REF!,"AAAAAH93/8U=")</f>
        <v>#REF!</v>
      </c>
      <c r="GQ80" t="e">
        <f>AND(#REF!,"AAAAAH93/8Y=")</f>
        <v>#REF!</v>
      </c>
      <c r="GR80" t="e">
        <f>AND(#REF!,"AAAAAH93/8c=")</f>
        <v>#REF!</v>
      </c>
      <c r="GS80" t="e">
        <f>AND(#REF!,"AAAAAH93/8g=")</f>
        <v>#REF!</v>
      </c>
      <c r="GT80" t="e">
        <f>AND(#REF!,"AAAAAH93/8k=")</f>
        <v>#REF!</v>
      </c>
      <c r="GU80" t="e">
        <f>AND(#REF!,"AAAAAH93/8o=")</f>
        <v>#REF!</v>
      </c>
      <c r="GV80" t="e">
        <f>AND(#REF!,"AAAAAH93/8s=")</f>
        <v>#REF!</v>
      </c>
      <c r="GW80" t="e">
        <f>AND(#REF!,"AAAAAH93/8w=")</f>
        <v>#REF!</v>
      </c>
      <c r="GX80" t="e">
        <f>AND(#REF!,"AAAAAH93/80=")</f>
        <v>#REF!</v>
      </c>
      <c r="GY80" t="e">
        <f>AND(#REF!,"AAAAAH93/84=")</f>
        <v>#REF!</v>
      </c>
      <c r="GZ80" t="e">
        <f>AND(#REF!,"AAAAAH93/88=")</f>
        <v>#REF!</v>
      </c>
      <c r="HA80" t="e">
        <f>AND(#REF!,"AAAAAH93/9A=")</f>
        <v>#REF!</v>
      </c>
      <c r="HB80" t="e">
        <f>AND(#REF!,"AAAAAH93/9E=")</f>
        <v>#REF!</v>
      </c>
      <c r="HC80" t="e">
        <f>AND(#REF!,"AAAAAH93/9I=")</f>
        <v>#REF!</v>
      </c>
      <c r="HD80" t="e">
        <f>AND(#REF!,"AAAAAH93/9M=")</f>
        <v>#REF!</v>
      </c>
      <c r="HE80" t="e">
        <f>AND(#REF!,"AAAAAH93/9Q=")</f>
        <v>#REF!</v>
      </c>
      <c r="HF80" t="e">
        <f>AND(#REF!,"AAAAAH93/9U=")</f>
        <v>#REF!</v>
      </c>
      <c r="HG80" t="e">
        <f>AND(#REF!,"AAAAAH93/9Y=")</f>
        <v>#REF!</v>
      </c>
      <c r="HH80" t="e">
        <f>AND(#REF!,"AAAAAH93/9c=")</f>
        <v>#REF!</v>
      </c>
      <c r="HI80" t="e">
        <f>AND(#REF!,"AAAAAH93/9g=")</f>
        <v>#REF!</v>
      </c>
      <c r="HJ80" t="e">
        <f>AND(#REF!,"AAAAAH93/9k=")</f>
        <v>#REF!</v>
      </c>
      <c r="HK80" t="e">
        <f>AND(#REF!,"AAAAAH93/9o=")</f>
        <v>#REF!</v>
      </c>
      <c r="HL80" t="e">
        <f>AND(#REF!,"AAAAAH93/9s=")</f>
        <v>#REF!</v>
      </c>
      <c r="HM80" t="e">
        <f>AND(#REF!,"AAAAAH93/9w=")</f>
        <v>#REF!</v>
      </c>
      <c r="HN80" t="e">
        <f>AND(#REF!,"AAAAAH93/90=")</f>
        <v>#REF!</v>
      </c>
      <c r="HO80" t="e">
        <f>AND(#REF!,"AAAAAH93/94=")</f>
        <v>#REF!</v>
      </c>
      <c r="HP80" t="e">
        <f>AND(#REF!,"AAAAAH93/98=")</f>
        <v>#REF!</v>
      </c>
      <c r="HQ80" t="e">
        <f>AND(#REF!,"AAAAAH93/+A=")</f>
        <v>#REF!</v>
      </c>
      <c r="HR80" t="e">
        <f>AND(#REF!,"AAAAAH93/+E=")</f>
        <v>#REF!</v>
      </c>
      <c r="HS80" t="e">
        <f>AND(#REF!,"AAAAAH93/+I=")</f>
        <v>#REF!</v>
      </c>
      <c r="HT80" t="e">
        <f>AND(#REF!,"AAAAAH93/+M=")</f>
        <v>#REF!</v>
      </c>
      <c r="HU80" t="e">
        <f>AND(#REF!,"AAAAAH93/+Q=")</f>
        <v>#REF!</v>
      </c>
      <c r="HV80" t="e">
        <f>AND(#REF!,"AAAAAH93/+U=")</f>
        <v>#REF!</v>
      </c>
      <c r="HW80" t="e">
        <f>AND(#REF!,"AAAAAH93/+Y=")</f>
        <v>#REF!</v>
      </c>
      <c r="HX80" t="e">
        <f>AND(#REF!,"AAAAAH93/+c=")</f>
        <v>#REF!</v>
      </c>
      <c r="HY80" t="e">
        <f>AND(#REF!,"AAAAAH93/+g=")</f>
        <v>#REF!</v>
      </c>
      <c r="HZ80" t="e">
        <f>AND(#REF!,"AAAAAH93/+k=")</f>
        <v>#REF!</v>
      </c>
      <c r="IA80" t="e">
        <f>AND(#REF!,"AAAAAH93/+o=")</f>
        <v>#REF!</v>
      </c>
      <c r="IB80" t="e">
        <f>AND(#REF!,"AAAAAH93/+s=")</f>
        <v>#REF!</v>
      </c>
      <c r="IC80" t="e">
        <f>AND(#REF!,"AAAAAH93/+w=")</f>
        <v>#REF!</v>
      </c>
      <c r="ID80" t="e">
        <f>AND(#REF!,"AAAAAH93/+0=")</f>
        <v>#REF!</v>
      </c>
      <c r="IE80" t="e">
        <f>AND(#REF!,"AAAAAH93/+4=")</f>
        <v>#REF!</v>
      </c>
      <c r="IF80" t="e">
        <f>AND(#REF!,"AAAAAH93/+8=")</f>
        <v>#REF!</v>
      </c>
      <c r="IG80" t="e">
        <f>AND(#REF!,"AAAAAH93//A=")</f>
        <v>#REF!</v>
      </c>
      <c r="IH80" t="e">
        <f>AND(#REF!,"AAAAAH93//E=")</f>
        <v>#REF!</v>
      </c>
      <c r="II80" t="e">
        <f>AND(#REF!,"AAAAAH93//I=")</f>
        <v>#REF!</v>
      </c>
      <c r="IJ80" t="e">
        <f>AND(#REF!,"AAAAAH93//M=")</f>
        <v>#REF!</v>
      </c>
      <c r="IK80" t="e">
        <f>AND(#REF!,"AAAAAH93//Q=")</f>
        <v>#REF!</v>
      </c>
      <c r="IL80" t="e">
        <f>AND(#REF!,"AAAAAH93//U=")</f>
        <v>#REF!</v>
      </c>
      <c r="IM80" t="e">
        <f>AND(#REF!,"AAAAAH93//Y=")</f>
        <v>#REF!</v>
      </c>
      <c r="IN80" t="e">
        <f>AND(#REF!,"AAAAAH93//c=")</f>
        <v>#REF!</v>
      </c>
      <c r="IO80" t="e">
        <f>AND(#REF!,"AAAAAH93//g=")</f>
        <v>#REF!</v>
      </c>
      <c r="IP80" t="e">
        <f>AND(#REF!,"AAAAAH93//k=")</f>
        <v>#REF!</v>
      </c>
      <c r="IQ80" t="e">
        <f>AND(#REF!,"AAAAAH93//o=")</f>
        <v>#REF!</v>
      </c>
      <c r="IR80" t="e">
        <f>AND(#REF!,"AAAAAH93//s=")</f>
        <v>#REF!</v>
      </c>
      <c r="IS80" t="e">
        <f>AND(#REF!,"AAAAAH93//w=")</f>
        <v>#REF!</v>
      </c>
      <c r="IT80" t="e">
        <f>AND(#REF!,"AAAAAH93//0=")</f>
        <v>#REF!</v>
      </c>
      <c r="IU80" t="e">
        <f>AND(#REF!,"AAAAAH93//4=")</f>
        <v>#REF!</v>
      </c>
      <c r="IV80" t="e">
        <f>AND(#REF!,"AAAAAH93//8=")</f>
        <v>#REF!</v>
      </c>
    </row>
    <row r="81" spans="1:256">
      <c r="A81" t="e">
        <f>AND(#REF!,"AAAAABf/OQA=")</f>
        <v>#REF!</v>
      </c>
      <c r="B81" t="e">
        <f>AND(#REF!,"AAAAABf/OQE=")</f>
        <v>#REF!</v>
      </c>
      <c r="C81" t="e">
        <f>AND(#REF!,"AAAAABf/OQI=")</f>
        <v>#REF!</v>
      </c>
      <c r="D81" t="e">
        <f>AND(#REF!,"AAAAABf/OQM=")</f>
        <v>#REF!</v>
      </c>
      <c r="E81" t="e">
        <f>AND(#REF!,"AAAAABf/OQQ=")</f>
        <v>#REF!</v>
      </c>
      <c r="F81" t="e">
        <f>AND(#REF!,"AAAAABf/OQU=")</f>
        <v>#REF!</v>
      </c>
      <c r="G81" t="e">
        <f>AND(#REF!,"AAAAABf/OQY=")</f>
        <v>#REF!</v>
      </c>
      <c r="H81" t="e">
        <f>AND(#REF!,"AAAAABf/OQc=")</f>
        <v>#REF!</v>
      </c>
      <c r="I81" t="e">
        <f>AND(#REF!,"AAAAABf/OQg=")</f>
        <v>#REF!</v>
      </c>
      <c r="J81" t="e">
        <f>AND(#REF!,"AAAAABf/OQk=")</f>
        <v>#REF!</v>
      </c>
      <c r="K81" t="e">
        <f>AND(#REF!,"AAAAABf/OQo=")</f>
        <v>#REF!</v>
      </c>
      <c r="L81" t="e">
        <f>AND(#REF!,"AAAAABf/OQs=")</f>
        <v>#REF!</v>
      </c>
      <c r="M81" t="e">
        <f>AND(#REF!,"AAAAABf/OQw=")</f>
        <v>#REF!</v>
      </c>
      <c r="N81" t="e">
        <f>AND(#REF!,"AAAAABf/OQ0=")</f>
        <v>#REF!</v>
      </c>
      <c r="O81" t="e">
        <f>AND(#REF!,"AAAAABf/OQ4=")</f>
        <v>#REF!</v>
      </c>
      <c r="P81" t="e">
        <f>AND(#REF!,"AAAAABf/OQ8=")</f>
        <v>#REF!</v>
      </c>
      <c r="Q81" t="e">
        <f>IF(#REF!,"AAAAABf/ORA=",0)</f>
        <v>#REF!</v>
      </c>
      <c r="R81" t="e">
        <f>AND(#REF!,"AAAAABf/ORE=")</f>
        <v>#REF!</v>
      </c>
      <c r="S81" t="e">
        <f>AND(#REF!,"AAAAABf/ORI=")</f>
        <v>#REF!</v>
      </c>
      <c r="T81" t="e">
        <f>AND(#REF!,"AAAAABf/ORM=")</f>
        <v>#REF!</v>
      </c>
      <c r="U81" t="e">
        <f>AND(#REF!,"AAAAABf/ORQ=")</f>
        <v>#REF!</v>
      </c>
      <c r="V81" t="e">
        <f>AND(#REF!,"AAAAABf/ORU=")</f>
        <v>#REF!</v>
      </c>
      <c r="W81" t="e">
        <f>AND(#REF!,"AAAAABf/ORY=")</f>
        <v>#REF!</v>
      </c>
      <c r="X81" t="e">
        <f>AND(#REF!,"AAAAABf/ORc=")</f>
        <v>#REF!</v>
      </c>
      <c r="Y81" t="e">
        <f>AND(#REF!,"AAAAABf/ORg=")</f>
        <v>#REF!</v>
      </c>
      <c r="Z81" t="e">
        <f>AND(#REF!,"AAAAABf/ORk=")</f>
        <v>#REF!</v>
      </c>
      <c r="AA81" t="e">
        <f>AND(#REF!,"AAAAABf/ORo=")</f>
        <v>#REF!</v>
      </c>
      <c r="AB81" t="e">
        <f>AND(#REF!,"AAAAABf/ORs=")</f>
        <v>#REF!</v>
      </c>
      <c r="AC81" t="e">
        <f>AND(#REF!,"AAAAABf/ORw=")</f>
        <v>#REF!</v>
      </c>
      <c r="AD81" t="e">
        <f>AND(#REF!,"AAAAABf/OR0=")</f>
        <v>#REF!</v>
      </c>
      <c r="AE81" t="e">
        <f>AND(#REF!,"AAAAABf/OR4=")</f>
        <v>#REF!</v>
      </c>
      <c r="AF81" t="e">
        <f>AND(#REF!,"AAAAABf/OR8=")</f>
        <v>#REF!</v>
      </c>
      <c r="AG81" t="e">
        <f>AND(#REF!,"AAAAABf/OSA=")</f>
        <v>#REF!</v>
      </c>
      <c r="AH81" t="e">
        <f>AND(#REF!,"AAAAABf/OSE=")</f>
        <v>#REF!</v>
      </c>
      <c r="AI81" t="e">
        <f>AND(#REF!,"AAAAABf/OSI=")</f>
        <v>#REF!</v>
      </c>
      <c r="AJ81" t="e">
        <f>AND(#REF!,"AAAAABf/OSM=")</f>
        <v>#REF!</v>
      </c>
      <c r="AK81" t="e">
        <f>AND(#REF!,"AAAAABf/OSQ=")</f>
        <v>#REF!</v>
      </c>
      <c r="AL81" t="e">
        <f>AND(#REF!,"AAAAABf/OSU=")</f>
        <v>#REF!</v>
      </c>
      <c r="AM81" t="e">
        <f>AND(#REF!,"AAAAABf/OSY=")</f>
        <v>#REF!</v>
      </c>
      <c r="AN81" t="e">
        <f>AND(#REF!,"AAAAABf/OSc=")</f>
        <v>#REF!</v>
      </c>
      <c r="AO81" t="e">
        <f>AND(#REF!,"AAAAABf/OSg=")</f>
        <v>#REF!</v>
      </c>
      <c r="AP81" t="e">
        <f>AND(#REF!,"AAAAABf/OSk=")</f>
        <v>#REF!</v>
      </c>
      <c r="AQ81" t="e">
        <f>AND(#REF!,"AAAAABf/OSo=")</f>
        <v>#REF!</v>
      </c>
      <c r="AR81" t="e">
        <f>AND(#REF!,"AAAAABf/OSs=")</f>
        <v>#REF!</v>
      </c>
      <c r="AS81" t="e">
        <f>AND(#REF!,"AAAAABf/OSw=")</f>
        <v>#REF!</v>
      </c>
      <c r="AT81" t="e">
        <f>AND(#REF!,"AAAAABf/OS0=")</f>
        <v>#REF!</v>
      </c>
      <c r="AU81" t="e">
        <f>AND(#REF!,"AAAAABf/OS4=")</f>
        <v>#REF!</v>
      </c>
      <c r="AV81" t="e">
        <f>AND(#REF!,"AAAAABf/OS8=")</f>
        <v>#REF!</v>
      </c>
      <c r="AW81" t="e">
        <f>AND(#REF!,"AAAAABf/OTA=")</f>
        <v>#REF!</v>
      </c>
      <c r="AX81" t="e">
        <f>AND(#REF!,"AAAAABf/OTE=")</f>
        <v>#REF!</v>
      </c>
      <c r="AY81" t="e">
        <f>AND(#REF!,"AAAAABf/OTI=")</f>
        <v>#REF!</v>
      </c>
      <c r="AZ81" t="e">
        <f>AND(#REF!,"AAAAABf/OTM=")</f>
        <v>#REF!</v>
      </c>
      <c r="BA81" t="e">
        <f>AND(#REF!,"AAAAABf/OTQ=")</f>
        <v>#REF!</v>
      </c>
      <c r="BB81" t="e">
        <f>AND(#REF!,"AAAAABf/OTU=")</f>
        <v>#REF!</v>
      </c>
      <c r="BC81" t="e">
        <f>AND(#REF!,"AAAAABf/OTY=")</f>
        <v>#REF!</v>
      </c>
      <c r="BD81" t="e">
        <f>AND(#REF!,"AAAAABf/OTc=")</f>
        <v>#REF!</v>
      </c>
      <c r="BE81" t="e">
        <f>AND(#REF!,"AAAAABf/OTg=")</f>
        <v>#REF!</v>
      </c>
      <c r="BF81" t="e">
        <f>AND(#REF!,"AAAAABf/OTk=")</f>
        <v>#REF!</v>
      </c>
      <c r="BG81" t="e">
        <f>AND(#REF!,"AAAAABf/OTo=")</f>
        <v>#REF!</v>
      </c>
      <c r="BH81" t="e">
        <f>AND(#REF!,"AAAAABf/OTs=")</f>
        <v>#REF!</v>
      </c>
      <c r="BI81" t="e">
        <f>AND(#REF!,"AAAAABf/OTw=")</f>
        <v>#REF!</v>
      </c>
      <c r="BJ81" t="e">
        <f>AND(#REF!,"AAAAABf/OT0=")</f>
        <v>#REF!</v>
      </c>
      <c r="BK81" t="e">
        <f>AND(#REF!,"AAAAABf/OT4=")</f>
        <v>#REF!</v>
      </c>
      <c r="BL81" t="e">
        <f>AND(#REF!,"AAAAABf/OT8=")</f>
        <v>#REF!</v>
      </c>
      <c r="BM81" t="e">
        <f>AND(#REF!,"AAAAABf/OUA=")</f>
        <v>#REF!</v>
      </c>
      <c r="BN81" t="e">
        <f>AND(#REF!,"AAAAABf/OUE=")</f>
        <v>#REF!</v>
      </c>
      <c r="BO81" t="e">
        <f>AND(#REF!,"AAAAABf/OUI=")</f>
        <v>#REF!</v>
      </c>
      <c r="BP81" t="e">
        <f>AND(#REF!,"AAAAABf/OUM=")</f>
        <v>#REF!</v>
      </c>
      <c r="BQ81" t="e">
        <f>AND(#REF!,"AAAAABf/OUQ=")</f>
        <v>#REF!</v>
      </c>
      <c r="BR81" t="e">
        <f>AND(#REF!,"AAAAABf/OUU=")</f>
        <v>#REF!</v>
      </c>
      <c r="BS81" t="e">
        <f>AND(#REF!,"AAAAABf/OUY=")</f>
        <v>#REF!</v>
      </c>
      <c r="BT81" t="e">
        <f>AND(#REF!,"AAAAABf/OUc=")</f>
        <v>#REF!</v>
      </c>
      <c r="BU81" t="e">
        <f>AND(#REF!,"AAAAABf/OUg=")</f>
        <v>#REF!</v>
      </c>
      <c r="BV81" t="e">
        <f>AND(#REF!,"AAAAABf/OUk=")</f>
        <v>#REF!</v>
      </c>
      <c r="BW81" t="e">
        <f>AND(#REF!,"AAAAABf/OUo=")</f>
        <v>#REF!</v>
      </c>
      <c r="BX81" t="e">
        <f>AND(#REF!,"AAAAABf/OUs=")</f>
        <v>#REF!</v>
      </c>
      <c r="BY81" t="e">
        <f>AND(#REF!,"AAAAABf/OUw=")</f>
        <v>#REF!</v>
      </c>
      <c r="BZ81" t="e">
        <f>AND(#REF!,"AAAAABf/OU0=")</f>
        <v>#REF!</v>
      </c>
      <c r="CA81" t="e">
        <f>AND(#REF!,"AAAAABf/OU4=")</f>
        <v>#REF!</v>
      </c>
      <c r="CB81" t="e">
        <f>AND(#REF!,"AAAAABf/OU8=")</f>
        <v>#REF!</v>
      </c>
      <c r="CC81" t="e">
        <f>AND(#REF!,"AAAAABf/OVA=")</f>
        <v>#REF!</v>
      </c>
      <c r="CD81" t="e">
        <f>AND(#REF!,"AAAAABf/OVE=")</f>
        <v>#REF!</v>
      </c>
      <c r="CE81" t="e">
        <f>AND(#REF!,"AAAAABf/OVI=")</f>
        <v>#REF!</v>
      </c>
      <c r="CF81" t="e">
        <f>AND(#REF!,"AAAAABf/OVM=")</f>
        <v>#REF!</v>
      </c>
      <c r="CG81" t="e">
        <f>AND(#REF!,"AAAAABf/OVQ=")</f>
        <v>#REF!</v>
      </c>
      <c r="CH81" t="e">
        <f>AND(#REF!,"AAAAABf/OVU=")</f>
        <v>#REF!</v>
      </c>
      <c r="CI81" t="e">
        <f>AND(#REF!,"AAAAABf/OVY=")</f>
        <v>#REF!</v>
      </c>
      <c r="CJ81" t="e">
        <f>AND(#REF!,"AAAAABf/OVc=")</f>
        <v>#REF!</v>
      </c>
      <c r="CK81" t="e">
        <f>AND(#REF!,"AAAAABf/OVg=")</f>
        <v>#REF!</v>
      </c>
      <c r="CL81" t="e">
        <f>AND(#REF!,"AAAAABf/OVk=")</f>
        <v>#REF!</v>
      </c>
      <c r="CM81" t="e">
        <f>AND(#REF!,"AAAAABf/OVo=")</f>
        <v>#REF!</v>
      </c>
      <c r="CN81" t="e">
        <f>AND(#REF!,"AAAAABf/OVs=")</f>
        <v>#REF!</v>
      </c>
      <c r="CO81" t="e">
        <f>AND(#REF!,"AAAAABf/OVw=")</f>
        <v>#REF!</v>
      </c>
      <c r="CP81" t="e">
        <f>AND(#REF!,"AAAAABf/OV0=")</f>
        <v>#REF!</v>
      </c>
      <c r="CQ81" t="e">
        <f>AND(#REF!,"AAAAABf/OV4=")</f>
        <v>#REF!</v>
      </c>
      <c r="CR81" t="e">
        <f>AND(#REF!,"AAAAABf/OV8=")</f>
        <v>#REF!</v>
      </c>
      <c r="CS81" t="e">
        <f>AND(#REF!,"AAAAABf/OWA=")</f>
        <v>#REF!</v>
      </c>
      <c r="CT81" t="e">
        <f>AND(#REF!,"AAAAABf/OWE=")</f>
        <v>#REF!</v>
      </c>
      <c r="CU81" t="e">
        <f>AND(#REF!,"AAAAABf/OWI=")</f>
        <v>#REF!</v>
      </c>
      <c r="CV81" t="e">
        <f>AND(#REF!,"AAAAABf/OWM=")</f>
        <v>#REF!</v>
      </c>
      <c r="CW81" t="e">
        <f>AND(#REF!,"AAAAABf/OWQ=")</f>
        <v>#REF!</v>
      </c>
      <c r="CX81" t="e">
        <f>AND(#REF!,"AAAAABf/OWU=")</f>
        <v>#REF!</v>
      </c>
      <c r="CY81" t="e">
        <f>AND(#REF!,"AAAAABf/OWY=")</f>
        <v>#REF!</v>
      </c>
      <c r="CZ81" t="e">
        <f>AND(#REF!,"AAAAABf/OWc=")</f>
        <v>#REF!</v>
      </c>
      <c r="DA81" t="e">
        <f>AND(#REF!,"AAAAABf/OWg=")</f>
        <v>#REF!</v>
      </c>
      <c r="DB81" t="e">
        <f>AND(#REF!,"AAAAABf/OWk=")</f>
        <v>#REF!</v>
      </c>
      <c r="DC81" t="e">
        <f>AND(#REF!,"AAAAABf/OWo=")</f>
        <v>#REF!</v>
      </c>
      <c r="DD81" t="e">
        <f>AND(#REF!,"AAAAABf/OWs=")</f>
        <v>#REF!</v>
      </c>
      <c r="DE81" t="e">
        <f>AND(#REF!,"AAAAABf/OWw=")</f>
        <v>#REF!</v>
      </c>
      <c r="DF81" t="e">
        <f>AND(#REF!,"AAAAABf/OW0=")</f>
        <v>#REF!</v>
      </c>
      <c r="DG81" t="e">
        <f>AND(#REF!,"AAAAABf/OW4=")</f>
        <v>#REF!</v>
      </c>
      <c r="DH81" t="e">
        <f>AND(#REF!,"AAAAABf/OW8=")</f>
        <v>#REF!</v>
      </c>
      <c r="DI81" t="e">
        <f>AND(#REF!,"AAAAABf/OXA=")</f>
        <v>#REF!</v>
      </c>
      <c r="DJ81" t="e">
        <f>AND(#REF!,"AAAAABf/OXE=")</f>
        <v>#REF!</v>
      </c>
      <c r="DK81" t="e">
        <f>AND(#REF!,"AAAAABf/OXI=")</f>
        <v>#REF!</v>
      </c>
      <c r="DL81" t="e">
        <f>AND(#REF!,"AAAAABf/OXM=")</f>
        <v>#REF!</v>
      </c>
      <c r="DM81" t="e">
        <f>AND(#REF!,"AAAAABf/OXQ=")</f>
        <v>#REF!</v>
      </c>
      <c r="DN81" t="e">
        <f>AND(#REF!,"AAAAABf/OXU=")</f>
        <v>#REF!</v>
      </c>
      <c r="DO81" t="e">
        <f>AND(#REF!,"AAAAABf/OXY=")</f>
        <v>#REF!</v>
      </c>
      <c r="DP81" t="e">
        <f>AND(#REF!,"AAAAABf/OXc=")</f>
        <v>#REF!</v>
      </c>
      <c r="DQ81" t="e">
        <f>AND(#REF!,"AAAAABf/OXg=")</f>
        <v>#REF!</v>
      </c>
      <c r="DR81" t="e">
        <f>AND(#REF!,"AAAAABf/OXk=")</f>
        <v>#REF!</v>
      </c>
      <c r="DS81" t="e">
        <f>AND(#REF!,"AAAAABf/OXo=")</f>
        <v>#REF!</v>
      </c>
      <c r="DT81" t="e">
        <f>AND(#REF!,"AAAAABf/OXs=")</f>
        <v>#REF!</v>
      </c>
      <c r="DU81" t="e">
        <f>AND(#REF!,"AAAAABf/OXw=")</f>
        <v>#REF!</v>
      </c>
      <c r="DV81" t="e">
        <f>AND(#REF!,"AAAAABf/OX0=")</f>
        <v>#REF!</v>
      </c>
      <c r="DW81" t="e">
        <f>AND(#REF!,"AAAAABf/OX4=")</f>
        <v>#REF!</v>
      </c>
      <c r="DX81" t="e">
        <f>AND(#REF!,"AAAAABf/OX8=")</f>
        <v>#REF!</v>
      </c>
      <c r="DY81" t="e">
        <f>AND(#REF!,"AAAAABf/OYA=")</f>
        <v>#REF!</v>
      </c>
      <c r="DZ81" t="e">
        <f>AND(#REF!,"AAAAABf/OYE=")</f>
        <v>#REF!</v>
      </c>
      <c r="EA81" t="e">
        <f>AND(#REF!,"AAAAABf/OYI=")</f>
        <v>#REF!</v>
      </c>
      <c r="EB81" t="e">
        <f>AND(#REF!,"AAAAABf/OYM=")</f>
        <v>#REF!</v>
      </c>
      <c r="EC81" t="e">
        <f>AND(#REF!,"AAAAABf/OYQ=")</f>
        <v>#REF!</v>
      </c>
      <c r="ED81" t="e">
        <f>AND(#REF!,"AAAAABf/OYU=")</f>
        <v>#REF!</v>
      </c>
      <c r="EE81" t="e">
        <f>AND(#REF!,"AAAAABf/OYY=")</f>
        <v>#REF!</v>
      </c>
      <c r="EF81" t="e">
        <f>AND(#REF!,"AAAAABf/OYc=")</f>
        <v>#REF!</v>
      </c>
      <c r="EG81" t="e">
        <f>AND(#REF!,"AAAAABf/OYg=")</f>
        <v>#REF!</v>
      </c>
      <c r="EH81" t="e">
        <f>AND(#REF!,"AAAAABf/OYk=")</f>
        <v>#REF!</v>
      </c>
      <c r="EI81" t="e">
        <f>AND(#REF!,"AAAAABf/OYo=")</f>
        <v>#REF!</v>
      </c>
      <c r="EJ81" t="e">
        <f>AND(#REF!,"AAAAABf/OYs=")</f>
        <v>#REF!</v>
      </c>
      <c r="EK81" t="e">
        <f>AND(#REF!,"AAAAABf/OYw=")</f>
        <v>#REF!</v>
      </c>
      <c r="EL81" t="e">
        <f>AND(#REF!,"AAAAABf/OY0=")</f>
        <v>#REF!</v>
      </c>
      <c r="EM81" t="e">
        <f>AND(#REF!,"AAAAABf/OY4=")</f>
        <v>#REF!</v>
      </c>
      <c r="EN81" t="e">
        <f>AND(#REF!,"AAAAABf/OY8=")</f>
        <v>#REF!</v>
      </c>
      <c r="EO81" t="e">
        <f>IF(#REF!,"AAAAABf/OZA=",0)</f>
        <v>#REF!</v>
      </c>
      <c r="EP81" t="e">
        <f>AND(#REF!,"AAAAABf/OZE=")</f>
        <v>#REF!</v>
      </c>
      <c r="EQ81" t="e">
        <f>AND(#REF!,"AAAAABf/OZI=")</f>
        <v>#REF!</v>
      </c>
      <c r="ER81" t="e">
        <f>AND(#REF!,"AAAAABf/OZM=")</f>
        <v>#REF!</v>
      </c>
      <c r="ES81" t="e">
        <f>AND(#REF!,"AAAAABf/OZQ=")</f>
        <v>#REF!</v>
      </c>
      <c r="ET81" t="e">
        <f>AND(#REF!,"AAAAABf/OZU=")</f>
        <v>#REF!</v>
      </c>
      <c r="EU81" t="e">
        <f>AND(#REF!,"AAAAABf/OZY=")</f>
        <v>#REF!</v>
      </c>
      <c r="EV81" t="e">
        <f>AND(#REF!,"AAAAABf/OZc=")</f>
        <v>#REF!</v>
      </c>
      <c r="EW81" t="e">
        <f>AND(#REF!,"AAAAABf/OZg=")</f>
        <v>#REF!</v>
      </c>
      <c r="EX81" t="e">
        <f>AND(#REF!,"AAAAABf/OZk=")</f>
        <v>#REF!</v>
      </c>
      <c r="EY81" t="e">
        <f>AND(#REF!,"AAAAABf/OZo=")</f>
        <v>#REF!</v>
      </c>
      <c r="EZ81" t="e">
        <f>AND(#REF!,"AAAAABf/OZs=")</f>
        <v>#REF!</v>
      </c>
      <c r="FA81" t="e">
        <f>AND(#REF!,"AAAAABf/OZw=")</f>
        <v>#REF!</v>
      </c>
      <c r="FB81" t="e">
        <f>AND(#REF!,"AAAAABf/OZ0=")</f>
        <v>#REF!</v>
      </c>
      <c r="FC81" t="e">
        <f>AND(#REF!,"AAAAABf/OZ4=")</f>
        <v>#REF!</v>
      </c>
      <c r="FD81" t="e">
        <f>AND(#REF!,"AAAAABf/OZ8=")</f>
        <v>#REF!</v>
      </c>
      <c r="FE81" t="e">
        <f>AND(#REF!,"AAAAABf/OaA=")</f>
        <v>#REF!</v>
      </c>
      <c r="FF81" t="e">
        <f>AND(#REF!,"AAAAABf/OaE=")</f>
        <v>#REF!</v>
      </c>
      <c r="FG81" t="e">
        <f>AND(#REF!,"AAAAABf/OaI=")</f>
        <v>#REF!</v>
      </c>
      <c r="FH81" t="e">
        <f>AND(#REF!,"AAAAABf/OaM=")</f>
        <v>#REF!</v>
      </c>
      <c r="FI81" t="e">
        <f>AND(#REF!,"AAAAABf/OaQ=")</f>
        <v>#REF!</v>
      </c>
      <c r="FJ81" t="e">
        <f>AND(#REF!,"AAAAABf/OaU=")</f>
        <v>#REF!</v>
      </c>
      <c r="FK81" t="e">
        <f>AND(#REF!,"AAAAABf/OaY=")</f>
        <v>#REF!</v>
      </c>
      <c r="FL81" t="e">
        <f>AND(#REF!,"AAAAABf/Oac=")</f>
        <v>#REF!</v>
      </c>
      <c r="FM81" t="e">
        <f>AND(#REF!,"AAAAABf/Oag=")</f>
        <v>#REF!</v>
      </c>
      <c r="FN81" t="e">
        <f>AND(#REF!,"AAAAABf/Oak=")</f>
        <v>#REF!</v>
      </c>
      <c r="FO81" t="e">
        <f>AND(#REF!,"AAAAABf/Oao=")</f>
        <v>#REF!</v>
      </c>
      <c r="FP81" t="e">
        <f>AND(#REF!,"AAAAABf/Oas=")</f>
        <v>#REF!</v>
      </c>
      <c r="FQ81" t="e">
        <f>AND(#REF!,"AAAAABf/Oaw=")</f>
        <v>#REF!</v>
      </c>
      <c r="FR81" t="e">
        <f>AND(#REF!,"AAAAABf/Oa0=")</f>
        <v>#REF!</v>
      </c>
      <c r="FS81" t="e">
        <f>AND(#REF!,"AAAAABf/Oa4=")</f>
        <v>#REF!</v>
      </c>
      <c r="FT81" t="e">
        <f>AND(#REF!,"AAAAABf/Oa8=")</f>
        <v>#REF!</v>
      </c>
      <c r="FU81" t="e">
        <f>AND(#REF!,"AAAAABf/ObA=")</f>
        <v>#REF!</v>
      </c>
      <c r="FV81" t="e">
        <f>AND(#REF!,"AAAAABf/ObE=")</f>
        <v>#REF!</v>
      </c>
      <c r="FW81" t="e">
        <f>AND(#REF!,"AAAAABf/ObI=")</f>
        <v>#REF!</v>
      </c>
      <c r="FX81" t="e">
        <f>AND(#REF!,"AAAAABf/ObM=")</f>
        <v>#REF!</v>
      </c>
      <c r="FY81" t="e">
        <f>AND(#REF!,"AAAAABf/ObQ=")</f>
        <v>#REF!</v>
      </c>
      <c r="FZ81" t="e">
        <f>AND(#REF!,"AAAAABf/ObU=")</f>
        <v>#REF!</v>
      </c>
      <c r="GA81" t="e">
        <f>AND(#REF!,"AAAAABf/ObY=")</f>
        <v>#REF!</v>
      </c>
      <c r="GB81" t="e">
        <f>AND(#REF!,"AAAAABf/Obc=")</f>
        <v>#REF!</v>
      </c>
      <c r="GC81" t="e">
        <f>AND(#REF!,"AAAAABf/Obg=")</f>
        <v>#REF!</v>
      </c>
      <c r="GD81" t="e">
        <f>AND(#REF!,"AAAAABf/Obk=")</f>
        <v>#REF!</v>
      </c>
      <c r="GE81" t="e">
        <f>AND(#REF!,"AAAAABf/Obo=")</f>
        <v>#REF!</v>
      </c>
      <c r="GF81" t="e">
        <f>AND(#REF!,"AAAAABf/Obs=")</f>
        <v>#REF!</v>
      </c>
      <c r="GG81" t="e">
        <f>AND(#REF!,"AAAAABf/Obw=")</f>
        <v>#REF!</v>
      </c>
      <c r="GH81" t="e">
        <f>AND(#REF!,"AAAAABf/Ob0=")</f>
        <v>#REF!</v>
      </c>
      <c r="GI81" t="e">
        <f>AND(#REF!,"AAAAABf/Ob4=")</f>
        <v>#REF!</v>
      </c>
      <c r="GJ81" t="e">
        <f>AND(#REF!,"AAAAABf/Ob8=")</f>
        <v>#REF!</v>
      </c>
      <c r="GK81" t="e">
        <f>AND(#REF!,"AAAAABf/OcA=")</f>
        <v>#REF!</v>
      </c>
      <c r="GL81" t="e">
        <f>AND(#REF!,"AAAAABf/OcE=")</f>
        <v>#REF!</v>
      </c>
      <c r="GM81" t="e">
        <f>AND(#REF!,"AAAAABf/OcI=")</f>
        <v>#REF!</v>
      </c>
      <c r="GN81" t="e">
        <f>AND(#REF!,"AAAAABf/OcM=")</f>
        <v>#REF!</v>
      </c>
      <c r="GO81" t="e">
        <f>AND(#REF!,"AAAAABf/OcQ=")</f>
        <v>#REF!</v>
      </c>
      <c r="GP81" t="e">
        <f>AND(#REF!,"AAAAABf/OcU=")</f>
        <v>#REF!</v>
      </c>
      <c r="GQ81" t="e">
        <f>AND(#REF!,"AAAAABf/OcY=")</f>
        <v>#REF!</v>
      </c>
      <c r="GR81" t="e">
        <f>AND(#REF!,"AAAAABf/Occ=")</f>
        <v>#REF!</v>
      </c>
      <c r="GS81" t="e">
        <f>AND(#REF!,"AAAAABf/Ocg=")</f>
        <v>#REF!</v>
      </c>
      <c r="GT81" t="e">
        <f>AND(#REF!,"AAAAABf/Ock=")</f>
        <v>#REF!</v>
      </c>
      <c r="GU81" t="e">
        <f>AND(#REF!,"AAAAABf/Oco=")</f>
        <v>#REF!</v>
      </c>
      <c r="GV81" t="e">
        <f>AND(#REF!,"AAAAABf/Ocs=")</f>
        <v>#REF!</v>
      </c>
      <c r="GW81" t="e">
        <f>AND(#REF!,"AAAAABf/Ocw=")</f>
        <v>#REF!</v>
      </c>
      <c r="GX81" t="e">
        <f>AND(#REF!,"AAAAABf/Oc0=")</f>
        <v>#REF!</v>
      </c>
      <c r="GY81" t="e">
        <f>AND(#REF!,"AAAAABf/Oc4=")</f>
        <v>#REF!</v>
      </c>
      <c r="GZ81" t="e">
        <f>AND(#REF!,"AAAAABf/Oc8=")</f>
        <v>#REF!</v>
      </c>
      <c r="HA81" t="e">
        <f>AND(#REF!,"AAAAABf/OdA=")</f>
        <v>#REF!</v>
      </c>
      <c r="HB81" t="e">
        <f>AND(#REF!,"AAAAABf/OdE=")</f>
        <v>#REF!</v>
      </c>
      <c r="HC81" t="e">
        <f>AND(#REF!,"AAAAABf/OdI=")</f>
        <v>#REF!</v>
      </c>
      <c r="HD81" t="e">
        <f>AND(#REF!,"AAAAABf/OdM=")</f>
        <v>#REF!</v>
      </c>
      <c r="HE81" t="e">
        <f>AND(#REF!,"AAAAABf/OdQ=")</f>
        <v>#REF!</v>
      </c>
      <c r="HF81" t="e">
        <f>AND(#REF!,"AAAAABf/OdU=")</f>
        <v>#REF!</v>
      </c>
      <c r="HG81" t="e">
        <f>AND(#REF!,"AAAAABf/OdY=")</f>
        <v>#REF!</v>
      </c>
      <c r="HH81" t="e">
        <f>AND(#REF!,"AAAAABf/Odc=")</f>
        <v>#REF!</v>
      </c>
      <c r="HI81" t="e">
        <f>AND(#REF!,"AAAAABf/Odg=")</f>
        <v>#REF!</v>
      </c>
      <c r="HJ81" t="e">
        <f>AND(#REF!,"AAAAABf/Odk=")</f>
        <v>#REF!</v>
      </c>
      <c r="HK81" t="e">
        <f>AND(#REF!,"AAAAABf/Odo=")</f>
        <v>#REF!</v>
      </c>
      <c r="HL81" t="e">
        <f>AND(#REF!,"AAAAABf/Ods=")</f>
        <v>#REF!</v>
      </c>
      <c r="HM81" t="e">
        <f>AND(#REF!,"AAAAABf/Odw=")</f>
        <v>#REF!</v>
      </c>
      <c r="HN81" t="e">
        <f>AND(#REF!,"AAAAABf/Od0=")</f>
        <v>#REF!</v>
      </c>
      <c r="HO81" t="e">
        <f>AND(#REF!,"AAAAABf/Od4=")</f>
        <v>#REF!</v>
      </c>
      <c r="HP81" t="e">
        <f>AND(#REF!,"AAAAABf/Od8=")</f>
        <v>#REF!</v>
      </c>
      <c r="HQ81" t="e">
        <f>AND(#REF!,"AAAAABf/OeA=")</f>
        <v>#REF!</v>
      </c>
      <c r="HR81" t="e">
        <f>AND(#REF!,"AAAAABf/OeE=")</f>
        <v>#REF!</v>
      </c>
      <c r="HS81" t="e">
        <f>AND(#REF!,"AAAAABf/OeI=")</f>
        <v>#REF!</v>
      </c>
      <c r="HT81" t="e">
        <f>AND(#REF!,"AAAAABf/OeM=")</f>
        <v>#REF!</v>
      </c>
      <c r="HU81" t="e">
        <f>AND(#REF!,"AAAAABf/OeQ=")</f>
        <v>#REF!</v>
      </c>
      <c r="HV81" t="e">
        <f>AND(#REF!,"AAAAABf/OeU=")</f>
        <v>#REF!</v>
      </c>
      <c r="HW81" t="e">
        <f>AND(#REF!,"AAAAABf/OeY=")</f>
        <v>#REF!</v>
      </c>
      <c r="HX81" t="e">
        <f>AND(#REF!,"AAAAABf/Oec=")</f>
        <v>#REF!</v>
      </c>
      <c r="HY81" t="e">
        <f>AND(#REF!,"AAAAABf/Oeg=")</f>
        <v>#REF!</v>
      </c>
      <c r="HZ81" t="e">
        <f>AND(#REF!,"AAAAABf/Oek=")</f>
        <v>#REF!</v>
      </c>
      <c r="IA81" t="e">
        <f>AND(#REF!,"AAAAABf/Oeo=")</f>
        <v>#REF!</v>
      </c>
      <c r="IB81" t="e">
        <f>AND(#REF!,"AAAAABf/Oes=")</f>
        <v>#REF!</v>
      </c>
      <c r="IC81" t="e">
        <f>AND(#REF!,"AAAAABf/Oew=")</f>
        <v>#REF!</v>
      </c>
      <c r="ID81" t="e">
        <f>AND(#REF!,"AAAAABf/Oe0=")</f>
        <v>#REF!</v>
      </c>
      <c r="IE81" t="e">
        <f>AND(#REF!,"AAAAABf/Oe4=")</f>
        <v>#REF!</v>
      </c>
      <c r="IF81" t="e">
        <f>AND(#REF!,"AAAAABf/Oe8=")</f>
        <v>#REF!</v>
      </c>
      <c r="IG81" t="e">
        <f>AND(#REF!,"AAAAABf/OfA=")</f>
        <v>#REF!</v>
      </c>
      <c r="IH81" t="e">
        <f>AND(#REF!,"AAAAABf/OfE=")</f>
        <v>#REF!</v>
      </c>
      <c r="II81" t="e">
        <f>AND(#REF!,"AAAAABf/OfI=")</f>
        <v>#REF!</v>
      </c>
      <c r="IJ81" t="e">
        <f>AND(#REF!,"AAAAABf/OfM=")</f>
        <v>#REF!</v>
      </c>
      <c r="IK81" t="e">
        <f>AND(#REF!,"AAAAABf/OfQ=")</f>
        <v>#REF!</v>
      </c>
      <c r="IL81" t="e">
        <f>AND(#REF!,"AAAAABf/OfU=")</f>
        <v>#REF!</v>
      </c>
      <c r="IM81" t="e">
        <f>AND(#REF!,"AAAAABf/OfY=")</f>
        <v>#REF!</v>
      </c>
      <c r="IN81" t="e">
        <f>AND(#REF!,"AAAAABf/Ofc=")</f>
        <v>#REF!</v>
      </c>
      <c r="IO81" t="e">
        <f>AND(#REF!,"AAAAABf/Ofg=")</f>
        <v>#REF!</v>
      </c>
      <c r="IP81" t="e">
        <f>AND(#REF!,"AAAAABf/Ofk=")</f>
        <v>#REF!</v>
      </c>
      <c r="IQ81" t="e">
        <f>AND(#REF!,"AAAAABf/Ofo=")</f>
        <v>#REF!</v>
      </c>
      <c r="IR81" t="e">
        <f>AND(#REF!,"AAAAABf/Ofs=")</f>
        <v>#REF!</v>
      </c>
      <c r="IS81" t="e">
        <f>AND(#REF!,"AAAAABf/Ofw=")</f>
        <v>#REF!</v>
      </c>
      <c r="IT81" t="e">
        <f>AND(#REF!,"AAAAABf/Of0=")</f>
        <v>#REF!</v>
      </c>
      <c r="IU81" t="e">
        <f>AND(#REF!,"AAAAABf/Of4=")</f>
        <v>#REF!</v>
      </c>
      <c r="IV81" t="e">
        <f>AND(#REF!,"AAAAABf/Of8=")</f>
        <v>#REF!</v>
      </c>
    </row>
    <row r="82" spans="1:256">
      <c r="A82" t="e">
        <f>AND(#REF!,"AAAAAF+//wA=")</f>
        <v>#REF!</v>
      </c>
      <c r="B82" t="e">
        <f>AND(#REF!,"AAAAAF+//wE=")</f>
        <v>#REF!</v>
      </c>
      <c r="C82" t="e">
        <f>AND(#REF!,"AAAAAF+//wI=")</f>
        <v>#REF!</v>
      </c>
      <c r="D82" t="e">
        <f>AND(#REF!,"AAAAAF+//wM=")</f>
        <v>#REF!</v>
      </c>
      <c r="E82" t="e">
        <f>AND(#REF!,"AAAAAF+//wQ=")</f>
        <v>#REF!</v>
      </c>
      <c r="F82" t="e">
        <f>AND(#REF!,"AAAAAF+//wU=")</f>
        <v>#REF!</v>
      </c>
      <c r="G82" t="e">
        <f>AND(#REF!,"AAAAAF+//wY=")</f>
        <v>#REF!</v>
      </c>
      <c r="H82" t="e">
        <f>AND(#REF!,"AAAAAF+//wc=")</f>
        <v>#REF!</v>
      </c>
      <c r="I82" t="e">
        <f>AND(#REF!,"AAAAAF+//wg=")</f>
        <v>#REF!</v>
      </c>
      <c r="J82" t="e">
        <f>AND(#REF!,"AAAAAF+//wk=")</f>
        <v>#REF!</v>
      </c>
      <c r="K82" t="e">
        <f>AND(#REF!,"AAAAAF+//wo=")</f>
        <v>#REF!</v>
      </c>
      <c r="L82" t="e">
        <f>AND(#REF!,"AAAAAF+//ws=")</f>
        <v>#REF!</v>
      </c>
      <c r="M82" t="e">
        <f>AND(#REF!,"AAAAAF+//ww=")</f>
        <v>#REF!</v>
      </c>
      <c r="N82" t="e">
        <f>AND(#REF!,"AAAAAF+//w0=")</f>
        <v>#REF!</v>
      </c>
      <c r="O82" t="e">
        <f>AND(#REF!,"AAAAAF+//w4=")</f>
        <v>#REF!</v>
      </c>
      <c r="P82" t="e">
        <f>AND(#REF!,"AAAAAF+//w8=")</f>
        <v>#REF!</v>
      </c>
      <c r="Q82" t="e">
        <f>IF(#REF!,"AAAAAF+//xA=",0)</f>
        <v>#REF!</v>
      </c>
      <c r="R82" t="e">
        <f>AND(#REF!,"AAAAAF+//xE=")</f>
        <v>#REF!</v>
      </c>
      <c r="S82" t="e">
        <f>AND(#REF!,"AAAAAF+//xI=")</f>
        <v>#REF!</v>
      </c>
      <c r="T82" t="e">
        <f>AND(#REF!,"AAAAAF+//xM=")</f>
        <v>#REF!</v>
      </c>
      <c r="U82" t="e">
        <f>AND(#REF!,"AAAAAF+//xQ=")</f>
        <v>#REF!</v>
      </c>
      <c r="V82" t="e">
        <f>AND(#REF!,"AAAAAF+//xU=")</f>
        <v>#REF!</v>
      </c>
      <c r="W82" t="e">
        <f>AND(#REF!,"AAAAAF+//xY=")</f>
        <v>#REF!</v>
      </c>
      <c r="X82" t="e">
        <f>AND(#REF!,"AAAAAF+//xc=")</f>
        <v>#REF!</v>
      </c>
      <c r="Y82" t="e">
        <f>AND(#REF!,"AAAAAF+//xg=")</f>
        <v>#REF!</v>
      </c>
      <c r="Z82" t="e">
        <f>AND(#REF!,"AAAAAF+//xk=")</f>
        <v>#REF!</v>
      </c>
      <c r="AA82" t="e">
        <f>AND(#REF!,"AAAAAF+//xo=")</f>
        <v>#REF!</v>
      </c>
      <c r="AB82" t="e">
        <f>AND(#REF!,"AAAAAF+//xs=")</f>
        <v>#REF!</v>
      </c>
      <c r="AC82" t="e">
        <f>AND(#REF!,"AAAAAF+//xw=")</f>
        <v>#REF!</v>
      </c>
      <c r="AD82" t="e">
        <f>AND(#REF!,"AAAAAF+//x0=")</f>
        <v>#REF!</v>
      </c>
      <c r="AE82" t="e">
        <f>AND(#REF!,"AAAAAF+//x4=")</f>
        <v>#REF!</v>
      </c>
      <c r="AF82" t="e">
        <f>AND(#REF!,"AAAAAF+//x8=")</f>
        <v>#REF!</v>
      </c>
      <c r="AG82" t="e">
        <f>AND(#REF!,"AAAAAF+//yA=")</f>
        <v>#REF!</v>
      </c>
      <c r="AH82" t="e">
        <f>AND(#REF!,"AAAAAF+//yE=")</f>
        <v>#REF!</v>
      </c>
      <c r="AI82" t="e">
        <f>AND(#REF!,"AAAAAF+//yI=")</f>
        <v>#REF!</v>
      </c>
      <c r="AJ82" t="e">
        <f>AND(#REF!,"AAAAAF+//yM=")</f>
        <v>#REF!</v>
      </c>
      <c r="AK82" t="e">
        <f>AND(#REF!,"AAAAAF+//yQ=")</f>
        <v>#REF!</v>
      </c>
      <c r="AL82" t="e">
        <f>AND(#REF!,"AAAAAF+//yU=")</f>
        <v>#REF!</v>
      </c>
      <c r="AM82" t="e">
        <f>AND(#REF!,"AAAAAF+//yY=")</f>
        <v>#REF!</v>
      </c>
      <c r="AN82" t="e">
        <f>AND(#REF!,"AAAAAF+//yc=")</f>
        <v>#REF!</v>
      </c>
      <c r="AO82" t="e">
        <f>AND(#REF!,"AAAAAF+//yg=")</f>
        <v>#REF!</v>
      </c>
      <c r="AP82" t="e">
        <f>AND(#REF!,"AAAAAF+//yk=")</f>
        <v>#REF!</v>
      </c>
      <c r="AQ82" t="e">
        <f>AND(#REF!,"AAAAAF+//yo=")</f>
        <v>#REF!</v>
      </c>
      <c r="AR82" t="e">
        <f>AND(#REF!,"AAAAAF+//ys=")</f>
        <v>#REF!</v>
      </c>
      <c r="AS82" t="e">
        <f>AND(#REF!,"AAAAAF+//yw=")</f>
        <v>#REF!</v>
      </c>
      <c r="AT82" t="e">
        <f>AND(#REF!,"AAAAAF+//y0=")</f>
        <v>#REF!</v>
      </c>
      <c r="AU82" t="e">
        <f>AND(#REF!,"AAAAAF+//y4=")</f>
        <v>#REF!</v>
      </c>
      <c r="AV82" t="e">
        <f>AND(#REF!,"AAAAAF+//y8=")</f>
        <v>#REF!</v>
      </c>
      <c r="AW82" t="e">
        <f>AND(#REF!,"AAAAAF+//zA=")</f>
        <v>#REF!</v>
      </c>
      <c r="AX82" t="e">
        <f>AND(#REF!,"AAAAAF+//zE=")</f>
        <v>#REF!</v>
      </c>
      <c r="AY82" t="e">
        <f>AND(#REF!,"AAAAAF+//zI=")</f>
        <v>#REF!</v>
      </c>
      <c r="AZ82" t="e">
        <f>AND(#REF!,"AAAAAF+//zM=")</f>
        <v>#REF!</v>
      </c>
      <c r="BA82" t="e">
        <f>AND(#REF!,"AAAAAF+//zQ=")</f>
        <v>#REF!</v>
      </c>
      <c r="BB82" t="e">
        <f>AND(#REF!,"AAAAAF+//zU=")</f>
        <v>#REF!</v>
      </c>
      <c r="BC82" t="e">
        <f>AND(#REF!,"AAAAAF+//zY=")</f>
        <v>#REF!</v>
      </c>
      <c r="BD82" t="e">
        <f>AND(#REF!,"AAAAAF+//zc=")</f>
        <v>#REF!</v>
      </c>
      <c r="BE82" t="e">
        <f>AND(#REF!,"AAAAAF+//zg=")</f>
        <v>#REF!</v>
      </c>
      <c r="BF82" t="e">
        <f>AND(#REF!,"AAAAAF+//zk=")</f>
        <v>#REF!</v>
      </c>
      <c r="BG82" t="e">
        <f>AND(#REF!,"AAAAAF+//zo=")</f>
        <v>#REF!</v>
      </c>
      <c r="BH82" t="e">
        <f>AND(#REF!,"AAAAAF+//zs=")</f>
        <v>#REF!</v>
      </c>
      <c r="BI82" t="e">
        <f>AND(#REF!,"AAAAAF+//zw=")</f>
        <v>#REF!</v>
      </c>
      <c r="BJ82" t="e">
        <f>AND(#REF!,"AAAAAF+//z0=")</f>
        <v>#REF!</v>
      </c>
      <c r="BK82" t="e">
        <f>AND(#REF!,"AAAAAF+//z4=")</f>
        <v>#REF!</v>
      </c>
      <c r="BL82" t="e">
        <f>AND(#REF!,"AAAAAF+//z8=")</f>
        <v>#REF!</v>
      </c>
      <c r="BM82" t="e">
        <f>AND(#REF!,"AAAAAF+//0A=")</f>
        <v>#REF!</v>
      </c>
      <c r="BN82" t="e">
        <f>AND(#REF!,"AAAAAF+//0E=")</f>
        <v>#REF!</v>
      </c>
      <c r="BO82" t="e">
        <f>AND(#REF!,"AAAAAF+//0I=")</f>
        <v>#REF!</v>
      </c>
      <c r="BP82" t="e">
        <f>AND(#REF!,"AAAAAF+//0M=")</f>
        <v>#REF!</v>
      </c>
      <c r="BQ82" t="e">
        <f>AND(#REF!,"AAAAAF+//0Q=")</f>
        <v>#REF!</v>
      </c>
      <c r="BR82" t="e">
        <f>AND(#REF!,"AAAAAF+//0U=")</f>
        <v>#REF!</v>
      </c>
      <c r="BS82" t="e">
        <f>AND(#REF!,"AAAAAF+//0Y=")</f>
        <v>#REF!</v>
      </c>
      <c r="BT82" t="e">
        <f>AND(#REF!,"AAAAAF+//0c=")</f>
        <v>#REF!</v>
      </c>
      <c r="BU82" t="e">
        <f>AND(#REF!,"AAAAAF+//0g=")</f>
        <v>#REF!</v>
      </c>
      <c r="BV82" t="e">
        <f>AND(#REF!,"AAAAAF+//0k=")</f>
        <v>#REF!</v>
      </c>
      <c r="BW82" t="e">
        <f>AND(#REF!,"AAAAAF+//0o=")</f>
        <v>#REF!</v>
      </c>
      <c r="BX82" t="e">
        <f>AND(#REF!,"AAAAAF+//0s=")</f>
        <v>#REF!</v>
      </c>
      <c r="BY82" t="e">
        <f>AND(#REF!,"AAAAAF+//0w=")</f>
        <v>#REF!</v>
      </c>
      <c r="BZ82" t="e">
        <f>AND(#REF!,"AAAAAF+//00=")</f>
        <v>#REF!</v>
      </c>
      <c r="CA82" t="e">
        <f>AND(#REF!,"AAAAAF+//04=")</f>
        <v>#REF!</v>
      </c>
      <c r="CB82" t="e">
        <f>AND(#REF!,"AAAAAF+//08=")</f>
        <v>#REF!</v>
      </c>
      <c r="CC82" t="e">
        <f>AND(#REF!,"AAAAAF+//1A=")</f>
        <v>#REF!</v>
      </c>
      <c r="CD82" t="e">
        <f>AND(#REF!,"AAAAAF+//1E=")</f>
        <v>#REF!</v>
      </c>
      <c r="CE82" t="e">
        <f>AND(#REF!,"AAAAAF+//1I=")</f>
        <v>#REF!</v>
      </c>
      <c r="CF82" t="e">
        <f>AND(#REF!,"AAAAAF+//1M=")</f>
        <v>#REF!</v>
      </c>
      <c r="CG82" t="e">
        <f>AND(#REF!,"AAAAAF+//1Q=")</f>
        <v>#REF!</v>
      </c>
      <c r="CH82" t="e">
        <f>AND(#REF!,"AAAAAF+//1U=")</f>
        <v>#REF!</v>
      </c>
      <c r="CI82" t="e">
        <f>AND(#REF!,"AAAAAF+//1Y=")</f>
        <v>#REF!</v>
      </c>
      <c r="CJ82" t="e">
        <f>AND(#REF!,"AAAAAF+//1c=")</f>
        <v>#REF!</v>
      </c>
      <c r="CK82" t="e">
        <f>AND(#REF!,"AAAAAF+//1g=")</f>
        <v>#REF!</v>
      </c>
      <c r="CL82" t="e">
        <f>AND(#REF!,"AAAAAF+//1k=")</f>
        <v>#REF!</v>
      </c>
      <c r="CM82" t="e">
        <f>AND(#REF!,"AAAAAF+//1o=")</f>
        <v>#REF!</v>
      </c>
      <c r="CN82" t="e">
        <f>AND(#REF!,"AAAAAF+//1s=")</f>
        <v>#REF!</v>
      </c>
      <c r="CO82" t="e">
        <f>AND(#REF!,"AAAAAF+//1w=")</f>
        <v>#REF!</v>
      </c>
      <c r="CP82" t="e">
        <f>AND(#REF!,"AAAAAF+//10=")</f>
        <v>#REF!</v>
      </c>
      <c r="CQ82" t="e">
        <f>AND(#REF!,"AAAAAF+//14=")</f>
        <v>#REF!</v>
      </c>
      <c r="CR82" t="e">
        <f>AND(#REF!,"AAAAAF+//18=")</f>
        <v>#REF!</v>
      </c>
      <c r="CS82" t="e">
        <f>AND(#REF!,"AAAAAF+//2A=")</f>
        <v>#REF!</v>
      </c>
      <c r="CT82" t="e">
        <f>AND(#REF!,"AAAAAF+//2E=")</f>
        <v>#REF!</v>
      </c>
      <c r="CU82" t="e">
        <f>AND(#REF!,"AAAAAF+//2I=")</f>
        <v>#REF!</v>
      </c>
      <c r="CV82" t="e">
        <f>AND(#REF!,"AAAAAF+//2M=")</f>
        <v>#REF!</v>
      </c>
      <c r="CW82" t="e">
        <f>AND(#REF!,"AAAAAF+//2Q=")</f>
        <v>#REF!</v>
      </c>
      <c r="CX82" t="e">
        <f>AND(#REF!,"AAAAAF+//2U=")</f>
        <v>#REF!</v>
      </c>
      <c r="CY82" t="e">
        <f>AND(#REF!,"AAAAAF+//2Y=")</f>
        <v>#REF!</v>
      </c>
      <c r="CZ82" t="e">
        <f>AND(#REF!,"AAAAAF+//2c=")</f>
        <v>#REF!</v>
      </c>
      <c r="DA82" t="e">
        <f>AND(#REF!,"AAAAAF+//2g=")</f>
        <v>#REF!</v>
      </c>
      <c r="DB82" t="e">
        <f>AND(#REF!,"AAAAAF+//2k=")</f>
        <v>#REF!</v>
      </c>
      <c r="DC82" t="e">
        <f>AND(#REF!,"AAAAAF+//2o=")</f>
        <v>#REF!</v>
      </c>
      <c r="DD82" t="e">
        <f>AND(#REF!,"AAAAAF+//2s=")</f>
        <v>#REF!</v>
      </c>
      <c r="DE82" t="e">
        <f>AND(#REF!,"AAAAAF+//2w=")</f>
        <v>#REF!</v>
      </c>
      <c r="DF82" t="e">
        <f>AND(#REF!,"AAAAAF+//20=")</f>
        <v>#REF!</v>
      </c>
      <c r="DG82" t="e">
        <f>AND(#REF!,"AAAAAF+//24=")</f>
        <v>#REF!</v>
      </c>
      <c r="DH82" t="e">
        <f>AND(#REF!,"AAAAAF+//28=")</f>
        <v>#REF!</v>
      </c>
      <c r="DI82" t="e">
        <f>AND(#REF!,"AAAAAF+//3A=")</f>
        <v>#REF!</v>
      </c>
      <c r="DJ82" t="e">
        <f>AND(#REF!,"AAAAAF+//3E=")</f>
        <v>#REF!</v>
      </c>
      <c r="DK82" t="e">
        <f>AND(#REF!,"AAAAAF+//3I=")</f>
        <v>#REF!</v>
      </c>
      <c r="DL82" t="e">
        <f>AND(#REF!,"AAAAAF+//3M=")</f>
        <v>#REF!</v>
      </c>
      <c r="DM82" t="e">
        <f>AND(#REF!,"AAAAAF+//3Q=")</f>
        <v>#REF!</v>
      </c>
      <c r="DN82" t="e">
        <f>AND(#REF!,"AAAAAF+//3U=")</f>
        <v>#REF!</v>
      </c>
      <c r="DO82" t="e">
        <f>AND(#REF!,"AAAAAF+//3Y=")</f>
        <v>#REF!</v>
      </c>
      <c r="DP82" t="e">
        <f>AND(#REF!,"AAAAAF+//3c=")</f>
        <v>#REF!</v>
      </c>
      <c r="DQ82" t="e">
        <f>AND(#REF!,"AAAAAF+//3g=")</f>
        <v>#REF!</v>
      </c>
      <c r="DR82" t="e">
        <f>AND(#REF!,"AAAAAF+//3k=")</f>
        <v>#REF!</v>
      </c>
      <c r="DS82" t="e">
        <f>AND(#REF!,"AAAAAF+//3o=")</f>
        <v>#REF!</v>
      </c>
      <c r="DT82" t="e">
        <f>AND(#REF!,"AAAAAF+//3s=")</f>
        <v>#REF!</v>
      </c>
      <c r="DU82" t="e">
        <f>AND(#REF!,"AAAAAF+//3w=")</f>
        <v>#REF!</v>
      </c>
      <c r="DV82" t="e">
        <f>AND(#REF!,"AAAAAF+//30=")</f>
        <v>#REF!</v>
      </c>
      <c r="DW82" t="e">
        <f>AND(#REF!,"AAAAAF+//34=")</f>
        <v>#REF!</v>
      </c>
      <c r="DX82" t="e">
        <f>AND(#REF!,"AAAAAF+//38=")</f>
        <v>#REF!</v>
      </c>
      <c r="DY82" t="e">
        <f>AND(#REF!,"AAAAAF+//4A=")</f>
        <v>#REF!</v>
      </c>
      <c r="DZ82" t="e">
        <f>AND(#REF!,"AAAAAF+//4E=")</f>
        <v>#REF!</v>
      </c>
      <c r="EA82" t="e">
        <f>AND(#REF!,"AAAAAF+//4I=")</f>
        <v>#REF!</v>
      </c>
      <c r="EB82" t="e">
        <f>AND(#REF!,"AAAAAF+//4M=")</f>
        <v>#REF!</v>
      </c>
      <c r="EC82" t="e">
        <f>AND(#REF!,"AAAAAF+//4Q=")</f>
        <v>#REF!</v>
      </c>
      <c r="ED82" t="e">
        <f>AND(#REF!,"AAAAAF+//4U=")</f>
        <v>#REF!</v>
      </c>
      <c r="EE82" t="e">
        <f>AND(#REF!,"AAAAAF+//4Y=")</f>
        <v>#REF!</v>
      </c>
      <c r="EF82" t="e">
        <f>AND(#REF!,"AAAAAF+//4c=")</f>
        <v>#REF!</v>
      </c>
      <c r="EG82" t="e">
        <f>AND(#REF!,"AAAAAF+//4g=")</f>
        <v>#REF!</v>
      </c>
      <c r="EH82" t="e">
        <f>AND(#REF!,"AAAAAF+//4k=")</f>
        <v>#REF!</v>
      </c>
      <c r="EI82" t="e">
        <f>AND(#REF!,"AAAAAF+//4o=")</f>
        <v>#REF!</v>
      </c>
      <c r="EJ82" t="e">
        <f>AND(#REF!,"AAAAAF+//4s=")</f>
        <v>#REF!</v>
      </c>
      <c r="EK82" t="e">
        <f>AND(#REF!,"AAAAAF+//4w=")</f>
        <v>#REF!</v>
      </c>
      <c r="EL82" t="e">
        <f>AND(#REF!,"AAAAAF+//40=")</f>
        <v>#REF!</v>
      </c>
      <c r="EM82" t="e">
        <f>AND(#REF!,"AAAAAF+//44=")</f>
        <v>#REF!</v>
      </c>
      <c r="EN82" t="e">
        <f>AND(#REF!,"AAAAAF+//48=")</f>
        <v>#REF!</v>
      </c>
      <c r="EO82" t="e">
        <f>IF(#REF!,"AAAAAF+//5A=",0)</f>
        <v>#REF!</v>
      </c>
      <c r="EP82" t="e">
        <f>AND(#REF!,"AAAAAF+//5E=")</f>
        <v>#REF!</v>
      </c>
      <c r="EQ82" t="e">
        <f>AND(#REF!,"AAAAAF+//5I=")</f>
        <v>#REF!</v>
      </c>
      <c r="ER82" t="e">
        <f>AND(#REF!,"AAAAAF+//5M=")</f>
        <v>#REF!</v>
      </c>
      <c r="ES82" t="e">
        <f>AND(#REF!,"AAAAAF+//5Q=")</f>
        <v>#REF!</v>
      </c>
      <c r="ET82" t="e">
        <f>AND(#REF!,"AAAAAF+//5U=")</f>
        <v>#REF!</v>
      </c>
      <c r="EU82" t="e">
        <f>AND(#REF!,"AAAAAF+//5Y=")</f>
        <v>#REF!</v>
      </c>
      <c r="EV82" t="e">
        <f>AND(#REF!,"AAAAAF+//5c=")</f>
        <v>#REF!</v>
      </c>
      <c r="EW82" t="e">
        <f>AND(#REF!,"AAAAAF+//5g=")</f>
        <v>#REF!</v>
      </c>
      <c r="EX82" t="e">
        <f>AND(#REF!,"AAAAAF+//5k=")</f>
        <v>#REF!</v>
      </c>
      <c r="EY82" t="e">
        <f>AND(#REF!,"AAAAAF+//5o=")</f>
        <v>#REF!</v>
      </c>
      <c r="EZ82" t="e">
        <f>AND(#REF!,"AAAAAF+//5s=")</f>
        <v>#REF!</v>
      </c>
      <c r="FA82" t="e">
        <f>AND(#REF!,"AAAAAF+//5w=")</f>
        <v>#REF!</v>
      </c>
      <c r="FB82" t="e">
        <f>AND(#REF!,"AAAAAF+//50=")</f>
        <v>#REF!</v>
      </c>
      <c r="FC82" t="e">
        <f>AND(#REF!,"AAAAAF+//54=")</f>
        <v>#REF!</v>
      </c>
      <c r="FD82" t="e">
        <f>AND(#REF!,"AAAAAF+//58=")</f>
        <v>#REF!</v>
      </c>
      <c r="FE82" t="e">
        <f>AND(#REF!,"AAAAAF+//6A=")</f>
        <v>#REF!</v>
      </c>
      <c r="FF82" t="e">
        <f>AND(#REF!,"AAAAAF+//6E=")</f>
        <v>#REF!</v>
      </c>
      <c r="FG82" t="e">
        <f>AND(#REF!,"AAAAAF+//6I=")</f>
        <v>#REF!</v>
      </c>
      <c r="FH82" t="e">
        <f>AND(#REF!,"AAAAAF+//6M=")</f>
        <v>#REF!</v>
      </c>
      <c r="FI82" t="e">
        <f>AND(#REF!,"AAAAAF+//6Q=")</f>
        <v>#REF!</v>
      </c>
      <c r="FJ82" t="e">
        <f>AND(#REF!,"AAAAAF+//6U=")</f>
        <v>#REF!</v>
      </c>
      <c r="FK82" t="e">
        <f>AND(#REF!,"AAAAAF+//6Y=")</f>
        <v>#REF!</v>
      </c>
      <c r="FL82" t="e">
        <f>AND(#REF!,"AAAAAF+//6c=")</f>
        <v>#REF!</v>
      </c>
      <c r="FM82" t="e">
        <f>AND(#REF!,"AAAAAF+//6g=")</f>
        <v>#REF!</v>
      </c>
      <c r="FN82" t="e">
        <f>AND(#REF!,"AAAAAF+//6k=")</f>
        <v>#REF!</v>
      </c>
      <c r="FO82" t="e">
        <f>AND(#REF!,"AAAAAF+//6o=")</f>
        <v>#REF!</v>
      </c>
      <c r="FP82" t="e">
        <f>AND(#REF!,"AAAAAF+//6s=")</f>
        <v>#REF!</v>
      </c>
      <c r="FQ82" t="e">
        <f>AND(#REF!,"AAAAAF+//6w=")</f>
        <v>#REF!</v>
      </c>
      <c r="FR82" t="e">
        <f>AND(#REF!,"AAAAAF+//60=")</f>
        <v>#REF!</v>
      </c>
      <c r="FS82" t="e">
        <f>AND(#REF!,"AAAAAF+//64=")</f>
        <v>#REF!</v>
      </c>
      <c r="FT82" t="e">
        <f>AND(#REF!,"AAAAAF+//68=")</f>
        <v>#REF!</v>
      </c>
      <c r="FU82" t="e">
        <f>AND(#REF!,"AAAAAF+//7A=")</f>
        <v>#REF!</v>
      </c>
      <c r="FV82" t="e">
        <f>AND(#REF!,"AAAAAF+//7E=")</f>
        <v>#REF!</v>
      </c>
      <c r="FW82" t="e">
        <f>AND(#REF!,"AAAAAF+//7I=")</f>
        <v>#REF!</v>
      </c>
      <c r="FX82" t="e">
        <f>AND(#REF!,"AAAAAF+//7M=")</f>
        <v>#REF!</v>
      </c>
      <c r="FY82" t="e">
        <f>AND(#REF!,"AAAAAF+//7Q=")</f>
        <v>#REF!</v>
      </c>
      <c r="FZ82" t="e">
        <f>AND(#REF!,"AAAAAF+//7U=")</f>
        <v>#REF!</v>
      </c>
      <c r="GA82" t="e">
        <f>AND(#REF!,"AAAAAF+//7Y=")</f>
        <v>#REF!</v>
      </c>
      <c r="GB82" t="e">
        <f>AND(#REF!,"AAAAAF+//7c=")</f>
        <v>#REF!</v>
      </c>
      <c r="GC82" t="e">
        <f>AND(#REF!,"AAAAAF+//7g=")</f>
        <v>#REF!</v>
      </c>
      <c r="GD82" t="e">
        <f>AND(#REF!,"AAAAAF+//7k=")</f>
        <v>#REF!</v>
      </c>
      <c r="GE82" t="e">
        <f>AND(#REF!,"AAAAAF+//7o=")</f>
        <v>#REF!</v>
      </c>
      <c r="GF82" t="e">
        <f>AND(#REF!,"AAAAAF+//7s=")</f>
        <v>#REF!</v>
      </c>
      <c r="GG82" t="e">
        <f>AND(#REF!,"AAAAAF+//7w=")</f>
        <v>#REF!</v>
      </c>
      <c r="GH82" t="e">
        <f>AND(#REF!,"AAAAAF+//70=")</f>
        <v>#REF!</v>
      </c>
      <c r="GI82" t="e">
        <f>AND(#REF!,"AAAAAF+//74=")</f>
        <v>#REF!</v>
      </c>
      <c r="GJ82" t="e">
        <f>AND(#REF!,"AAAAAF+//78=")</f>
        <v>#REF!</v>
      </c>
      <c r="GK82" t="e">
        <f>AND(#REF!,"AAAAAF+//8A=")</f>
        <v>#REF!</v>
      </c>
      <c r="GL82" t="e">
        <f>AND(#REF!,"AAAAAF+//8E=")</f>
        <v>#REF!</v>
      </c>
      <c r="GM82" t="e">
        <f>AND(#REF!,"AAAAAF+//8I=")</f>
        <v>#REF!</v>
      </c>
      <c r="GN82" t="e">
        <f>AND(#REF!,"AAAAAF+//8M=")</f>
        <v>#REF!</v>
      </c>
      <c r="GO82" t="e">
        <f>AND(#REF!,"AAAAAF+//8Q=")</f>
        <v>#REF!</v>
      </c>
      <c r="GP82" t="e">
        <f>AND(#REF!,"AAAAAF+//8U=")</f>
        <v>#REF!</v>
      </c>
      <c r="GQ82" t="e">
        <f>AND(#REF!,"AAAAAF+//8Y=")</f>
        <v>#REF!</v>
      </c>
      <c r="GR82" t="e">
        <f>AND(#REF!,"AAAAAF+//8c=")</f>
        <v>#REF!</v>
      </c>
      <c r="GS82" t="e">
        <f>AND(#REF!,"AAAAAF+//8g=")</f>
        <v>#REF!</v>
      </c>
      <c r="GT82" t="e">
        <f>AND(#REF!,"AAAAAF+//8k=")</f>
        <v>#REF!</v>
      </c>
      <c r="GU82" t="e">
        <f>AND(#REF!,"AAAAAF+//8o=")</f>
        <v>#REF!</v>
      </c>
      <c r="GV82" t="e">
        <f>AND(#REF!,"AAAAAF+//8s=")</f>
        <v>#REF!</v>
      </c>
      <c r="GW82" t="e">
        <f>AND(#REF!,"AAAAAF+//8w=")</f>
        <v>#REF!</v>
      </c>
      <c r="GX82" t="e">
        <f>AND(#REF!,"AAAAAF+//80=")</f>
        <v>#REF!</v>
      </c>
      <c r="GY82" t="e">
        <f>AND(#REF!,"AAAAAF+//84=")</f>
        <v>#REF!</v>
      </c>
      <c r="GZ82" t="e">
        <f>AND(#REF!,"AAAAAF+//88=")</f>
        <v>#REF!</v>
      </c>
      <c r="HA82" t="e">
        <f>AND(#REF!,"AAAAAF+//9A=")</f>
        <v>#REF!</v>
      </c>
      <c r="HB82" t="e">
        <f>AND(#REF!,"AAAAAF+//9E=")</f>
        <v>#REF!</v>
      </c>
      <c r="HC82" t="e">
        <f>AND(#REF!,"AAAAAF+//9I=")</f>
        <v>#REF!</v>
      </c>
      <c r="HD82" t="e">
        <f>AND(#REF!,"AAAAAF+//9M=")</f>
        <v>#REF!</v>
      </c>
      <c r="HE82" t="e">
        <f>AND(#REF!,"AAAAAF+//9Q=")</f>
        <v>#REF!</v>
      </c>
      <c r="HF82" t="e">
        <f>AND(#REF!,"AAAAAF+//9U=")</f>
        <v>#REF!</v>
      </c>
      <c r="HG82" t="e">
        <f>AND(#REF!,"AAAAAF+//9Y=")</f>
        <v>#REF!</v>
      </c>
      <c r="HH82" t="e">
        <f>AND(#REF!,"AAAAAF+//9c=")</f>
        <v>#REF!</v>
      </c>
      <c r="HI82" t="e">
        <f>AND(#REF!,"AAAAAF+//9g=")</f>
        <v>#REF!</v>
      </c>
      <c r="HJ82" t="e">
        <f>AND(#REF!,"AAAAAF+//9k=")</f>
        <v>#REF!</v>
      </c>
      <c r="HK82" t="e">
        <f>AND(#REF!,"AAAAAF+//9o=")</f>
        <v>#REF!</v>
      </c>
      <c r="HL82" t="e">
        <f>AND(#REF!,"AAAAAF+//9s=")</f>
        <v>#REF!</v>
      </c>
      <c r="HM82" t="e">
        <f>AND(#REF!,"AAAAAF+//9w=")</f>
        <v>#REF!</v>
      </c>
      <c r="HN82" t="e">
        <f>AND(#REF!,"AAAAAF+//90=")</f>
        <v>#REF!</v>
      </c>
      <c r="HO82" t="e">
        <f>AND(#REF!,"AAAAAF+//94=")</f>
        <v>#REF!</v>
      </c>
      <c r="HP82" t="e">
        <f>AND(#REF!,"AAAAAF+//98=")</f>
        <v>#REF!</v>
      </c>
      <c r="HQ82" t="e">
        <f>AND(#REF!,"AAAAAF+//+A=")</f>
        <v>#REF!</v>
      </c>
      <c r="HR82" t="e">
        <f>AND(#REF!,"AAAAAF+//+E=")</f>
        <v>#REF!</v>
      </c>
      <c r="HS82" t="e">
        <f>AND(#REF!,"AAAAAF+//+I=")</f>
        <v>#REF!</v>
      </c>
      <c r="HT82" t="e">
        <f>AND(#REF!,"AAAAAF+//+M=")</f>
        <v>#REF!</v>
      </c>
      <c r="HU82" t="e">
        <f>AND(#REF!,"AAAAAF+//+Q=")</f>
        <v>#REF!</v>
      </c>
      <c r="HV82" t="e">
        <f>AND(#REF!,"AAAAAF+//+U=")</f>
        <v>#REF!</v>
      </c>
      <c r="HW82" t="e">
        <f>AND(#REF!,"AAAAAF+//+Y=")</f>
        <v>#REF!</v>
      </c>
      <c r="HX82" t="e">
        <f>AND(#REF!,"AAAAAF+//+c=")</f>
        <v>#REF!</v>
      </c>
      <c r="HY82" t="e">
        <f>AND(#REF!,"AAAAAF+//+g=")</f>
        <v>#REF!</v>
      </c>
      <c r="HZ82" t="e">
        <f>AND(#REF!,"AAAAAF+//+k=")</f>
        <v>#REF!</v>
      </c>
      <c r="IA82" t="e">
        <f>AND(#REF!,"AAAAAF+//+o=")</f>
        <v>#REF!</v>
      </c>
      <c r="IB82" t="e">
        <f>AND(#REF!,"AAAAAF+//+s=")</f>
        <v>#REF!</v>
      </c>
      <c r="IC82" t="e">
        <f>AND(#REF!,"AAAAAF+//+w=")</f>
        <v>#REF!</v>
      </c>
      <c r="ID82" t="e">
        <f>AND(#REF!,"AAAAAF+//+0=")</f>
        <v>#REF!</v>
      </c>
      <c r="IE82" t="e">
        <f>AND(#REF!,"AAAAAF+//+4=")</f>
        <v>#REF!</v>
      </c>
      <c r="IF82" t="e">
        <f>AND(#REF!,"AAAAAF+//+8=")</f>
        <v>#REF!</v>
      </c>
      <c r="IG82" t="e">
        <f>AND(#REF!,"AAAAAF+///A=")</f>
        <v>#REF!</v>
      </c>
      <c r="IH82" t="e">
        <f>AND(#REF!,"AAAAAF+///E=")</f>
        <v>#REF!</v>
      </c>
      <c r="II82" t="e">
        <f>AND(#REF!,"AAAAAF+///I=")</f>
        <v>#REF!</v>
      </c>
      <c r="IJ82" t="e">
        <f>AND(#REF!,"AAAAAF+///M=")</f>
        <v>#REF!</v>
      </c>
      <c r="IK82" t="e">
        <f>AND(#REF!,"AAAAAF+///Q=")</f>
        <v>#REF!</v>
      </c>
      <c r="IL82" t="e">
        <f>AND(#REF!,"AAAAAF+///U=")</f>
        <v>#REF!</v>
      </c>
      <c r="IM82" t="e">
        <f>AND(#REF!,"AAAAAF+///Y=")</f>
        <v>#REF!</v>
      </c>
      <c r="IN82" t="e">
        <f>AND(#REF!,"AAAAAF+///c=")</f>
        <v>#REF!</v>
      </c>
      <c r="IO82" t="e">
        <f>AND(#REF!,"AAAAAF+///g=")</f>
        <v>#REF!</v>
      </c>
      <c r="IP82" t="e">
        <f>AND(#REF!,"AAAAAF+///k=")</f>
        <v>#REF!</v>
      </c>
      <c r="IQ82" t="e">
        <f>AND(#REF!,"AAAAAF+///o=")</f>
        <v>#REF!</v>
      </c>
      <c r="IR82" t="e">
        <f>AND(#REF!,"AAAAAF+///s=")</f>
        <v>#REF!</v>
      </c>
      <c r="IS82" t="e">
        <f>AND(#REF!,"AAAAAF+///w=")</f>
        <v>#REF!</v>
      </c>
      <c r="IT82" t="e">
        <f>AND(#REF!,"AAAAAF+///0=")</f>
        <v>#REF!</v>
      </c>
      <c r="IU82" t="e">
        <f>AND(#REF!,"AAAAAF+///4=")</f>
        <v>#REF!</v>
      </c>
      <c r="IV82" t="e">
        <f>AND(#REF!,"AAAAAF+///8=")</f>
        <v>#REF!</v>
      </c>
    </row>
    <row r="83" spans="1:256">
      <c r="A83" t="e">
        <f>AND(#REF!,"AAAAAG3v+wA=")</f>
        <v>#REF!</v>
      </c>
      <c r="B83" t="e">
        <f>AND(#REF!,"AAAAAG3v+wE=")</f>
        <v>#REF!</v>
      </c>
      <c r="C83" t="e">
        <f>AND(#REF!,"AAAAAG3v+wI=")</f>
        <v>#REF!</v>
      </c>
      <c r="D83" t="e">
        <f>AND(#REF!,"AAAAAG3v+wM=")</f>
        <v>#REF!</v>
      </c>
      <c r="E83" t="e">
        <f>AND(#REF!,"AAAAAG3v+wQ=")</f>
        <v>#REF!</v>
      </c>
      <c r="F83" t="e">
        <f>AND(#REF!,"AAAAAG3v+wU=")</f>
        <v>#REF!</v>
      </c>
      <c r="G83" t="e">
        <f>AND(#REF!,"AAAAAG3v+wY=")</f>
        <v>#REF!</v>
      </c>
      <c r="H83" t="e">
        <f>AND(#REF!,"AAAAAG3v+wc=")</f>
        <v>#REF!</v>
      </c>
      <c r="I83" t="e">
        <f>AND(#REF!,"AAAAAG3v+wg=")</f>
        <v>#REF!</v>
      </c>
      <c r="J83" t="e">
        <f>AND(#REF!,"AAAAAG3v+wk=")</f>
        <v>#REF!</v>
      </c>
      <c r="K83" t="e">
        <f>AND(#REF!,"AAAAAG3v+wo=")</f>
        <v>#REF!</v>
      </c>
      <c r="L83" t="e">
        <f>AND(#REF!,"AAAAAG3v+ws=")</f>
        <v>#REF!</v>
      </c>
      <c r="M83" t="e">
        <f>AND(#REF!,"AAAAAG3v+ww=")</f>
        <v>#REF!</v>
      </c>
      <c r="N83" t="e">
        <f>AND(#REF!,"AAAAAG3v+w0=")</f>
        <v>#REF!</v>
      </c>
      <c r="O83" t="e">
        <f>AND(#REF!,"AAAAAG3v+w4=")</f>
        <v>#REF!</v>
      </c>
      <c r="P83" t="e">
        <f>AND(#REF!,"AAAAAG3v+w8=")</f>
        <v>#REF!</v>
      </c>
      <c r="Q83" t="e">
        <f>IF(#REF!,"AAAAAG3v+xA=",0)</f>
        <v>#REF!</v>
      </c>
      <c r="R83" t="e">
        <f>AND(#REF!,"AAAAAG3v+xE=")</f>
        <v>#REF!</v>
      </c>
      <c r="S83" t="e">
        <f>AND(#REF!,"AAAAAG3v+xI=")</f>
        <v>#REF!</v>
      </c>
      <c r="T83" t="e">
        <f>AND(#REF!,"AAAAAG3v+xM=")</f>
        <v>#REF!</v>
      </c>
      <c r="U83" t="e">
        <f>AND(#REF!,"AAAAAG3v+xQ=")</f>
        <v>#REF!</v>
      </c>
      <c r="V83" t="e">
        <f>AND(#REF!,"AAAAAG3v+xU=")</f>
        <v>#REF!</v>
      </c>
      <c r="W83" t="e">
        <f>AND(#REF!,"AAAAAG3v+xY=")</f>
        <v>#REF!</v>
      </c>
      <c r="X83" t="e">
        <f>AND(#REF!,"AAAAAG3v+xc=")</f>
        <v>#REF!</v>
      </c>
      <c r="Y83" t="e">
        <f>AND(#REF!,"AAAAAG3v+xg=")</f>
        <v>#REF!</v>
      </c>
      <c r="Z83" t="e">
        <f>AND(#REF!,"AAAAAG3v+xk=")</f>
        <v>#REF!</v>
      </c>
      <c r="AA83" t="e">
        <f>AND(#REF!,"AAAAAG3v+xo=")</f>
        <v>#REF!</v>
      </c>
      <c r="AB83" t="e">
        <f>AND(#REF!,"AAAAAG3v+xs=")</f>
        <v>#REF!</v>
      </c>
      <c r="AC83" t="e">
        <f>AND(#REF!,"AAAAAG3v+xw=")</f>
        <v>#REF!</v>
      </c>
      <c r="AD83" t="e">
        <f>AND(#REF!,"AAAAAG3v+x0=")</f>
        <v>#REF!</v>
      </c>
      <c r="AE83" t="e">
        <f>AND(#REF!,"AAAAAG3v+x4=")</f>
        <v>#REF!</v>
      </c>
      <c r="AF83" t="e">
        <f>AND(#REF!,"AAAAAG3v+x8=")</f>
        <v>#REF!</v>
      </c>
      <c r="AG83" t="e">
        <f>AND(#REF!,"AAAAAG3v+yA=")</f>
        <v>#REF!</v>
      </c>
      <c r="AH83" t="e">
        <f>AND(#REF!,"AAAAAG3v+yE=")</f>
        <v>#REF!</v>
      </c>
      <c r="AI83" t="e">
        <f>AND(#REF!,"AAAAAG3v+yI=")</f>
        <v>#REF!</v>
      </c>
      <c r="AJ83" t="e">
        <f>AND(#REF!,"AAAAAG3v+yM=")</f>
        <v>#REF!</v>
      </c>
      <c r="AK83" t="e">
        <f>AND(#REF!,"AAAAAG3v+yQ=")</f>
        <v>#REF!</v>
      </c>
      <c r="AL83" t="e">
        <f>AND(#REF!,"AAAAAG3v+yU=")</f>
        <v>#REF!</v>
      </c>
      <c r="AM83" t="e">
        <f>AND(#REF!,"AAAAAG3v+yY=")</f>
        <v>#REF!</v>
      </c>
      <c r="AN83" t="e">
        <f>AND(#REF!,"AAAAAG3v+yc=")</f>
        <v>#REF!</v>
      </c>
      <c r="AO83" t="e">
        <f>AND(#REF!,"AAAAAG3v+yg=")</f>
        <v>#REF!</v>
      </c>
      <c r="AP83" t="e">
        <f>AND(#REF!,"AAAAAG3v+yk=")</f>
        <v>#REF!</v>
      </c>
      <c r="AQ83" t="e">
        <f>AND(#REF!,"AAAAAG3v+yo=")</f>
        <v>#REF!</v>
      </c>
      <c r="AR83" t="e">
        <f>AND(#REF!,"AAAAAG3v+ys=")</f>
        <v>#REF!</v>
      </c>
      <c r="AS83" t="e">
        <f>AND(#REF!,"AAAAAG3v+yw=")</f>
        <v>#REF!</v>
      </c>
      <c r="AT83" t="e">
        <f>AND(#REF!,"AAAAAG3v+y0=")</f>
        <v>#REF!</v>
      </c>
      <c r="AU83" t="e">
        <f>AND(#REF!,"AAAAAG3v+y4=")</f>
        <v>#REF!</v>
      </c>
      <c r="AV83" t="e">
        <f>AND(#REF!,"AAAAAG3v+y8=")</f>
        <v>#REF!</v>
      </c>
      <c r="AW83" t="e">
        <f>AND(#REF!,"AAAAAG3v+zA=")</f>
        <v>#REF!</v>
      </c>
      <c r="AX83" t="e">
        <f>AND(#REF!,"AAAAAG3v+zE=")</f>
        <v>#REF!</v>
      </c>
      <c r="AY83" t="e">
        <f>AND(#REF!,"AAAAAG3v+zI=")</f>
        <v>#REF!</v>
      </c>
      <c r="AZ83" t="e">
        <f>AND(#REF!,"AAAAAG3v+zM=")</f>
        <v>#REF!</v>
      </c>
      <c r="BA83" t="e">
        <f>AND(#REF!,"AAAAAG3v+zQ=")</f>
        <v>#REF!</v>
      </c>
      <c r="BB83" t="e">
        <f>AND(#REF!,"AAAAAG3v+zU=")</f>
        <v>#REF!</v>
      </c>
      <c r="BC83" t="e">
        <f>AND(#REF!,"AAAAAG3v+zY=")</f>
        <v>#REF!</v>
      </c>
      <c r="BD83" t="e">
        <f>AND(#REF!,"AAAAAG3v+zc=")</f>
        <v>#REF!</v>
      </c>
      <c r="BE83" t="e">
        <f>AND(#REF!,"AAAAAG3v+zg=")</f>
        <v>#REF!</v>
      </c>
      <c r="BF83" t="e">
        <f>AND(#REF!,"AAAAAG3v+zk=")</f>
        <v>#REF!</v>
      </c>
      <c r="BG83" t="e">
        <f>AND(#REF!,"AAAAAG3v+zo=")</f>
        <v>#REF!</v>
      </c>
      <c r="BH83" t="e">
        <f>AND(#REF!,"AAAAAG3v+zs=")</f>
        <v>#REF!</v>
      </c>
      <c r="BI83" t="e">
        <f>AND(#REF!,"AAAAAG3v+zw=")</f>
        <v>#REF!</v>
      </c>
      <c r="BJ83" t="e">
        <f>AND(#REF!,"AAAAAG3v+z0=")</f>
        <v>#REF!</v>
      </c>
      <c r="BK83" t="e">
        <f>AND(#REF!,"AAAAAG3v+z4=")</f>
        <v>#REF!</v>
      </c>
      <c r="BL83" t="e">
        <f>AND(#REF!,"AAAAAG3v+z8=")</f>
        <v>#REF!</v>
      </c>
      <c r="BM83" t="e">
        <f>AND(#REF!,"AAAAAG3v+0A=")</f>
        <v>#REF!</v>
      </c>
      <c r="BN83" t="e">
        <f>AND(#REF!,"AAAAAG3v+0E=")</f>
        <v>#REF!</v>
      </c>
      <c r="BO83" t="e">
        <f>AND(#REF!,"AAAAAG3v+0I=")</f>
        <v>#REF!</v>
      </c>
      <c r="BP83" t="e">
        <f>AND(#REF!,"AAAAAG3v+0M=")</f>
        <v>#REF!</v>
      </c>
      <c r="BQ83" t="e">
        <f>AND(#REF!,"AAAAAG3v+0Q=")</f>
        <v>#REF!</v>
      </c>
      <c r="BR83" t="e">
        <f>AND(#REF!,"AAAAAG3v+0U=")</f>
        <v>#REF!</v>
      </c>
      <c r="BS83" t="e">
        <f>AND(#REF!,"AAAAAG3v+0Y=")</f>
        <v>#REF!</v>
      </c>
      <c r="BT83" t="e">
        <f>AND(#REF!,"AAAAAG3v+0c=")</f>
        <v>#REF!</v>
      </c>
      <c r="BU83" t="e">
        <f>AND(#REF!,"AAAAAG3v+0g=")</f>
        <v>#REF!</v>
      </c>
      <c r="BV83" t="e">
        <f>AND(#REF!,"AAAAAG3v+0k=")</f>
        <v>#REF!</v>
      </c>
      <c r="BW83" t="e">
        <f>AND(#REF!,"AAAAAG3v+0o=")</f>
        <v>#REF!</v>
      </c>
      <c r="BX83" t="e">
        <f>AND(#REF!,"AAAAAG3v+0s=")</f>
        <v>#REF!</v>
      </c>
      <c r="BY83" t="e">
        <f>AND(#REF!,"AAAAAG3v+0w=")</f>
        <v>#REF!</v>
      </c>
      <c r="BZ83" t="e">
        <f>AND(#REF!,"AAAAAG3v+00=")</f>
        <v>#REF!</v>
      </c>
      <c r="CA83" t="e">
        <f>AND(#REF!,"AAAAAG3v+04=")</f>
        <v>#REF!</v>
      </c>
      <c r="CB83" t="e">
        <f>AND(#REF!,"AAAAAG3v+08=")</f>
        <v>#REF!</v>
      </c>
      <c r="CC83" t="e">
        <f>AND(#REF!,"AAAAAG3v+1A=")</f>
        <v>#REF!</v>
      </c>
      <c r="CD83" t="e">
        <f>AND(#REF!,"AAAAAG3v+1E=")</f>
        <v>#REF!</v>
      </c>
      <c r="CE83" t="e">
        <f>AND(#REF!,"AAAAAG3v+1I=")</f>
        <v>#REF!</v>
      </c>
      <c r="CF83" t="e">
        <f>AND(#REF!,"AAAAAG3v+1M=")</f>
        <v>#REF!</v>
      </c>
      <c r="CG83" t="e">
        <f>AND(#REF!,"AAAAAG3v+1Q=")</f>
        <v>#REF!</v>
      </c>
      <c r="CH83" t="e">
        <f>AND(#REF!,"AAAAAG3v+1U=")</f>
        <v>#REF!</v>
      </c>
      <c r="CI83" t="e">
        <f>AND(#REF!,"AAAAAG3v+1Y=")</f>
        <v>#REF!</v>
      </c>
      <c r="CJ83" t="e">
        <f>AND(#REF!,"AAAAAG3v+1c=")</f>
        <v>#REF!</v>
      </c>
      <c r="CK83" t="e">
        <f>AND(#REF!,"AAAAAG3v+1g=")</f>
        <v>#REF!</v>
      </c>
      <c r="CL83" t="e">
        <f>AND(#REF!,"AAAAAG3v+1k=")</f>
        <v>#REF!</v>
      </c>
      <c r="CM83" t="e">
        <f>AND(#REF!,"AAAAAG3v+1o=")</f>
        <v>#REF!</v>
      </c>
      <c r="CN83" t="e">
        <f>AND(#REF!,"AAAAAG3v+1s=")</f>
        <v>#REF!</v>
      </c>
      <c r="CO83" t="e">
        <f>AND(#REF!,"AAAAAG3v+1w=")</f>
        <v>#REF!</v>
      </c>
      <c r="CP83" t="e">
        <f>AND(#REF!,"AAAAAG3v+10=")</f>
        <v>#REF!</v>
      </c>
      <c r="CQ83" t="e">
        <f>AND(#REF!,"AAAAAG3v+14=")</f>
        <v>#REF!</v>
      </c>
      <c r="CR83" t="e">
        <f>AND(#REF!,"AAAAAG3v+18=")</f>
        <v>#REF!</v>
      </c>
      <c r="CS83" t="e">
        <f>AND(#REF!,"AAAAAG3v+2A=")</f>
        <v>#REF!</v>
      </c>
      <c r="CT83" t="e">
        <f>AND(#REF!,"AAAAAG3v+2E=")</f>
        <v>#REF!</v>
      </c>
      <c r="CU83" t="e">
        <f>AND(#REF!,"AAAAAG3v+2I=")</f>
        <v>#REF!</v>
      </c>
      <c r="CV83" t="e">
        <f>AND(#REF!,"AAAAAG3v+2M=")</f>
        <v>#REF!</v>
      </c>
      <c r="CW83" t="e">
        <f>AND(#REF!,"AAAAAG3v+2Q=")</f>
        <v>#REF!</v>
      </c>
      <c r="CX83" t="e">
        <f>AND(#REF!,"AAAAAG3v+2U=")</f>
        <v>#REF!</v>
      </c>
      <c r="CY83" t="e">
        <f>AND(#REF!,"AAAAAG3v+2Y=")</f>
        <v>#REF!</v>
      </c>
      <c r="CZ83" t="e">
        <f>AND(#REF!,"AAAAAG3v+2c=")</f>
        <v>#REF!</v>
      </c>
      <c r="DA83" t="e">
        <f>AND(#REF!,"AAAAAG3v+2g=")</f>
        <v>#REF!</v>
      </c>
      <c r="DB83" t="e">
        <f>AND(#REF!,"AAAAAG3v+2k=")</f>
        <v>#REF!</v>
      </c>
      <c r="DC83" t="e">
        <f>AND(#REF!,"AAAAAG3v+2o=")</f>
        <v>#REF!</v>
      </c>
      <c r="DD83" t="e">
        <f>AND(#REF!,"AAAAAG3v+2s=")</f>
        <v>#REF!</v>
      </c>
      <c r="DE83" t="e">
        <f>AND(#REF!,"AAAAAG3v+2w=")</f>
        <v>#REF!</v>
      </c>
      <c r="DF83" t="e">
        <f>AND(#REF!,"AAAAAG3v+20=")</f>
        <v>#REF!</v>
      </c>
      <c r="DG83" t="e">
        <f>AND(#REF!,"AAAAAG3v+24=")</f>
        <v>#REF!</v>
      </c>
      <c r="DH83" t="e">
        <f>AND(#REF!,"AAAAAG3v+28=")</f>
        <v>#REF!</v>
      </c>
      <c r="DI83" t="e">
        <f>AND(#REF!,"AAAAAG3v+3A=")</f>
        <v>#REF!</v>
      </c>
      <c r="DJ83" t="e">
        <f>AND(#REF!,"AAAAAG3v+3E=")</f>
        <v>#REF!</v>
      </c>
      <c r="DK83" t="e">
        <f>AND(#REF!,"AAAAAG3v+3I=")</f>
        <v>#REF!</v>
      </c>
      <c r="DL83" t="e">
        <f>AND(#REF!,"AAAAAG3v+3M=")</f>
        <v>#REF!</v>
      </c>
      <c r="DM83" t="e">
        <f>AND(#REF!,"AAAAAG3v+3Q=")</f>
        <v>#REF!</v>
      </c>
      <c r="DN83" t="e">
        <f>AND(#REF!,"AAAAAG3v+3U=")</f>
        <v>#REF!</v>
      </c>
      <c r="DO83" t="e">
        <f>AND(#REF!,"AAAAAG3v+3Y=")</f>
        <v>#REF!</v>
      </c>
      <c r="DP83" t="e">
        <f>AND(#REF!,"AAAAAG3v+3c=")</f>
        <v>#REF!</v>
      </c>
      <c r="DQ83" t="e">
        <f>AND(#REF!,"AAAAAG3v+3g=")</f>
        <v>#REF!</v>
      </c>
      <c r="DR83" t="e">
        <f>AND(#REF!,"AAAAAG3v+3k=")</f>
        <v>#REF!</v>
      </c>
      <c r="DS83" t="e">
        <f>AND(#REF!,"AAAAAG3v+3o=")</f>
        <v>#REF!</v>
      </c>
      <c r="DT83" t="e">
        <f>AND(#REF!,"AAAAAG3v+3s=")</f>
        <v>#REF!</v>
      </c>
      <c r="DU83" t="e">
        <f>AND(#REF!,"AAAAAG3v+3w=")</f>
        <v>#REF!</v>
      </c>
      <c r="DV83" t="e">
        <f>AND(#REF!,"AAAAAG3v+30=")</f>
        <v>#REF!</v>
      </c>
      <c r="DW83" t="e">
        <f>AND(#REF!,"AAAAAG3v+34=")</f>
        <v>#REF!</v>
      </c>
      <c r="DX83" t="e">
        <f>AND(#REF!,"AAAAAG3v+38=")</f>
        <v>#REF!</v>
      </c>
      <c r="DY83" t="e">
        <f>AND(#REF!,"AAAAAG3v+4A=")</f>
        <v>#REF!</v>
      </c>
      <c r="DZ83" t="e">
        <f>AND(#REF!,"AAAAAG3v+4E=")</f>
        <v>#REF!</v>
      </c>
      <c r="EA83" t="e">
        <f>AND(#REF!,"AAAAAG3v+4I=")</f>
        <v>#REF!</v>
      </c>
      <c r="EB83" t="e">
        <f>AND(#REF!,"AAAAAG3v+4M=")</f>
        <v>#REF!</v>
      </c>
      <c r="EC83" t="e">
        <f>AND(#REF!,"AAAAAG3v+4Q=")</f>
        <v>#REF!</v>
      </c>
      <c r="ED83" t="e">
        <f>AND(#REF!,"AAAAAG3v+4U=")</f>
        <v>#REF!</v>
      </c>
      <c r="EE83" t="e">
        <f>AND(#REF!,"AAAAAG3v+4Y=")</f>
        <v>#REF!</v>
      </c>
      <c r="EF83" t="e">
        <f>AND(#REF!,"AAAAAG3v+4c=")</f>
        <v>#REF!</v>
      </c>
      <c r="EG83" t="e">
        <f>AND(#REF!,"AAAAAG3v+4g=")</f>
        <v>#REF!</v>
      </c>
      <c r="EH83" t="e">
        <f>AND(#REF!,"AAAAAG3v+4k=")</f>
        <v>#REF!</v>
      </c>
      <c r="EI83" t="e">
        <f>AND(#REF!,"AAAAAG3v+4o=")</f>
        <v>#REF!</v>
      </c>
      <c r="EJ83" t="e">
        <f>AND(#REF!,"AAAAAG3v+4s=")</f>
        <v>#REF!</v>
      </c>
      <c r="EK83" t="e">
        <f>AND(#REF!,"AAAAAG3v+4w=")</f>
        <v>#REF!</v>
      </c>
      <c r="EL83" t="e">
        <f>AND(#REF!,"AAAAAG3v+40=")</f>
        <v>#REF!</v>
      </c>
      <c r="EM83" t="e">
        <f>AND(#REF!,"AAAAAG3v+44=")</f>
        <v>#REF!</v>
      </c>
      <c r="EN83" t="e">
        <f>AND(#REF!,"AAAAAG3v+48=")</f>
        <v>#REF!</v>
      </c>
      <c r="EO83" t="e">
        <f>IF(#REF!,"AAAAAG3v+5A=",0)</f>
        <v>#REF!</v>
      </c>
      <c r="EP83" t="e">
        <f>AND(#REF!,"AAAAAG3v+5E=")</f>
        <v>#REF!</v>
      </c>
      <c r="EQ83" t="e">
        <f>AND(#REF!,"AAAAAG3v+5I=")</f>
        <v>#REF!</v>
      </c>
      <c r="ER83" t="e">
        <f>AND(#REF!,"AAAAAG3v+5M=")</f>
        <v>#REF!</v>
      </c>
      <c r="ES83" t="e">
        <f>AND(#REF!,"AAAAAG3v+5Q=")</f>
        <v>#REF!</v>
      </c>
      <c r="ET83" t="e">
        <f>AND(#REF!,"AAAAAG3v+5U=")</f>
        <v>#REF!</v>
      </c>
      <c r="EU83" t="e">
        <f>AND(#REF!,"AAAAAG3v+5Y=")</f>
        <v>#REF!</v>
      </c>
      <c r="EV83" t="e">
        <f>AND(#REF!,"AAAAAG3v+5c=")</f>
        <v>#REF!</v>
      </c>
      <c r="EW83" t="e">
        <f>AND(#REF!,"AAAAAG3v+5g=")</f>
        <v>#REF!</v>
      </c>
      <c r="EX83" t="e">
        <f>AND(#REF!,"AAAAAG3v+5k=")</f>
        <v>#REF!</v>
      </c>
      <c r="EY83" t="e">
        <f>AND(#REF!,"AAAAAG3v+5o=")</f>
        <v>#REF!</v>
      </c>
      <c r="EZ83" t="e">
        <f>AND(#REF!,"AAAAAG3v+5s=")</f>
        <v>#REF!</v>
      </c>
      <c r="FA83" t="e">
        <f>AND(#REF!,"AAAAAG3v+5w=")</f>
        <v>#REF!</v>
      </c>
      <c r="FB83" t="e">
        <f>AND(#REF!,"AAAAAG3v+50=")</f>
        <v>#REF!</v>
      </c>
      <c r="FC83" t="e">
        <f>AND(#REF!,"AAAAAG3v+54=")</f>
        <v>#REF!</v>
      </c>
      <c r="FD83" t="e">
        <f>AND(#REF!,"AAAAAG3v+58=")</f>
        <v>#REF!</v>
      </c>
      <c r="FE83" t="e">
        <f>AND(#REF!,"AAAAAG3v+6A=")</f>
        <v>#REF!</v>
      </c>
      <c r="FF83" t="e">
        <f>AND(#REF!,"AAAAAG3v+6E=")</f>
        <v>#REF!</v>
      </c>
      <c r="FG83" t="e">
        <f>AND(#REF!,"AAAAAG3v+6I=")</f>
        <v>#REF!</v>
      </c>
      <c r="FH83" t="e">
        <f>AND(#REF!,"AAAAAG3v+6M=")</f>
        <v>#REF!</v>
      </c>
      <c r="FI83" t="e">
        <f>AND(#REF!,"AAAAAG3v+6Q=")</f>
        <v>#REF!</v>
      </c>
      <c r="FJ83" t="e">
        <f>AND(#REF!,"AAAAAG3v+6U=")</f>
        <v>#REF!</v>
      </c>
      <c r="FK83" t="e">
        <f>AND(#REF!,"AAAAAG3v+6Y=")</f>
        <v>#REF!</v>
      </c>
      <c r="FL83" t="e">
        <f>AND(#REF!,"AAAAAG3v+6c=")</f>
        <v>#REF!</v>
      </c>
      <c r="FM83" t="e">
        <f>AND(#REF!,"AAAAAG3v+6g=")</f>
        <v>#REF!</v>
      </c>
      <c r="FN83" t="e">
        <f>AND(#REF!,"AAAAAG3v+6k=")</f>
        <v>#REF!</v>
      </c>
      <c r="FO83" t="e">
        <f>AND(#REF!,"AAAAAG3v+6o=")</f>
        <v>#REF!</v>
      </c>
      <c r="FP83" t="e">
        <f>AND(#REF!,"AAAAAG3v+6s=")</f>
        <v>#REF!</v>
      </c>
      <c r="FQ83" t="e">
        <f>AND(#REF!,"AAAAAG3v+6w=")</f>
        <v>#REF!</v>
      </c>
      <c r="FR83" t="e">
        <f>AND(#REF!,"AAAAAG3v+60=")</f>
        <v>#REF!</v>
      </c>
      <c r="FS83" t="e">
        <f>AND(#REF!,"AAAAAG3v+64=")</f>
        <v>#REF!</v>
      </c>
      <c r="FT83" t="e">
        <f>AND(#REF!,"AAAAAG3v+68=")</f>
        <v>#REF!</v>
      </c>
      <c r="FU83" t="e">
        <f>AND(#REF!,"AAAAAG3v+7A=")</f>
        <v>#REF!</v>
      </c>
      <c r="FV83" t="e">
        <f>AND(#REF!,"AAAAAG3v+7E=")</f>
        <v>#REF!</v>
      </c>
      <c r="FW83" t="e">
        <f>AND(#REF!,"AAAAAG3v+7I=")</f>
        <v>#REF!</v>
      </c>
      <c r="FX83" t="e">
        <f>AND(#REF!,"AAAAAG3v+7M=")</f>
        <v>#REF!</v>
      </c>
      <c r="FY83" t="e">
        <f>AND(#REF!,"AAAAAG3v+7Q=")</f>
        <v>#REF!</v>
      </c>
      <c r="FZ83" t="e">
        <f>AND(#REF!,"AAAAAG3v+7U=")</f>
        <v>#REF!</v>
      </c>
      <c r="GA83" t="e">
        <f>AND(#REF!,"AAAAAG3v+7Y=")</f>
        <v>#REF!</v>
      </c>
      <c r="GB83" t="e">
        <f>AND(#REF!,"AAAAAG3v+7c=")</f>
        <v>#REF!</v>
      </c>
      <c r="GC83" t="e">
        <f>AND(#REF!,"AAAAAG3v+7g=")</f>
        <v>#REF!</v>
      </c>
      <c r="GD83" t="e">
        <f>AND(#REF!,"AAAAAG3v+7k=")</f>
        <v>#REF!</v>
      </c>
      <c r="GE83" t="e">
        <f>AND(#REF!,"AAAAAG3v+7o=")</f>
        <v>#REF!</v>
      </c>
      <c r="GF83" t="e">
        <f>AND(#REF!,"AAAAAG3v+7s=")</f>
        <v>#REF!</v>
      </c>
      <c r="GG83" t="e">
        <f>AND(#REF!,"AAAAAG3v+7w=")</f>
        <v>#REF!</v>
      </c>
      <c r="GH83" t="e">
        <f>AND(#REF!,"AAAAAG3v+70=")</f>
        <v>#REF!</v>
      </c>
      <c r="GI83" t="e">
        <f>AND(#REF!,"AAAAAG3v+74=")</f>
        <v>#REF!</v>
      </c>
      <c r="GJ83" t="e">
        <f>AND(#REF!,"AAAAAG3v+78=")</f>
        <v>#REF!</v>
      </c>
      <c r="GK83" t="e">
        <f>AND(#REF!,"AAAAAG3v+8A=")</f>
        <v>#REF!</v>
      </c>
      <c r="GL83" t="e">
        <f>AND(#REF!,"AAAAAG3v+8E=")</f>
        <v>#REF!</v>
      </c>
      <c r="GM83" t="e">
        <f>AND(#REF!,"AAAAAG3v+8I=")</f>
        <v>#REF!</v>
      </c>
      <c r="GN83" t="e">
        <f>AND(#REF!,"AAAAAG3v+8M=")</f>
        <v>#REF!</v>
      </c>
      <c r="GO83" t="e">
        <f>AND(#REF!,"AAAAAG3v+8Q=")</f>
        <v>#REF!</v>
      </c>
      <c r="GP83" t="e">
        <f>AND(#REF!,"AAAAAG3v+8U=")</f>
        <v>#REF!</v>
      </c>
      <c r="GQ83" t="e">
        <f>AND(#REF!,"AAAAAG3v+8Y=")</f>
        <v>#REF!</v>
      </c>
      <c r="GR83" t="e">
        <f>AND(#REF!,"AAAAAG3v+8c=")</f>
        <v>#REF!</v>
      </c>
      <c r="GS83" t="e">
        <f>AND(#REF!,"AAAAAG3v+8g=")</f>
        <v>#REF!</v>
      </c>
      <c r="GT83" t="e">
        <f>AND(#REF!,"AAAAAG3v+8k=")</f>
        <v>#REF!</v>
      </c>
      <c r="GU83" t="e">
        <f>AND(#REF!,"AAAAAG3v+8o=")</f>
        <v>#REF!</v>
      </c>
      <c r="GV83" t="e">
        <f>AND(#REF!,"AAAAAG3v+8s=")</f>
        <v>#REF!</v>
      </c>
      <c r="GW83" t="e">
        <f>AND(#REF!,"AAAAAG3v+8w=")</f>
        <v>#REF!</v>
      </c>
      <c r="GX83" t="e">
        <f>AND(#REF!,"AAAAAG3v+80=")</f>
        <v>#REF!</v>
      </c>
      <c r="GY83" t="e">
        <f>AND(#REF!,"AAAAAG3v+84=")</f>
        <v>#REF!</v>
      </c>
      <c r="GZ83" t="e">
        <f>AND(#REF!,"AAAAAG3v+88=")</f>
        <v>#REF!</v>
      </c>
      <c r="HA83" t="e">
        <f>AND(#REF!,"AAAAAG3v+9A=")</f>
        <v>#REF!</v>
      </c>
      <c r="HB83" t="e">
        <f>AND(#REF!,"AAAAAG3v+9E=")</f>
        <v>#REF!</v>
      </c>
      <c r="HC83" t="e">
        <f>AND(#REF!,"AAAAAG3v+9I=")</f>
        <v>#REF!</v>
      </c>
      <c r="HD83" t="e">
        <f>AND(#REF!,"AAAAAG3v+9M=")</f>
        <v>#REF!</v>
      </c>
      <c r="HE83" t="e">
        <f>AND(#REF!,"AAAAAG3v+9Q=")</f>
        <v>#REF!</v>
      </c>
      <c r="HF83" t="e">
        <f>AND(#REF!,"AAAAAG3v+9U=")</f>
        <v>#REF!</v>
      </c>
      <c r="HG83" t="e">
        <f>AND(#REF!,"AAAAAG3v+9Y=")</f>
        <v>#REF!</v>
      </c>
      <c r="HH83" t="e">
        <f>AND(#REF!,"AAAAAG3v+9c=")</f>
        <v>#REF!</v>
      </c>
      <c r="HI83" t="e">
        <f>AND(#REF!,"AAAAAG3v+9g=")</f>
        <v>#REF!</v>
      </c>
      <c r="HJ83" t="e">
        <f>AND(#REF!,"AAAAAG3v+9k=")</f>
        <v>#REF!</v>
      </c>
      <c r="HK83" t="e">
        <f>AND(#REF!,"AAAAAG3v+9o=")</f>
        <v>#REF!</v>
      </c>
      <c r="HL83" t="e">
        <f>AND(#REF!,"AAAAAG3v+9s=")</f>
        <v>#REF!</v>
      </c>
      <c r="HM83" t="e">
        <f>AND(#REF!,"AAAAAG3v+9w=")</f>
        <v>#REF!</v>
      </c>
      <c r="HN83" t="e">
        <f>AND(#REF!,"AAAAAG3v+90=")</f>
        <v>#REF!</v>
      </c>
      <c r="HO83" t="e">
        <f>AND(#REF!,"AAAAAG3v+94=")</f>
        <v>#REF!</v>
      </c>
      <c r="HP83" t="e">
        <f>AND(#REF!,"AAAAAG3v+98=")</f>
        <v>#REF!</v>
      </c>
      <c r="HQ83" t="e">
        <f>AND(#REF!,"AAAAAG3v++A=")</f>
        <v>#REF!</v>
      </c>
      <c r="HR83" t="e">
        <f>AND(#REF!,"AAAAAG3v++E=")</f>
        <v>#REF!</v>
      </c>
      <c r="HS83" t="e">
        <f>AND(#REF!,"AAAAAG3v++I=")</f>
        <v>#REF!</v>
      </c>
      <c r="HT83" t="e">
        <f>AND(#REF!,"AAAAAG3v++M=")</f>
        <v>#REF!</v>
      </c>
      <c r="HU83" t="e">
        <f>AND(#REF!,"AAAAAG3v++Q=")</f>
        <v>#REF!</v>
      </c>
      <c r="HV83" t="e">
        <f>AND(#REF!,"AAAAAG3v++U=")</f>
        <v>#REF!</v>
      </c>
      <c r="HW83" t="e">
        <f>AND(#REF!,"AAAAAG3v++Y=")</f>
        <v>#REF!</v>
      </c>
      <c r="HX83" t="e">
        <f>AND(#REF!,"AAAAAG3v++c=")</f>
        <v>#REF!</v>
      </c>
      <c r="HY83" t="e">
        <f>AND(#REF!,"AAAAAG3v++g=")</f>
        <v>#REF!</v>
      </c>
      <c r="HZ83" t="e">
        <f>AND(#REF!,"AAAAAG3v++k=")</f>
        <v>#REF!</v>
      </c>
      <c r="IA83" t="e">
        <f>AND(#REF!,"AAAAAG3v++o=")</f>
        <v>#REF!</v>
      </c>
      <c r="IB83" t="e">
        <f>AND(#REF!,"AAAAAG3v++s=")</f>
        <v>#REF!</v>
      </c>
      <c r="IC83" t="e">
        <f>AND(#REF!,"AAAAAG3v++w=")</f>
        <v>#REF!</v>
      </c>
      <c r="ID83" t="e">
        <f>AND(#REF!,"AAAAAG3v++0=")</f>
        <v>#REF!</v>
      </c>
      <c r="IE83" t="e">
        <f>AND(#REF!,"AAAAAG3v++4=")</f>
        <v>#REF!</v>
      </c>
      <c r="IF83" t="e">
        <f>AND(#REF!,"AAAAAG3v++8=")</f>
        <v>#REF!</v>
      </c>
      <c r="IG83" t="e">
        <f>AND(#REF!,"AAAAAG3v+/A=")</f>
        <v>#REF!</v>
      </c>
      <c r="IH83" t="e">
        <f>AND(#REF!,"AAAAAG3v+/E=")</f>
        <v>#REF!</v>
      </c>
      <c r="II83" t="e">
        <f>AND(#REF!,"AAAAAG3v+/I=")</f>
        <v>#REF!</v>
      </c>
      <c r="IJ83" t="e">
        <f>AND(#REF!,"AAAAAG3v+/M=")</f>
        <v>#REF!</v>
      </c>
      <c r="IK83" t="e">
        <f>AND(#REF!,"AAAAAG3v+/Q=")</f>
        <v>#REF!</v>
      </c>
      <c r="IL83" t="e">
        <f>AND(#REF!,"AAAAAG3v+/U=")</f>
        <v>#REF!</v>
      </c>
      <c r="IM83" t="e">
        <f>AND(#REF!,"AAAAAG3v+/Y=")</f>
        <v>#REF!</v>
      </c>
      <c r="IN83" t="e">
        <f>AND(#REF!,"AAAAAG3v+/c=")</f>
        <v>#REF!</v>
      </c>
      <c r="IO83" t="e">
        <f>AND(#REF!,"AAAAAG3v+/g=")</f>
        <v>#REF!</v>
      </c>
      <c r="IP83" t="e">
        <f>AND(#REF!,"AAAAAG3v+/k=")</f>
        <v>#REF!</v>
      </c>
      <c r="IQ83" t="e">
        <f>AND(#REF!,"AAAAAG3v+/o=")</f>
        <v>#REF!</v>
      </c>
      <c r="IR83" t="e">
        <f>AND(#REF!,"AAAAAG3v+/s=")</f>
        <v>#REF!</v>
      </c>
      <c r="IS83" t="e">
        <f>AND(#REF!,"AAAAAG3v+/w=")</f>
        <v>#REF!</v>
      </c>
      <c r="IT83" t="e">
        <f>AND(#REF!,"AAAAAG3v+/0=")</f>
        <v>#REF!</v>
      </c>
      <c r="IU83" t="e">
        <f>AND(#REF!,"AAAAAG3v+/4=")</f>
        <v>#REF!</v>
      </c>
      <c r="IV83" t="e">
        <f>AND(#REF!,"AAAAAG3v+/8=")</f>
        <v>#REF!</v>
      </c>
    </row>
    <row r="84" spans="1:256">
      <c r="A84" t="e">
        <f>AND(#REF!,"AAAAAFfvewA=")</f>
        <v>#REF!</v>
      </c>
      <c r="B84" t="e">
        <f>AND(#REF!,"AAAAAFfvewE=")</f>
        <v>#REF!</v>
      </c>
      <c r="C84" t="e">
        <f>AND(#REF!,"AAAAAFfvewI=")</f>
        <v>#REF!</v>
      </c>
      <c r="D84" t="e">
        <f>AND(#REF!,"AAAAAFfvewM=")</f>
        <v>#REF!</v>
      </c>
      <c r="E84" t="e">
        <f>AND(#REF!,"AAAAAFfvewQ=")</f>
        <v>#REF!</v>
      </c>
      <c r="F84" t="e">
        <f>AND(#REF!,"AAAAAFfvewU=")</f>
        <v>#REF!</v>
      </c>
      <c r="G84" t="e">
        <f>AND(#REF!,"AAAAAFfvewY=")</f>
        <v>#REF!</v>
      </c>
      <c r="H84" t="e">
        <f>AND(#REF!,"AAAAAFfvewc=")</f>
        <v>#REF!</v>
      </c>
      <c r="I84" t="e">
        <f>AND(#REF!,"AAAAAFfvewg=")</f>
        <v>#REF!</v>
      </c>
      <c r="J84" t="e">
        <f>AND(#REF!,"AAAAAFfvewk=")</f>
        <v>#REF!</v>
      </c>
      <c r="K84" t="e">
        <f>AND(#REF!,"AAAAAFfvewo=")</f>
        <v>#REF!</v>
      </c>
      <c r="L84" t="e">
        <f>AND(#REF!,"AAAAAFfvews=")</f>
        <v>#REF!</v>
      </c>
      <c r="M84" t="e">
        <f>AND(#REF!,"AAAAAFfveww=")</f>
        <v>#REF!</v>
      </c>
      <c r="N84" t="e">
        <f>AND(#REF!,"AAAAAFfvew0=")</f>
        <v>#REF!</v>
      </c>
      <c r="O84" t="e">
        <f>AND(#REF!,"AAAAAFfvew4=")</f>
        <v>#REF!</v>
      </c>
      <c r="P84" t="e">
        <f>AND(#REF!,"AAAAAFfvew8=")</f>
        <v>#REF!</v>
      </c>
      <c r="Q84" t="e">
        <f>IF(#REF!,"AAAAAFfvexA=",0)</f>
        <v>#REF!</v>
      </c>
      <c r="R84" t="e">
        <f>AND(#REF!,"AAAAAFfvexE=")</f>
        <v>#REF!</v>
      </c>
      <c r="S84" t="e">
        <f>AND(#REF!,"AAAAAFfvexI=")</f>
        <v>#REF!</v>
      </c>
      <c r="T84" t="e">
        <f>AND(#REF!,"AAAAAFfvexM=")</f>
        <v>#REF!</v>
      </c>
      <c r="U84" t="e">
        <f>AND(#REF!,"AAAAAFfvexQ=")</f>
        <v>#REF!</v>
      </c>
      <c r="V84" t="e">
        <f>AND(#REF!,"AAAAAFfvexU=")</f>
        <v>#REF!</v>
      </c>
      <c r="W84" t="e">
        <f>AND(#REF!,"AAAAAFfvexY=")</f>
        <v>#REF!</v>
      </c>
      <c r="X84" t="e">
        <f>AND(#REF!,"AAAAAFfvexc=")</f>
        <v>#REF!</v>
      </c>
      <c r="Y84" t="e">
        <f>AND(#REF!,"AAAAAFfvexg=")</f>
        <v>#REF!</v>
      </c>
      <c r="Z84" t="e">
        <f>AND(#REF!,"AAAAAFfvexk=")</f>
        <v>#REF!</v>
      </c>
      <c r="AA84" t="e">
        <f>AND(#REF!,"AAAAAFfvexo=")</f>
        <v>#REF!</v>
      </c>
      <c r="AB84" t="e">
        <f>AND(#REF!,"AAAAAFfvexs=")</f>
        <v>#REF!</v>
      </c>
      <c r="AC84" t="e">
        <f>AND(#REF!,"AAAAAFfvexw=")</f>
        <v>#REF!</v>
      </c>
      <c r="AD84" t="e">
        <f>AND(#REF!,"AAAAAFfvex0=")</f>
        <v>#REF!</v>
      </c>
      <c r="AE84" t="e">
        <f>AND(#REF!,"AAAAAFfvex4=")</f>
        <v>#REF!</v>
      </c>
      <c r="AF84" t="e">
        <f>AND(#REF!,"AAAAAFfvex8=")</f>
        <v>#REF!</v>
      </c>
      <c r="AG84" t="e">
        <f>AND(#REF!,"AAAAAFfveyA=")</f>
        <v>#REF!</v>
      </c>
      <c r="AH84" t="e">
        <f>AND(#REF!,"AAAAAFfveyE=")</f>
        <v>#REF!</v>
      </c>
      <c r="AI84" t="e">
        <f>AND(#REF!,"AAAAAFfveyI=")</f>
        <v>#REF!</v>
      </c>
      <c r="AJ84" t="e">
        <f>AND(#REF!,"AAAAAFfveyM=")</f>
        <v>#REF!</v>
      </c>
      <c r="AK84" t="e">
        <f>AND(#REF!,"AAAAAFfveyQ=")</f>
        <v>#REF!</v>
      </c>
      <c r="AL84" t="e">
        <f>AND(#REF!,"AAAAAFfveyU=")</f>
        <v>#REF!</v>
      </c>
      <c r="AM84" t="e">
        <f>AND(#REF!,"AAAAAFfveyY=")</f>
        <v>#REF!</v>
      </c>
      <c r="AN84" t="e">
        <f>AND(#REF!,"AAAAAFfveyc=")</f>
        <v>#REF!</v>
      </c>
      <c r="AO84" t="e">
        <f>AND(#REF!,"AAAAAFfveyg=")</f>
        <v>#REF!</v>
      </c>
      <c r="AP84" t="e">
        <f>AND(#REF!,"AAAAAFfveyk=")</f>
        <v>#REF!</v>
      </c>
      <c r="AQ84" t="e">
        <f>AND(#REF!,"AAAAAFfveyo=")</f>
        <v>#REF!</v>
      </c>
      <c r="AR84" t="e">
        <f>AND(#REF!,"AAAAAFfveys=")</f>
        <v>#REF!</v>
      </c>
      <c r="AS84" t="e">
        <f>AND(#REF!,"AAAAAFfveyw=")</f>
        <v>#REF!</v>
      </c>
      <c r="AT84" t="e">
        <f>AND(#REF!,"AAAAAFfvey0=")</f>
        <v>#REF!</v>
      </c>
      <c r="AU84" t="e">
        <f>AND(#REF!,"AAAAAFfvey4=")</f>
        <v>#REF!</v>
      </c>
      <c r="AV84" t="e">
        <f>AND(#REF!,"AAAAAFfvey8=")</f>
        <v>#REF!</v>
      </c>
      <c r="AW84" t="e">
        <f>AND(#REF!,"AAAAAFfvezA=")</f>
        <v>#REF!</v>
      </c>
      <c r="AX84" t="e">
        <f>AND(#REF!,"AAAAAFfvezE=")</f>
        <v>#REF!</v>
      </c>
      <c r="AY84" t="e">
        <f>AND(#REF!,"AAAAAFfvezI=")</f>
        <v>#REF!</v>
      </c>
      <c r="AZ84" t="e">
        <f>AND(#REF!,"AAAAAFfvezM=")</f>
        <v>#REF!</v>
      </c>
      <c r="BA84" t="e">
        <f>AND(#REF!,"AAAAAFfvezQ=")</f>
        <v>#REF!</v>
      </c>
      <c r="BB84" t="e">
        <f>AND(#REF!,"AAAAAFfvezU=")</f>
        <v>#REF!</v>
      </c>
      <c r="BC84" t="e">
        <f>AND(#REF!,"AAAAAFfvezY=")</f>
        <v>#REF!</v>
      </c>
      <c r="BD84" t="e">
        <f>AND(#REF!,"AAAAAFfvezc=")</f>
        <v>#REF!</v>
      </c>
      <c r="BE84" t="e">
        <f>AND(#REF!,"AAAAAFfvezg=")</f>
        <v>#REF!</v>
      </c>
      <c r="BF84" t="e">
        <f>AND(#REF!,"AAAAAFfvezk=")</f>
        <v>#REF!</v>
      </c>
      <c r="BG84" t="e">
        <f>AND(#REF!,"AAAAAFfvezo=")</f>
        <v>#REF!</v>
      </c>
      <c r="BH84" t="e">
        <f>AND(#REF!,"AAAAAFfvezs=")</f>
        <v>#REF!</v>
      </c>
      <c r="BI84" t="e">
        <f>AND(#REF!,"AAAAAFfvezw=")</f>
        <v>#REF!</v>
      </c>
      <c r="BJ84" t="e">
        <f>AND(#REF!,"AAAAAFfvez0=")</f>
        <v>#REF!</v>
      </c>
      <c r="BK84" t="e">
        <f>AND(#REF!,"AAAAAFfvez4=")</f>
        <v>#REF!</v>
      </c>
      <c r="BL84" t="e">
        <f>AND(#REF!,"AAAAAFfvez8=")</f>
        <v>#REF!</v>
      </c>
      <c r="BM84" t="e">
        <f>AND(#REF!,"AAAAAFfve0A=")</f>
        <v>#REF!</v>
      </c>
      <c r="BN84" t="e">
        <f>AND(#REF!,"AAAAAFfve0E=")</f>
        <v>#REF!</v>
      </c>
      <c r="BO84" t="e">
        <f>AND(#REF!,"AAAAAFfve0I=")</f>
        <v>#REF!</v>
      </c>
      <c r="BP84" t="e">
        <f>AND(#REF!,"AAAAAFfve0M=")</f>
        <v>#REF!</v>
      </c>
      <c r="BQ84" t="e">
        <f>AND(#REF!,"AAAAAFfve0Q=")</f>
        <v>#REF!</v>
      </c>
      <c r="BR84" t="e">
        <f>AND(#REF!,"AAAAAFfve0U=")</f>
        <v>#REF!</v>
      </c>
      <c r="BS84" t="e">
        <f>AND(#REF!,"AAAAAFfve0Y=")</f>
        <v>#REF!</v>
      </c>
      <c r="BT84" t="e">
        <f>AND(#REF!,"AAAAAFfve0c=")</f>
        <v>#REF!</v>
      </c>
      <c r="BU84" t="e">
        <f>AND(#REF!,"AAAAAFfve0g=")</f>
        <v>#REF!</v>
      </c>
      <c r="BV84" t="e">
        <f>AND(#REF!,"AAAAAFfve0k=")</f>
        <v>#REF!</v>
      </c>
      <c r="BW84" t="e">
        <f>AND(#REF!,"AAAAAFfve0o=")</f>
        <v>#REF!</v>
      </c>
      <c r="BX84" t="e">
        <f>AND(#REF!,"AAAAAFfve0s=")</f>
        <v>#REF!</v>
      </c>
      <c r="BY84" t="e">
        <f>AND(#REF!,"AAAAAFfve0w=")</f>
        <v>#REF!</v>
      </c>
      <c r="BZ84" t="e">
        <f>AND(#REF!,"AAAAAFfve00=")</f>
        <v>#REF!</v>
      </c>
      <c r="CA84" t="e">
        <f>AND(#REF!,"AAAAAFfve04=")</f>
        <v>#REF!</v>
      </c>
      <c r="CB84" t="e">
        <f>AND(#REF!,"AAAAAFfve08=")</f>
        <v>#REF!</v>
      </c>
      <c r="CC84" t="e">
        <f>AND(#REF!,"AAAAAFfve1A=")</f>
        <v>#REF!</v>
      </c>
      <c r="CD84" t="e">
        <f>AND(#REF!,"AAAAAFfve1E=")</f>
        <v>#REF!</v>
      </c>
      <c r="CE84" t="e">
        <f>AND(#REF!,"AAAAAFfve1I=")</f>
        <v>#REF!</v>
      </c>
      <c r="CF84" t="e">
        <f>AND(#REF!,"AAAAAFfve1M=")</f>
        <v>#REF!</v>
      </c>
      <c r="CG84" t="e">
        <f>AND(#REF!,"AAAAAFfve1Q=")</f>
        <v>#REF!</v>
      </c>
      <c r="CH84" t="e">
        <f>AND(#REF!,"AAAAAFfve1U=")</f>
        <v>#REF!</v>
      </c>
      <c r="CI84" t="e">
        <f>AND(#REF!,"AAAAAFfve1Y=")</f>
        <v>#REF!</v>
      </c>
      <c r="CJ84" t="e">
        <f>AND(#REF!,"AAAAAFfve1c=")</f>
        <v>#REF!</v>
      </c>
      <c r="CK84" t="e">
        <f>AND(#REF!,"AAAAAFfve1g=")</f>
        <v>#REF!</v>
      </c>
      <c r="CL84" t="e">
        <f>AND(#REF!,"AAAAAFfve1k=")</f>
        <v>#REF!</v>
      </c>
      <c r="CM84" t="e">
        <f>AND(#REF!,"AAAAAFfve1o=")</f>
        <v>#REF!</v>
      </c>
      <c r="CN84" t="e">
        <f>AND(#REF!,"AAAAAFfve1s=")</f>
        <v>#REF!</v>
      </c>
      <c r="CO84" t="e">
        <f>AND(#REF!,"AAAAAFfve1w=")</f>
        <v>#REF!</v>
      </c>
      <c r="CP84" t="e">
        <f>AND(#REF!,"AAAAAFfve10=")</f>
        <v>#REF!</v>
      </c>
      <c r="CQ84" t="e">
        <f>AND(#REF!,"AAAAAFfve14=")</f>
        <v>#REF!</v>
      </c>
      <c r="CR84" t="e">
        <f>AND(#REF!,"AAAAAFfve18=")</f>
        <v>#REF!</v>
      </c>
      <c r="CS84" t="e">
        <f>AND(#REF!,"AAAAAFfve2A=")</f>
        <v>#REF!</v>
      </c>
      <c r="CT84" t="e">
        <f>AND(#REF!,"AAAAAFfve2E=")</f>
        <v>#REF!</v>
      </c>
      <c r="CU84" t="e">
        <f>AND(#REF!,"AAAAAFfve2I=")</f>
        <v>#REF!</v>
      </c>
      <c r="CV84" t="e">
        <f>AND(#REF!,"AAAAAFfve2M=")</f>
        <v>#REF!</v>
      </c>
      <c r="CW84" t="e">
        <f>AND(#REF!,"AAAAAFfve2Q=")</f>
        <v>#REF!</v>
      </c>
      <c r="CX84" t="e">
        <f>AND(#REF!,"AAAAAFfve2U=")</f>
        <v>#REF!</v>
      </c>
      <c r="CY84" t="e">
        <f>AND(#REF!,"AAAAAFfve2Y=")</f>
        <v>#REF!</v>
      </c>
      <c r="CZ84" t="e">
        <f>AND(#REF!,"AAAAAFfve2c=")</f>
        <v>#REF!</v>
      </c>
      <c r="DA84" t="e">
        <f>AND(#REF!,"AAAAAFfve2g=")</f>
        <v>#REF!</v>
      </c>
      <c r="DB84" t="e">
        <f>AND(#REF!,"AAAAAFfve2k=")</f>
        <v>#REF!</v>
      </c>
      <c r="DC84" t="e">
        <f>AND(#REF!,"AAAAAFfve2o=")</f>
        <v>#REF!</v>
      </c>
      <c r="DD84" t="e">
        <f>AND(#REF!,"AAAAAFfve2s=")</f>
        <v>#REF!</v>
      </c>
      <c r="DE84" t="e">
        <f>AND(#REF!,"AAAAAFfve2w=")</f>
        <v>#REF!</v>
      </c>
      <c r="DF84" t="e">
        <f>AND(#REF!,"AAAAAFfve20=")</f>
        <v>#REF!</v>
      </c>
      <c r="DG84" t="e">
        <f>AND(#REF!,"AAAAAFfve24=")</f>
        <v>#REF!</v>
      </c>
      <c r="DH84" t="e">
        <f>AND(#REF!,"AAAAAFfve28=")</f>
        <v>#REF!</v>
      </c>
      <c r="DI84" t="e">
        <f>AND(#REF!,"AAAAAFfve3A=")</f>
        <v>#REF!</v>
      </c>
      <c r="DJ84" t="e">
        <f>AND(#REF!,"AAAAAFfve3E=")</f>
        <v>#REF!</v>
      </c>
      <c r="DK84" t="e">
        <f>AND(#REF!,"AAAAAFfve3I=")</f>
        <v>#REF!</v>
      </c>
      <c r="DL84" t="e">
        <f>AND(#REF!,"AAAAAFfve3M=")</f>
        <v>#REF!</v>
      </c>
      <c r="DM84" t="e">
        <f>AND(#REF!,"AAAAAFfve3Q=")</f>
        <v>#REF!</v>
      </c>
      <c r="DN84" t="e">
        <f>AND(#REF!,"AAAAAFfve3U=")</f>
        <v>#REF!</v>
      </c>
      <c r="DO84" t="e">
        <f>AND(#REF!,"AAAAAFfve3Y=")</f>
        <v>#REF!</v>
      </c>
      <c r="DP84" t="e">
        <f>AND(#REF!,"AAAAAFfve3c=")</f>
        <v>#REF!</v>
      </c>
      <c r="DQ84" t="e">
        <f>AND(#REF!,"AAAAAFfve3g=")</f>
        <v>#REF!</v>
      </c>
      <c r="DR84" t="e">
        <f>AND(#REF!,"AAAAAFfve3k=")</f>
        <v>#REF!</v>
      </c>
      <c r="DS84" t="e">
        <f>AND(#REF!,"AAAAAFfve3o=")</f>
        <v>#REF!</v>
      </c>
      <c r="DT84" t="e">
        <f>AND(#REF!,"AAAAAFfve3s=")</f>
        <v>#REF!</v>
      </c>
      <c r="DU84" t="e">
        <f>AND(#REF!,"AAAAAFfve3w=")</f>
        <v>#REF!</v>
      </c>
      <c r="DV84" t="e">
        <f>AND(#REF!,"AAAAAFfve30=")</f>
        <v>#REF!</v>
      </c>
      <c r="DW84" t="e">
        <f>AND(#REF!,"AAAAAFfve34=")</f>
        <v>#REF!</v>
      </c>
      <c r="DX84" t="e">
        <f>AND(#REF!,"AAAAAFfve38=")</f>
        <v>#REF!</v>
      </c>
      <c r="DY84" t="e">
        <f>AND(#REF!,"AAAAAFfve4A=")</f>
        <v>#REF!</v>
      </c>
      <c r="DZ84" t="e">
        <f>AND(#REF!,"AAAAAFfve4E=")</f>
        <v>#REF!</v>
      </c>
      <c r="EA84" t="e">
        <f>AND(#REF!,"AAAAAFfve4I=")</f>
        <v>#REF!</v>
      </c>
      <c r="EB84" t="e">
        <f>AND(#REF!,"AAAAAFfve4M=")</f>
        <v>#REF!</v>
      </c>
      <c r="EC84" t="e">
        <f>AND(#REF!,"AAAAAFfve4Q=")</f>
        <v>#REF!</v>
      </c>
      <c r="ED84" t="e">
        <f>AND(#REF!,"AAAAAFfve4U=")</f>
        <v>#REF!</v>
      </c>
      <c r="EE84" t="e">
        <f>AND(#REF!,"AAAAAFfve4Y=")</f>
        <v>#REF!</v>
      </c>
      <c r="EF84" t="e">
        <f>AND(#REF!,"AAAAAFfve4c=")</f>
        <v>#REF!</v>
      </c>
      <c r="EG84" t="e">
        <f>AND(#REF!,"AAAAAFfve4g=")</f>
        <v>#REF!</v>
      </c>
      <c r="EH84" t="e">
        <f>AND(#REF!,"AAAAAFfve4k=")</f>
        <v>#REF!</v>
      </c>
      <c r="EI84" t="e">
        <f>AND(#REF!,"AAAAAFfve4o=")</f>
        <v>#REF!</v>
      </c>
      <c r="EJ84" t="e">
        <f>AND(#REF!,"AAAAAFfve4s=")</f>
        <v>#REF!</v>
      </c>
      <c r="EK84" t="e">
        <f>AND(#REF!,"AAAAAFfve4w=")</f>
        <v>#REF!</v>
      </c>
      <c r="EL84" t="e">
        <f>AND(#REF!,"AAAAAFfve40=")</f>
        <v>#REF!</v>
      </c>
      <c r="EM84" t="e">
        <f>AND(#REF!,"AAAAAFfve44=")</f>
        <v>#REF!</v>
      </c>
      <c r="EN84" t="e">
        <f>AND(#REF!,"AAAAAFfve48=")</f>
        <v>#REF!</v>
      </c>
      <c r="EO84" t="e">
        <f>IF(#REF!,"AAAAAFfve5A=",0)</f>
        <v>#REF!</v>
      </c>
      <c r="EP84" t="e">
        <f>AND(#REF!,"AAAAAFfve5E=")</f>
        <v>#REF!</v>
      </c>
      <c r="EQ84" t="e">
        <f>AND(#REF!,"AAAAAFfve5I=")</f>
        <v>#REF!</v>
      </c>
      <c r="ER84" t="e">
        <f>AND(#REF!,"AAAAAFfve5M=")</f>
        <v>#REF!</v>
      </c>
      <c r="ES84" t="e">
        <f>AND(#REF!,"AAAAAFfve5Q=")</f>
        <v>#REF!</v>
      </c>
      <c r="ET84" t="e">
        <f>AND(#REF!,"AAAAAFfve5U=")</f>
        <v>#REF!</v>
      </c>
      <c r="EU84" t="e">
        <f>AND(#REF!,"AAAAAFfve5Y=")</f>
        <v>#REF!</v>
      </c>
      <c r="EV84" t="e">
        <f>AND(#REF!,"AAAAAFfve5c=")</f>
        <v>#REF!</v>
      </c>
      <c r="EW84" t="e">
        <f>AND(#REF!,"AAAAAFfve5g=")</f>
        <v>#REF!</v>
      </c>
      <c r="EX84" t="e">
        <f>AND(#REF!,"AAAAAFfve5k=")</f>
        <v>#REF!</v>
      </c>
      <c r="EY84" t="e">
        <f>AND(#REF!,"AAAAAFfve5o=")</f>
        <v>#REF!</v>
      </c>
      <c r="EZ84" t="e">
        <f>AND(#REF!,"AAAAAFfve5s=")</f>
        <v>#REF!</v>
      </c>
      <c r="FA84" t="e">
        <f>AND(#REF!,"AAAAAFfve5w=")</f>
        <v>#REF!</v>
      </c>
      <c r="FB84" t="e">
        <f>AND(#REF!,"AAAAAFfve50=")</f>
        <v>#REF!</v>
      </c>
      <c r="FC84" t="e">
        <f>AND(#REF!,"AAAAAFfve54=")</f>
        <v>#REF!</v>
      </c>
      <c r="FD84" t="e">
        <f>AND(#REF!,"AAAAAFfve58=")</f>
        <v>#REF!</v>
      </c>
      <c r="FE84" t="e">
        <f>AND(#REF!,"AAAAAFfve6A=")</f>
        <v>#REF!</v>
      </c>
      <c r="FF84" t="e">
        <f>AND(#REF!,"AAAAAFfve6E=")</f>
        <v>#REF!</v>
      </c>
      <c r="FG84" t="e">
        <f>AND(#REF!,"AAAAAFfve6I=")</f>
        <v>#REF!</v>
      </c>
      <c r="FH84" t="e">
        <f>AND(#REF!,"AAAAAFfve6M=")</f>
        <v>#REF!</v>
      </c>
      <c r="FI84" t="e">
        <f>AND(#REF!,"AAAAAFfve6Q=")</f>
        <v>#REF!</v>
      </c>
      <c r="FJ84" t="e">
        <f>AND(#REF!,"AAAAAFfve6U=")</f>
        <v>#REF!</v>
      </c>
      <c r="FK84" t="e">
        <f>AND(#REF!,"AAAAAFfve6Y=")</f>
        <v>#REF!</v>
      </c>
      <c r="FL84" t="e">
        <f>AND(#REF!,"AAAAAFfve6c=")</f>
        <v>#REF!</v>
      </c>
      <c r="FM84" t="e">
        <f>AND(#REF!,"AAAAAFfve6g=")</f>
        <v>#REF!</v>
      </c>
      <c r="FN84" t="e">
        <f>AND(#REF!,"AAAAAFfve6k=")</f>
        <v>#REF!</v>
      </c>
      <c r="FO84" t="e">
        <f>AND(#REF!,"AAAAAFfve6o=")</f>
        <v>#REF!</v>
      </c>
      <c r="FP84" t="e">
        <f>AND(#REF!,"AAAAAFfve6s=")</f>
        <v>#REF!</v>
      </c>
      <c r="FQ84" t="e">
        <f>AND(#REF!,"AAAAAFfve6w=")</f>
        <v>#REF!</v>
      </c>
      <c r="FR84" t="e">
        <f>AND(#REF!,"AAAAAFfve60=")</f>
        <v>#REF!</v>
      </c>
      <c r="FS84" t="e">
        <f>AND(#REF!,"AAAAAFfve64=")</f>
        <v>#REF!</v>
      </c>
      <c r="FT84" t="e">
        <f>AND(#REF!,"AAAAAFfve68=")</f>
        <v>#REF!</v>
      </c>
      <c r="FU84" t="e">
        <f>AND(#REF!,"AAAAAFfve7A=")</f>
        <v>#REF!</v>
      </c>
      <c r="FV84" t="e">
        <f>AND(#REF!,"AAAAAFfve7E=")</f>
        <v>#REF!</v>
      </c>
      <c r="FW84" t="e">
        <f>AND(#REF!,"AAAAAFfve7I=")</f>
        <v>#REF!</v>
      </c>
      <c r="FX84" t="e">
        <f>AND(#REF!,"AAAAAFfve7M=")</f>
        <v>#REF!</v>
      </c>
      <c r="FY84" t="e">
        <f>AND(#REF!,"AAAAAFfve7Q=")</f>
        <v>#REF!</v>
      </c>
      <c r="FZ84" t="e">
        <f>AND(#REF!,"AAAAAFfve7U=")</f>
        <v>#REF!</v>
      </c>
      <c r="GA84" t="e">
        <f>AND(#REF!,"AAAAAFfve7Y=")</f>
        <v>#REF!</v>
      </c>
      <c r="GB84" t="e">
        <f>AND(#REF!,"AAAAAFfve7c=")</f>
        <v>#REF!</v>
      </c>
      <c r="GC84" t="e">
        <f>AND(#REF!,"AAAAAFfve7g=")</f>
        <v>#REF!</v>
      </c>
      <c r="GD84" t="e">
        <f>AND(#REF!,"AAAAAFfve7k=")</f>
        <v>#REF!</v>
      </c>
      <c r="GE84" t="e">
        <f>AND(#REF!,"AAAAAFfve7o=")</f>
        <v>#REF!</v>
      </c>
      <c r="GF84" t="e">
        <f>AND(#REF!,"AAAAAFfve7s=")</f>
        <v>#REF!</v>
      </c>
      <c r="GG84" t="e">
        <f>AND(#REF!,"AAAAAFfve7w=")</f>
        <v>#REF!</v>
      </c>
      <c r="GH84" t="e">
        <f>AND(#REF!,"AAAAAFfve70=")</f>
        <v>#REF!</v>
      </c>
      <c r="GI84" t="e">
        <f>AND(#REF!,"AAAAAFfve74=")</f>
        <v>#REF!</v>
      </c>
      <c r="GJ84" t="e">
        <f>AND(#REF!,"AAAAAFfve78=")</f>
        <v>#REF!</v>
      </c>
      <c r="GK84" t="e">
        <f>AND(#REF!,"AAAAAFfve8A=")</f>
        <v>#REF!</v>
      </c>
      <c r="GL84" t="e">
        <f>AND(#REF!,"AAAAAFfve8E=")</f>
        <v>#REF!</v>
      </c>
      <c r="GM84" t="e">
        <f>AND(#REF!,"AAAAAFfve8I=")</f>
        <v>#REF!</v>
      </c>
      <c r="GN84" t="e">
        <f>AND(#REF!,"AAAAAFfve8M=")</f>
        <v>#REF!</v>
      </c>
      <c r="GO84" t="e">
        <f>AND(#REF!,"AAAAAFfve8Q=")</f>
        <v>#REF!</v>
      </c>
      <c r="GP84" t="e">
        <f>AND(#REF!,"AAAAAFfve8U=")</f>
        <v>#REF!</v>
      </c>
      <c r="GQ84" t="e">
        <f>AND(#REF!,"AAAAAFfve8Y=")</f>
        <v>#REF!</v>
      </c>
      <c r="GR84" t="e">
        <f>AND(#REF!,"AAAAAFfve8c=")</f>
        <v>#REF!</v>
      </c>
      <c r="GS84" t="e">
        <f>AND(#REF!,"AAAAAFfve8g=")</f>
        <v>#REF!</v>
      </c>
      <c r="GT84" t="e">
        <f>AND(#REF!,"AAAAAFfve8k=")</f>
        <v>#REF!</v>
      </c>
      <c r="GU84" t="e">
        <f>AND(#REF!,"AAAAAFfve8o=")</f>
        <v>#REF!</v>
      </c>
      <c r="GV84" t="e">
        <f>AND(#REF!,"AAAAAFfve8s=")</f>
        <v>#REF!</v>
      </c>
      <c r="GW84" t="e">
        <f>AND(#REF!,"AAAAAFfve8w=")</f>
        <v>#REF!</v>
      </c>
      <c r="GX84" t="e">
        <f>AND(#REF!,"AAAAAFfve80=")</f>
        <v>#REF!</v>
      </c>
      <c r="GY84" t="e">
        <f>AND(#REF!,"AAAAAFfve84=")</f>
        <v>#REF!</v>
      </c>
      <c r="GZ84" t="e">
        <f>AND(#REF!,"AAAAAFfve88=")</f>
        <v>#REF!</v>
      </c>
      <c r="HA84" t="e">
        <f>AND(#REF!,"AAAAAFfve9A=")</f>
        <v>#REF!</v>
      </c>
      <c r="HB84" t="e">
        <f>AND(#REF!,"AAAAAFfve9E=")</f>
        <v>#REF!</v>
      </c>
      <c r="HC84" t="e">
        <f>AND(#REF!,"AAAAAFfve9I=")</f>
        <v>#REF!</v>
      </c>
      <c r="HD84" t="e">
        <f>AND(#REF!,"AAAAAFfve9M=")</f>
        <v>#REF!</v>
      </c>
      <c r="HE84" t="e">
        <f>AND(#REF!,"AAAAAFfve9Q=")</f>
        <v>#REF!</v>
      </c>
      <c r="HF84" t="e">
        <f>AND(#REF!,"AAAAAFfve9U=")</f>
        <v>#REF!</v>
      </c>
      <c r="HG84" t="e">
        <f>AND(#REF!,"AAAAAFfve9Y=")</f>
        <v>#REF!</v>
      </c>
      <c r="HH84" t="e">
        <f>AND(#REF!,"AAAAAFfve9c=")</f>
        <v>#REF!</v>
      </c>
      <c r="HI84" t="e">
        <f>AND(#REF!,"AAAAAFfve9g=")</f>
        <v>#REF!</v>
      </c>
      <c r="HJ84" t="e">
        <f>AND(#REF!,"AAAAAFfve9k=")</f>
        <v>#REF!</v>
      </c>
      <c r="HK84" t="e">
        <f>AND(#REF!,"AAAAAFfve9o=")</f>
        <v>#REF!</v>
      </c>
      <c r="HL84" t="e">
        <f>AND(#REF!,"AAAAAFfve9s=")</f>
        <v>#REF!</v>
      </c>
      <c r="HM84" t="e">
        <f>AND(#REF!,"AAAAAFfve9w=")</f>
        <v>#REF!</v>
      </c>
      <c r="HN84" t="e">
        <f>AND(#REF!,"AAAAAFfve90=")</f>
        <v>#REF!</v>
      </c>
      <c r="HO84" t="e">
        <f>AND(#REF!,"AAAAAFfve94=")</f>
        <v>#REF!</v>
      </c>
      <c r="HP84" t="e">
        <f>AND(#REF!,"AAAAAFfve98=")</f>
        <v>#REF!</v>
      </c>
      <c r="HQ84" t="e">
        <f>AND(#REF!,"AAAAAFfve+A=")</f>
        <v>#REF!</v>
      </c>
      <c r="HR84" t="e">
        <f>AND(#REF!,"AAAAAFfve+E=")</f>
        <v>#REF!</v>
      </c>
      <c r="HS84" t="e">
        <f>AND(#REF!,"AAAAAFfve+I=")</f>
        <v>#REF!</v>
      </c>
      <c r="HT84" t="e">
        <f>AND(#REF!,"AAAAAFfve+M=")</f>
        <v>#REF!</v>
      </c>
      <c r="HU84" t="e">
        <f>AND(#REF!,"AAAAAFfve+Q=")</f>
        <v>#REF!</v>
      </c>
      <c r="HV84" t="e">
        <f>AND(#REF!,"AAAAAFfve+U=")</f>
        <v>#REF!</v>
      </c>
      <c r="HW84" t="e">
        <f>AND(#REF!,"AAAAAFfve+Y=")</f>
        <v>#REF!</v>
      </c>
      <c r="HX84" t="e">
        <f>AND(#REF!,"AAAAAFfve+c=")</f>
        <v>#REF!</v>
      </c>
      <c r="HY84" t="e">
        <f>AND(#REF!,"AAAAAFfve+g=")</f>
        <v>#REF!</v>
      </c>
      <c r="HZ84" t="e">
        <f>AND(#REF!,"AAAAAFfve+k=")</f>
        <v>#REF!</v>
      </c>
      <c r="IA84" t="e">
        <f>AND(#REF!,"AAAAAFfve+o=")</f>
        <v>#REF!</v>
      </c>
      <c r="IB84" t="e">
        <f>AND(#REF!,"AAAAAFfve+s=")</f>
        <v>#REF!</v>
      </c>
      <c r="IC84" t="e">
        <f>AND(#REF!,"AAAAAFfve+w=")</f>
        <v>#REF!</v>
      </c>
      <c r="ID84" t="e">
        <f>AND(#REF!,"AAAAAFfve+0=")</f>
        <v>#REF!</v>
      </c>
      <c r="IE84" t="e">
        <f>AND(#REF!,"AAAAAFfve+4=")</f>
        <v>#REF!</v>
      </c>
      <c r="IF84" t="e">
        <f>AND(#REF!,"AAAAAFfve+8=")</f>
        <v>#REF!</v>
      </c>
      <c r="IG84" t="e">
        <f>AND(#REF!,"AAAAAFfve/A=")</f>
        <v>#REF!</v>
      </c>
      <c r="IH84" t="e">
        <f>AND(#REF!,"AAAAAFfve/E=")</f>
        <v>#REF!</v>
      </c>
      <c r="II84" t="e">
        <f>AND(#REF!,"AAAAAFfve/I=")</f>
        <v>#REF!</v>
      </c>
      <c r="IJ84" t="e">
        <f>AND(#REF!,"AAAAAFfve/M=")</f>
        <v>#REF!</v>
      </c>
      <c r="IK84" t="e">
        <f>AND(#REF!,"AAAAAFfve/Q=")</f>
        <v>#REF!</v>
      </c>
      <c r="IL84" t="e">
        <f>AND(#REF!,"AAAAAFfve/U=")</f>
        <v>#REF!</v>
      </c>
      <c r="IM84" t="e">
        <f>AND(#REF!,"AAAAAFfve/Y=")</f>
        <v>#REF!</v>
      </c>
      <c r="IN84" t="e">
        <f>AND(#REF!,"AAAAAFfve/c=")</f>
        <v>#REF!</v>
      </c>
      <c r="IO84" t="e">
        <f>AND(#REF!,"AAAAAFfve/g=")</f>
        <v>#REF!</v>
      </c>
      <c r="IP84" t="e">
        <f>AND(#REF!,"AAAAAFfve/k=")</f>
        <v>#REF!</v>
      </c>
      <c r="IQ84" t="e">
        <f>AND(#REF!,"AAAAAFfve/o=")</f>
        <v>#REF!</v>
      </c>
      <c r="IR84" t="e">
        <f>AND(#REF!,"AAAAAFfve/s=")</f>
        <v>#REF!</v>
      </c>
      <c r="IS84" t="e">
        <f>AND(#REF!,"AAAAAFfve/w=")</f>
        <v>#REF!</v>
      </c>
      <c r="IT84" t="e">
        <f>AND(#REF!,"AAAAAFfve/0=")</f>
        <v>#REF!</v>
      </c>
      <c r="IU84" t="e">
        <f>AND(#REF!,"AAAAAFfve/4=")</f>
        <v>#REF!</v>
      </c>
      <c r="IV84" t="e">
        <f>AND(#REF!,"AAAAAFfve/8=")</f>
        <v>#REF!</v>
      </c>
    </row>
    <row r="85" spans="1:256">
      <c r="A85" t="e">
        <f>AND(#REF!,"AAAAAHs99wA=")</f>
        <v>#REF!</v>
      </c>
      <c r="B85" t="e">
        <f>AND(#REF!,"AAAAAHs99wE=")</f>
        <v>#REF!</v>
      </c>
      <c r="C85" t="e">
        <f>AND(#REF!,"AAAAAHs99wI=")</f>
        <v>#REF!</v>
      </c>
      <c r="D85" t="e">
        <f>AND(#REF!,"AAAAAHs99wM=")</f>
        <v>#REF!</v>
      </c>
      <c r="E85" t="e">
        <f>AND(#REF!,"AAAAAHs99wQ=")</f>
        <v>#REF!</v>
      </c>
      <c r="F85" t="e">
        <f>AND(#REF!,"AAAAAHs99wU=")</f>
        <v>#REF!</v>
      </c>
      <c r="G85" t="e">
        <f>AND(#REF!,"AAAAAHs99wY=")</f>
        <v>#REF!</v>
      </c>
      <c r="H85" t="e">
        <f>AND(#REF!,"AAAAAHs99wc=")</f>
        <v>#REF!</v>
      </c>
      <c r="I85" t="e">
        <f>AND(#REF!,"AAAAAHs99wg=")</f>
        <v>#REF!</v>
      </c>
      <c r="J85" t="e">
        <f>AND(#REF!,"AAAAAHs99wk=")</f>
        <v>#REF!</v>
      </c>
      <c r="K85" t="e">
        <f>AND(#REF!,"AAAAAHs99wo=")</f>
        <v>#REF!</v>
      </c>
      <c r="L85" t="e">
        <f>AND(#REF!,"AAAAAHs99ws=")</f>
        <v>#REF!</v>
      </c>
      <c r="M85" t="e">
        <f>AND(#REF!,"AAAAAHs99ww=")</f>
        <v>#REF!</v>
      </c>
      <c r="N85" t="e">
        <f>AND(#REF!,"AAAAAHs99w0=")</f>
        <v>#REF!</v>
      </c>
      <c r="O85" t="e">
        <f>AND(#REF!,"AAAAAHs99w4=")</f>
        <v>#REF!</v>
      </c>
      <c r="P85" t="e">
        <f>AND(#REF!,"AAAAAHs99w8=")</f>
        <v>#REF!</v>
      </c>
      <c r="Q85" t="e">
        <f>IF(#REF!,"AAAAAHs99xA=",0)</f>
        <v>#REF!</v>
      </c>
      <c r="R85" t="e">
        <f>AND(#REF!,"AAAAAHs99xE=")</f>
        <v>#REF!</v>
      </c>
      <c r="S85" t="e">
        <f>AND(#REF!,"AAAAAHs99xI=")</f>
        <v>#REF!</v>
      </c>
      <c r="T85" t="e">
        <f>AND(#REF!,"AAAAAHs99xM=")</f>
        <v>#REF!</v>
      </c>
      <c r="U85" t="e">
        <f>AND(#REF!,"AAAAAHs99xQ=")</f>
        <v>#REF!</v>
      </c>
      <c r="V85" t="e">
        <f>AND(#REF!,"AAAAAHs99xU=")</f>
        <v>#REF!</v>
      </c>
      <c r="W85" t="e">
        <f>AND(#REF!,"AAAAAHs99xY=")</f>
        <v>#REF!</v>
      </c>
      <c r="X85" t="e">
        <f>AND(#REF!,"AAAAAHs99xc=")</f>
        <v>#REF!</v>
      </c>
      <c r="Y85" t="e">
        <f>AND(#REF!,"AAAAAHs99xg=")</f>
        <v>#REF!</v>
      </c>
      <c r="Z85" t="e">
        <f>AND(#REF!,"AAAAAHs99xk=")</f>
        <v>#REF!</v>
      </c>
      <c r="AA85" t="e">
        <f>AND(#REF!,"AAAAAHs99xo=")</f>
        <v>#REF!</v>
      </c>
      <c r="AB85" t="e">
        <f>AND(#REF!,"AAAAAHs99xs=")</f>
        <v>#REF!</v>
      </c>
      <c r="AC85" t="e">
        <f>AND(#REF!,"AAAAAHs99xw=")</f>
        <v>#REF!</v>
      </c>
      <c r="AD85" t="e">
        <f>AND(#REF!,"AAAAAHs99x0=")</f>
        <v>#REF!</v>
      </c>
      <c r="AE85" t="e">
        <f>AND(#REF!,"AAAAAHs99x4=")</f>
        <v>#REF!</v>
      </c>
      <c r="AF85" t="e">
        <f>AND(#REF!,"AAAAAHs99x8=")</f>
        <v>#REF!</v>
      </c>
      <c r="AG85" t="e">
        <f>AND(#REF!,"AAAAAHs99yA=")</f>
        <v>#REF!</v>
      </c>
      <c r="AH85" t="e">
        <f>AND(#REF!,"AAAAAHs99yE=")</f>
        <v>#REF!</v>
      </c>
      <c r="AI85" t="e">
        <f>AND(#REF!,"AAAAAHs99yI=")</f>
        <v>#REF!</v>
      </c>
      <c r="AJ85" t="e">
        <f>AND(#REF!,"AAAAAHs99yM=")</f>
        <v>#REF!</v>
      </c>
      <c r="AK85" t="e">
        <f>AND(#REF!,"AAAAAHs99yQ=")</f>
        <v>#REF!</v>
      </c>
      <c r="AL85" t="e">
        <f>AND(#REF!,"AAAAAHs99yU=")</f>
        <v>#REF!</v>
      </c>
      <c r="AM85" t="e">
        <f>AND(#REF!,"AAAAAHs99yY=")</f>
        <v>#REF!</v>
      </c>
      <c r="AN85" t="e">
        <f>AND(#REF!,"AAAAAHs99yc=")</f>
        <v>#REF!</v>
      </c>
      <c r="AO85" t="e">
        <f>AND(#REF!,"AAAAAHs99yg=")</f>
        <v>#REF!</v>
      </c>
      <c r="AP85" t="e">
        <f>AND(#REF!,"AAAAAHs99yk=")</f>
        <v>#REF!</v>
      </c>
      <c r="AQ85" t="e">
        <f>AND(#REF!,"AAAAAHs99yo=")</f>
        <v>#REF!</v>
      </c>
      <c r="AR85" t="e">
        <f>AND(#REF!,"AAAAAHs99ys=")</f>
        <v>#REF!</v>
      </c>
      <c r="AS85" t="e">
        <f>AND(#REF!,"AAAAAHs99yw=")</f>
        <v>#REF!</v>
      </c>
      <c r="AT85" t="e">
        <f>AND(#REF!,"AAAAAHs99y0=")</f>
        <v>#REF!</v>
      </c>
      <c r="AU85" t="e">
        <f>AND(#REF!,"AAAAAHs99y4=")</f>
        <v>#REF!</v>
      </c>
      <c r="AV85" t="e">
        <f>AND(#REF!,"AAAAAHs99y8=")</f>
        <v>#REF!</v>
      </c>
      <c r="AW85" t="e">
        <f>AND(#REF!,"AAAAAHs99zA=")</f>
        <v>#REF!</v>
      </c>
      <c r="AX85" t="e">
        <f>AND(#REF!,"AAAAAHs99zE=")</f>
        <v>#REF!</v>
      </c>
      <c r="AY85" t="e">
        <f>AND(#REF!,"AAAAAHs99zI=")</f>
        <v>#REF!</v>
      </c>
      <c r="AZ85" t="e">
        <f>AND(#REF!,"AAAAAHs99zM=")</f>
        <v>#REF!</v>
      </c>
      <c r="BA85" t="e">
        <f>AND(#REF!,"AAAAAHs99zQ=")</f>
        <v>#REF!</v>
      </c>
      <c r="BB85" t="e">
        <f>AND(#REF!,"AAAAAHs99zU=")</f>
        <v>#REF!</v>
      </c>
      <c r="BC85" t="e">
        <f>AND(#REF!,"AAAAAHs99zY=")</f>
        <v>#REF!</v>
      </c>
      <c r="BD85" t="e">
        <f>AND(#REF!,"AAAAAHs99zc=")</f>
        <v>#REF!</v>
      </c>
      <c r="BE85" t="e">
        <f>AND(#REF!,"AAAAAHs99zg=")</f>
        <v>#REF!</v>
      </c>
      <c r="BF85" t="e">
        <f>AND(#REF!,"AAAAAHs99zk=")</f>
        <v>#REF!</v>
      </c>
      <c r="BG85" t="e">
        <f>AND(#REF!,"AAAAAHs99zo=")</f>
        <v>#REF!</v>
      </c>
      <c r="BH85" t="e">
        <f>AND(#REF!,"AAAAAHs99zs=")</f>
        <v>#REF!</v>
      </c>
      <c r="BI85" t="e">
        <f>AND(#REF!,"AAAAAHs99zw=")</f>
        <v>#REF!</v>
      </c>
      <c r="BJ85" t="e">
        <f>AND(#REF!,"AAAAAHs99z0=")</f>
        <v>#REF!</v>
      </c>
      <c r="BK85" t="e">
        <f>AND(#REF!,"AAAAAHs99z4=")</f>
        <v>#REF!</v>
      </c>
      <c r="BL85" t="e">
        <f>AND(#REF!,"AAAAAHs99z8=")</f>
        <v>#REF!</v>
      </c>
      <c r="BM85" t="e">
        <f>AND(#REF!,"AAAAAHs990A=")</f>
        <v>#REF!</v>
      </c>
      <c r="BN85" t="e">
        <f>AND(#REF!,"AAAAAHs990E=")</f>
        <v>#REF!</v>
      </c>
      <c r="BO85" t="e">
        <f>AND(#REF!,"AAAAAHs990I=")</f>
        <v>#REF!</v>
      </c>
      <c r="BP85" t="e">
        <f>AND(#REF!,"AAAAAHs990M=")</f>
        <v>#REF!</v>
      </c>
      <c r="BQ85" t="e">
        <f>AND(#REF!,"AAAAAHs990Q=")</f>
        <v>#REF!</v>
      </c>
      <c r="BR85" t="e">
        <f>AND(#REF!,"AAAAAHs990U=")</f>
        <v>#REF!</v>
      </c>
      <c r="BS85" t="e">
        <f>AND(#REF!,"AAAAAHs990Y=")</f>
        <v>#REF!</v>
      </c>
      <c r="BT85" t="e">
        <f>AND(#REF!,"AAAAAHs990c=")</f>
        <v>#REF!</v>
      </c>
      <c r="BU85" t="e">
        <f>AND(#REF!,"AAAAAHs990g=")</f>
        <v>#REF!</v>
      </c>
      <c r="BV85" t="e">
        <f>AND(#REF!,"AAAAAHs990k=")</f>
        <v>#REF!</v>
      </c>
      <c r="BW85" t="e">
        <f>AND(#REF!,"AAAAAHs990o=")</f>
        <v>#REF!</v>
      </c>
      <c r="BX85" t="e">
        <f>AND(#REF!,"AAAAAHs990s=")</f>
        <v>#REF!</v>
      </c>
      <c r="BY85" t="e">
        <f>AND(#REF!,"AAAAAHs990w=")</f>
        <v>#REF!</v>
      </c>
      <c r="BZ85" t="e">
        <f>AND(#REF!,"AAAAAHs9900=")</f>
        <v>#REF!</v>
      </c>
      <c r="CA85" t="e">
        <f>AND(#REF!,"AAAAAHs9904=")</f>
        <v>#REF!</v>
      </c>
      <c r="CB85" t="e">
        <f>AND(#REF!,"AAAAAHs9908=")</f>
        <v>#REF!</v>
      </c>
      <c r="CC85" t="e">
        <f>AND(#REF!,"AAAAAHs991A=")</f>
        <v>#REF!</v>
      </c>
      <c r="CD85" t="e">
        <f>AND(#REF!,"AAAAAHs991E=")</f>
        <v>#REF!</v>
      </c>
      <c r="CE85" t="e">
        <f>AND(#REF!,"AAAAAHs991I=")</f>
        <v>#REF!</v>
      </c>
      <c r="CF85" t="e">
        <f>AND(#REF!,"AAAAAHs991M=")</f>
        <v>#REF!</v>
      </c>
      <c r="CG85" t="e">
        <f>AND(#REF!,"AAAAAHs991Q=")</f>
        <v>#REF!</v>
      </c>
      <c r="CH85" t="e">
        <f>AND(#REF!,"AAAAAHs991U=")</f>
        <v>#REF!</v>
      </c>
      <c r="CI85" t="e">
        <f>AND(#REF!,"AAAAAHs991Y=")</f>
        <v>#REF!</v>
      </c>
      <c r="CJ85" t="e">
        <f>AND(#REF!,"AAAAAHs991c=")</f>
        <v>#REF!</v>
      </c>
      <c r="CK85" t="e">
        <f>AND(#REF!,"AAAAAHs991g=")</f>
        <v>#REF!</v>
      </c>
      <c r="CL85" t="e">
        <f>AND(#REF!,"AAAAAHs991k=")</f>
        <v>#REF!</v>
      </c>
      <c r="CM85" t="e">
        <f>AND(#REF!,"AAAAAHs991o=")</f>
        <v>#REF!</v>
      </c>
      <c r="CN85" t="e">
        <f>AND(#REF!,"AAAAAHs991s=")</f>
        <v>#REF!</v>
      </c>
      <c r="CO85" t="e">
        <f>AND(#REF!,"AAAAAHs991w=")</f>
        <v>#REF!</v>
      </c>
      <c r="CP85" t="e">
        <f>AND(#REF!,"AAAAAHs9910=")</f>
        <v>#REF!</v>
      </c>
      <c r="CQ85" t="e">
        <f>AND(#REF!,"AAAAAHs9914=")</f>
        <v>#REF!</v>
      </c>
      <c r="CR85" t="e">
        <f>AND(#REF!,"AAAAAHs9918=")</f>
        <v>#REF!</v>
      </c>
      <c r="CS85" t="e">
        <f>AND(#REF!,"AAAAAHs992A=")</f>
        <v>#REF!</v>
      </c>
      <c r="CT85" t="e">
        <f>AND(#REF!,"AAAAAHs992E=")</f>
        <v>#REF!</v>
      </c>
      <c r="CU85" t="e">
        <f>AND(#REF!,"AAAAAHs992I=")</f>
        <v>#REF!</v>
      </c>
      <c r="CV85" t="e">
        <f>AND(#REF!,"AAAAAHs992M=")</f>
        <v>#REF!</v>
      </c>
      <c r="CW85" t="e">
        <f>AND(#REF!,"AAAAAHs992Q=")</f>
        <v>#REF!</v>
      </c>
      <c r="CX85" t="e">
        <f>AND(#REF!,"AAAAAHs992U=")</f>
        <v>#REF!</v>
      </c>
      <c r="CY85" t="e">
        <f>AND(#REF!,"AAAAAHs992Y=")</f>
        <v>#REF!</v>
      </c>
      <c r="CZ85" t="e">
        <f>AND(#REF!,"AAAAAHs992c=")</f>
        <v>#REF!</v>
      </c>
      <c r="DA85" t="e">
        <f>AND(#REF!,"AAAAAHs992g=")</f>
        <v>#REF!</v>
      </c>
      <c r="DB85" t="e">
        <f>AND(#REF!,"AAAAAHs992k=")</f>
        <v>#REF!</v>
      </c>
      <c r="DC85" t="e">
        <f>AND(#REF!,"AAAAAHs992o=")</f>
        <v>#REF!</v>
      </c>
      <c r="DD85" t="e">
        <f>AND(#REF!,"AAAAAHs992s=")</f>
        <v>#REF!</v>
      </c>
      <c r="DE85" t="e">
        <f>AND(#REF!,"AAAAAHs992w=")</f>
        <v>#REF!</v>
      </c>
      <c r="DF85" t="e">
        <f>AND(#REF!,"AAAAAHs9920=")</f>
        <v>#REF!</v>
      </c>
      <c r="DG85" t="e">
        <f>AND(#REF!,"AAAAAHs9924=")</f>
        <v>#REF!</v>
      </c>
      <c r="DH85" t="e">
        <f>AND(#REF!,"AAAAAHs9928=")</f>
        <v>#REF!</v>
      </c>
      <c r="DI85" t="e">
        <f>AND(#REF!,"AAAAAHs993A=")</f>
        <v>#REF!</v>
      </c>
      <c r="DJ85" t="e">
        <f>AND(#REF!,"AAAAAHs993E=")</f>
        <v>#REF!</v>
      </c>
      <c r="DK85" t="e">
        <f>AND(#REF!,"AAAAAHs993I=")</f>
        <v>#REF!</v>
      </c>
      <c r="DL85" t="e">
        <f>AND(#REF!,"AAAAAHs993M=")</f>
        <v>#REF!</v>
      </c>
      <c r="DM85" t="e">
        <f>AND(#REF!,"AAAAAHs993Q=")</f>
        <v>#REF!</v>
      </c>
      <c r="DN85" t="e">
        <f>AND(#REF!,"AAAAAHs993U=")</f>
        <v>#REF!</v>
      </c>
      <c r="DO85" t="e">
        <f>AND(#REF!,"AAAAAHs993Y=")</f>
        <v>#REF!</v>
      </c>
      <c r="DP85" t="e">
        <f>AND(#REF!,"AAAAAHs993c=")</f>
        <v>#REF!</v>
      </c>
      <c r="DQ85" t="e">
        <f>AND(#REF!,"AAAAAHs993g=")</f>
        <v>#REF!</v>
      </c>
      <c r="DR85" t="e">
        <f>AND(#REF!,"AAAAAHs993k=")</f>
        <v>#REF!</v>
      </c>
      <c r="DS85" t="e">
        <f>AND(#REF!,"AAAAAHs993o=")</f>
        <v>#REF!</v>
      </c>
      <c r="DT85" t="e">
        <f>AND(#REF!,"AAAAAHs993s=")</f>
        <v>#REF!</v>
      </c>
      <c r="DU85" t="e">
        <f>AND(#REF!,"AAAAAHs993w=")</f>
        <v>#REF!</v>
      </c>
      <c r="DV85" t="e">
        <f>AND(#REF!,"AAAAAHs9930=")</f>
        <v>#REF!</v>
      </c>
      <c r="DW85" t="e">
        <f>AND(#REF!,"AAAAAHs9934=")</f>
        <v>#REF!</v>
      </c>
      <c r="DX85" t="e">
        <f>AND(#REF!,"AAAAAHs9938=")</f>
        <v>#REF!</v>
      </c>
      <c r="DY85" t="e">
        <f>AND(#REF!,"AAAAAHs994A=")</f>
        <v>#REF!</v>
      </c>
      <c r="DZ85" t="e">
        <f>AND(#REF!,"AAAAAHs994E=")</f>
        <v>#REF!</v>
      </c>
      <c r="EA85" t="e">
        <f>AND(#REF!,"AAAAAHs994I=")</f>
        <v>#REF!</v>
      </c>
      <c r="EB85" t="e">
        <f>AND(#REF!,"AAAAAHs994M=")</f>
        <v>#REF!</v>
      </c>
      <c r="EC85" t="e">
        <f>AND(#REF!,"AAAAAHs994Q=")</f>
        <v>#REF!</v>
      </c>
      <c r="ED85" t="e">
        <f>AND(#REF!,"AAAAAHs994U=")</f>
        <v>#REF!</v>
      </c>
      <c r="EE85" t="e">
        <f>AND(#REF!,"AAAAAHs994Y=")</f>
        <v>#REF!</v>
      </c>
      <c r="EF85" t="e">
        <f>AND(#REF!,"AAAAAHs994c=")</f>
        <v>#REF!</v>
      </c>
      <c r="EG85" t="e">
        <f>AND(#REF!,"AAAAAHs994g=")</f>
        <v>#REF!</v>
      </c>
      <c r="EH85" t="e">
        <f>AND(#REF!,"AAAAAHs994k=")</f>
        <v>#REF!</v>
      </c>
      <c r="EI85" t="e">
        <f>AND(#REF!,"AAAAAHs994o=")</f>
        <v>#REF!</v>
      </c>
      <c r="EJ85" t="e">
        <f>AND(#REF!,"AAAAAHs994s=")</f>
        <v>#REF!</v>
      </c>
      <c r="EK85" t="e">
        <f>AND(#REF!,"AAAAAHs994w=")</f>
        <v>#REF!</v>
      </c>
      <c r="EL85" t="e">
        <f>AND(#REF!,"AAAAAHs9940=")</f>
        <v>#REF!</v>
      </c>
      <c r="EM85" t="e">
        <f>AND(#REF!,"AAAAAHs9944=")</f>
        <v>#REF!</v>
      </c>
      <c r="EN85" t="e">
        <f>AND(#REF!,"AAAAAHs9948=")</f>
        <v>#REF!</v>
      </c>
      <c r="EO85" t="e">
        <f>IF(#REF!,"AAAAAHs995A=",0)</f>
        <v>#REF!</v>
      </c>
      <c r="EP85" t="e">
        <f>AND(#REF!,"AAAAAHs995E=")</f>
        <v>#REF!</v>
      </c>
      <c r="EQ85" t="e">
        <f>AND(#REF!,"AAAAAHs995I=")</f>
        <v>#REF!</v>
      </c>
      <c r="ER85" t="e">
        <f>AND(#REF!,"AAAAAHs995M=")</f>
        <v>#REF!</v>
      </c>
      <c r="ES85" t="e">
        <f>AND(#REF!,"AAAAAHs995Q=")</f>
        <v>#REF!</v>
      </c>
      <c r="ET85" t="e">
        <f>AND(#REF!,"AAAAAHs995U=")</f>
        <v>#REF!</v>
      </c>
      <c r="EU85" t="e">
        <f>AND(#REF!,"AAAAAHs995Y=")</f>
        <v>#REF!</v>
      </c>
      <c r="EV85" t="e">
        <f>AND(#REF!,"AAAAAHs995c=")</f>
        <v>#REF!</v>
      </c>
      <c r="EW85" t="e">
        <f>AND(#REF!,"AAAAAHs995g=")</f>
        <v>#REF!</v>
      </c>
      <c r="EX85" t="e">
        <f>AND(#REF!,"AAAAAHs995k=")</f>
        <v>#REF!</v>
      </c>
      <c r="EY85" t="e">
        <f>AND(#REF!,"AAAAAHs995o=")</f>
        <v>#REF!</v>
      </c>
      <c r="EZ85" t="e">
        <f>AND(#REF!,"AAAAAHs995s=")</f>
        <v>#REF!</v>
      </c>
      <c r="FA85" t="e">
        <f>AND(#REF!,"AAAAAHs995w=")</f>
        <v>#REF!</v>
      </c>
      <c r="FB85" t="e">
        <f>AND(#REF!,"AAAAAHs9950=")</f>
        <v>#REF!</v>
      </c>
      <c r="FC85" t="e">
        <f>AND(#REF!,"AAAAAHs9954=")</f>
        <v>#REF!</v>
      </c>
      <c r="FD85" t="e">
        <f>AND(#REF!,"AAAAAHs9958=")</f>
        <v>#REF!</v>
      </c>
      <c r="FE85" t="e">
        <f>AND(#REF!,"AAAAAHs996A=")</f>
        <v>#REF!</v>
      </c>
      <c r="FF85" t="e">
        <f>AND(#REF!,"AAAAAHs996E=")</f>
        <v>#REF!</v>
      </c>
      <c r="FG85" t="e">
        <f>AND(#REF!,"AAAAAHs996I=")</f>
        <v>#REF!</v>
      </c>
      <c r="FH85" t="e">
        <f>AND(#REF!,"AAAAAHs996M=")</f>
        <v>#REF!</v>
      </c>
      <c r="FI85" t="e">
        <f>AND(#REF!,"AAAAAHs996Q=")</f>
        <v>#REF!</v>
      </c>
      <c r="FJ85" t="e">
        <f>AND(#REF!,"AAAAAHs996U=")</f>
        <v>#REF!</v>
      </c>
      <c r="FK85" t="e">
        <f>AND(#REF!,"AAAAAHs996Y=")</f>
        <v>#REF!</v>
      </c>
      <c r="FL85" t="e">
        <f>AND(#REF!,"AAAAAHs996c=")</f>
        <v>#REF!</v>
      </c>
      <c r="FM85" t="e">
        <f>AND(#REF!,"AAAAAHs996g=")</f>
        <v>#REF!</v>
      </c>
      <c r="FN85" t="e">
        <f>AND(#REF!,"AAAAAHs996k=")</f>
        <v>#REF!</v>
      </c>
      <c r="FO85" t="e">
        <f>AND(#REF!,"AAAAAHs996o=")</f>
        <v>#REF!</v>
      </c>
      <c r="FP85" t="e">
        <f>AND(#REF!,"AAAAAHs996s=")</f>
        <v>#REF!</v>
      </c>
      <c r="FQ85" t="e">
        <f>AND(#REF!,"AAAAAHs996w=")</f>
        <v>#REF!</v>
      </c>
      <c r="FR85" t="e">
        <f>AND(#REF!,"AAAAAHs9960=")</f>
        <v>#REF!</v>
      </c>
      <c r="FS85" t="e">
        <f>AND(#REF!,"AAAAAHs9964=")</f>
        <v>#REF!</v>
      </c>
      <c r="FT85" t="e">
        <f>AND(#REF!,"AAAAAHs9968=")</f>
        <v>#REF!</v>
      </c>
      <c r="FU85" t="e">
        <f>AND(#REF!,"AAAAAHs997A=")</f>
        <v>#REF!</v>
      </c>
      <c r="FV85" t="e">
        <f>AND(#REF!,"AAAAAHs997E=")</f>
        <v>#REF!</v>
      </c>
      <c r="FW85" t="e">
        <f>AND(#REF!,"AAAAAHs997I=")</f>
        <v>#REF!</v>
      </c>
      <c r="FX85" t="e">
        <f>AND(#REF!,"AAAAAHs997M=")</f>
        <v>#REF!</v>
      </c>
      <c r="FY85" t="e">
        <f>AND(#REF!,"AAAAAHs997Q=")</f>
        <v>#REF!</v>
      </c>
      <c r="FZ85" t="e">
        <f>AND(#REF!,"AAAAAHs997U=")</f>
        <v>#REF!</v>
      </c>
      <c r="GA85" t="e">
        <f>AND(#REF!,"AAAAAHs997Y=")</f>
        <v>#REF!</v>
      </c>
      <c r="GB85" t="e">
        <f>AND(#REF!,"AAAAAHs997c=")</f>
        <v>#REF!</v>
      </c>
      <c r="GC85" t="e">
        <f>AND(#REF!,"AAAAAHs997g=")</f>
        <v>#REF!</v>
      </c>
      <c r="GD85" t="e">
        <f>AND(#REF!,"AAAAAHs997k=")</f>
        <v>#REF!</v>
      </c>
      <c r="GE85" t="e">
        <f>AND(#REF!,"AAAAAHs997o=")</f>
        <v>#REF!</v>
      </c>
      <c r="GF85" t="e">
        <f>AND(#REF!,"AAAAAHs997s=")</f>
        <v>#REF!</v>
      </c>
      <c r="GG85" t="e">
        <f>AND(#REF!,"AAAAAHs997w=")</f>
        <v>#REF!</v>
      </c>
      <c r="GH85" t="e">
        <f>AND(#REF!,"AAAAAHs9970=")</f>
        <v>#REF!</v>
      </c>
      <c r="GI85" t="e">
        <f>AND(#REF!,"AAAAAHs9974=")</f>
        <v>#REF!</v>
      </c>
      <c r="GJ85" t="e">
        <f>AND(#REF!,"AAAAAHs9978=")</f>
        <v>#REF!</v>
      </c>
      <c r="GK85" t="e">
        <f>AND(#REF!,"AAAAAHs998A=")</f>
        <v>#REF!</v>
      </c>
      <c r="GL85" t="e">
        <f>AND(#REF!,"AAAAAHs998E=")</f>
        <v>#REF!</v>
      </c>
      <c r="GM85" t="e">
        <f>AND(#REF!,"AAAAAHs998I=")</f>
        <v>#REF!</v>
      </c>
      <c r="GN85" t="e">
        <f>AND(#REF!,"AAAAAHs998M=")</f>
        <v>#REF!</v>
      </c>
      <c r="GO85" t="e">
        <f>AND(#REF!,"AAAAAHs998Q=")</f>
        <v>#REF!</v>
      </c>
      <c r="GP85" t="e">
        <f>AND(#REF!,"AAAAAHs998U=")</f>
        <v>#REF!</v>
      </c>
      <c r="GQ85" t="e">
        <f>AND(#REF!,"AAAAAHs998Y=")</f>
        <v>#REF!</v>
      </c>
      <c r="GR85" t="e">
        <f>AND(#REF!,"AAAAAHs998c=")</f>
        <v>#REF!</v>
      </c>
      <c r="GS85" t="e">
        <f>AND(#REF!,"AAAAAHs998g=")</f>
        <v>#REF!</v>
      </c>
      <c r="GT85" t="e">
        <f>AND(#REF!,"AAAAAHs998k=")</f>
        <v>#REF!</v>
      </c>
      <c r="GU85" t="e">
        <f>AND(#REF!,"AAAAAHs998o=")</f>
        <v>#REF!</v>
      </c>
      <c r="GV85" t="e">
        <f>AND(#REF!,"AAAAAHs998s=")</f>
        <v>#REF!</v>
      </c>
      <c r="GW85" t="e">
        <f>AND(#REF!,"AAAAAHs998w=")</f>
        <v>#REF!</v>
      </c>
      <c r="GX85" t="e">
        <f>AND(#REF!,"AAAAAHs9980=")</f>
        <v>#REF!</v>
      </c>
      <c r="GY85" t="e">
        <f>AND(#REF!,"AAAAAHs9984=")</f>
        <v>#REF!</v>
      </c>
      <c r="GZ85" t="e">
        <f>AND(#REF!,"AAAAAHs9988=")</f>
        <v>#REF!</v>
      </c>
      <c r="HA85" t="e">
        <f>AND(#REF!,"AAAAAHs999A=")</f>
        <v>#REF!</v>
      </c>
      <c r="HB85" t="e">
        <f>AND(#REF!,"AAAAAHs999E=")</f>
        <v>#REF!</v>
      </c>
      <c r="HC85" t="e">
        <f>AND(#REF!,"AAAAAHs999I=")</f>
        <v>#REF!</v>
      </c>
      <c r="HD85" t="e">
        <f>AND(#REF!,"AAAAAHs999M=")</f>
        <v>#REF!</v>
      </c>
      <c r="HE85" t="e">
        <f>AND(#REF!,"AAAAAHs999Q=")</f>
        <v>#REF!</v>
      </c>
      <c r="HF85" t="e">
        <f>AND(#REF!,"AAAAAHs999U=")</f>
        <v>#REF!</v>
      </c>
      <c r="HG85" t="e">
        <f>AND(#REF!,"AAAAAHs999Y=")</f>
        <v>#REF!</v>
      </c>
      <c r="HH85" t="e">
        <f>AND(#REF!,"AAAAAHs999c=")</f>
        <v>#REF!</v>
      </c>
      <c r="HI85" t="e">
        <f>AND(#REF!,"AAAAAHs999g=")</f>
        <v>#REF!</v>
      </c>
      <c r="HJ85" t="e">
        <f>AND(#REF!,"AAAAAHs999k=")</f>
        <v>#REF!</v>
      </c>
      <c r="HK85" t="e">
        <f>AND(#REF!,"AAAAAHs999o=")</f>
        <v>#REF!</v>
      </c>
      <c r="HL85" t="e">
        <f>AND(#REF!,"AAAAAHs999s=")</f>
        <v>#REF!</v>
      </c>
      <c r="HM85" t="e">
        <f>AND(#REF!,"AAAAAHs999w=")</f>
        <v>#REF!</v>
      </c>
      <c r="HN85" t="e">
        <f>AND(#REF!,"AAAAAHs9990=")</f>
        <v>#REF!</v>
      </c>
      <c r="HO85" t="e">
        <f>AND(#REF!,"AAAAAHs9994=")</f>
        <v>#REF!</v>
      </c>
      <c r="HP85" t="e">
        <f>AND(#REF!,"AAAAAHs9998=")</f>
        <v>#REF!</v>
      </c>
      <c r="HQ85" t="e">
        <f>AND(#REF!,"AAAAAHs99+A=")</f>
        <v>#REF!</v>
      </c>
      <c r="HR85" t="e">
        <f>AND(#REF!,"AAAAAHs99+E=")</f>
        <v>#REF!</v>
      </c>
      <c r="HS85" t="e">
        <f>AND(#REF!,"AAAAAHs99+I=")</f>
        <v>#REF!</v>
      </c>
      <c r="HT85" t="e">
        <f>AND(#REF!,"AAAAAHs99+M=")</f>
        <v>#REF!</v>
      </c>
      <c r="HU85" t="e">
        <f>AND(#REF!,"AAAAAHs99+Q=")</f>
        <v>#REF!</v>
      </c>
      <c r="HV85" t="e">
        <f>AND(#REF!,"AAAAAHs99+U=")</f>
        <v>#REF!</v>
      </c>
      <c r="HW85" t="e">
        <f>AND(#REF!,"AAAAAHs99+Y=")</f>
        <v>#REF!</v>
      </c>
      <c r="HX85" t="e">
        <f>AND(#REF!,"AAAAAHs99+c=")</f>
        <v>#REF!</v>
      </c>
      <c r="HY85" t="e">
        <f>AND(#REF!,"AAAAAHs99+g=")</f>
        <v>#REF!</v>
      </c>
      <c r="HZ85" t="e">
        <f>AND(#REF!,"AAAAAHs99+k=")</f>
        <v>#REF!</v>
      </c>
      <c r="IA85" t="e">
        <f>AND(#REF!,"AAAAAHs99+o=")</f>
        <v>#REF!</v>
      </c>
      <c r="IB85" t="e">
        <f>AND(#REF!,"AAAAAHs99+s=")</f>
        <v>#REF!</v>
      </c>
      <c r="IC85" t="e">
        <f>AND(#REF!,"AAAAAHs99+w=")</f>
        <v>#REF!</v>
      </c>
      <c r="ID85" t="e">
        <f>AND(#REF!,"AAAAAHs99+0=")</f>
        <v>#REF!</v>
      </c>
      <c r="IE85" t="e">
        <f>AND(#REF!,"AAAAAHs99+4=")</f>
        <v>#REF!</v>
      </c>
      <c r="IF85" t="e">
        <f>AND(#REF!,"AAAAAHs99+8=")</f>
        <v>#REF!</v>
      </c>
      <c r="IG85" t="e">
        <f>AND(#REF!,"AAAAAHs99/A=")</f>
        <v>#REF!</v>
      </c>
      <c r="IH85" t="e">
        <f>AND(#REF!,"AAAAAHs99/E=")</f>
        <v>#REF!</v>
      </c>
      <c r="II85" t="e">
        <f>AND(#REF!,"AAAAAHs99/I=")</f>
        <v>#REF!</v>
      </c>
      <c r="IJ85" t="e">
        <f>AND(#REF!,"AAAAAHs99/M=")</f>
        <v>#REF!</v>
      </c>
      <c r="IK85" t="e">
        <f>AND(#REF!,"AAAAAHs99/Q=")</f>
        <v>#REF!</v>
      </c>
      <c r="IL85" t="e">
        <f>AND(#REF!,"AAAAAHs99/U=")</f>
        <v>#REF!</v>
      </c>
      <c r="IM85" t="e">
        <f>AND(#REF!,"AAAAAHs99/Y=")</f>
        <v>#REF!</v>
      </c>
      <c r="IN85" t="e">
        <f>AND(#REF!,"AAAAAHs99/c=")</f>
        <v>#REF!</v>
      </c>
      <c r="IO85" t="e">
        <f>AND(#REF!,"AAAAAHs99/g=")</f>
        <v>#REF!</v>
      </c>
      <c r="IP85" t="e">
        <f>AND(#REF!,"AAAAAHs99/k=")</f>
        <v>#REF!</v>
      </c>
      <c r="IQ85" t="e">
        <f>AND(#REF!,"AAAAAHs99/o=")</f>
        <v>#REF!</v>
      </c>
      <c r="IR85" t="e">
        <f>AND(#REF!,"AAAAAHs99/s=")</f>
        <v>#REF!</v>
      </c>
      <c r="IS85" t="e">
        <f>AND(#REF!,"AAAAAHs99/w=")</f>
        <v>#REF!</v>
      </c>
      <c r="IT85" t="e">
        <f>AND(#REF!,"AAAAAHs99/0=")</f>
        <v>#REF!</v>
      </c>
      <c r="IU85" t="e">
        <f>AND(#REF!,"AAAAAHs99/4=")</f>
        <v>#REF!</v>
      </c>
      <c r="IV85" t="e">
        <f>AND(#REF!,"AAAAAHs99/8=")</f>
        <v>#REF!</v>
      </c>
    </row>
    <row r="86" spans="1:256">
      <c r="A86" t="e">
        <f>AND(#REF!,"AAAAAH/7/wA=")</f>
        <v>#REF!</v>
      </c>
      <c r="B86" t="e">
        <f>AND(#REF!,"AAAAAH/7/wE=")</f>
        <v>#REF!</v>
      </c>
      <c r="C86" t="e">
        <f>AND(#REF!,"AAAAAH/7/wI=")</f>
        <v>#REF!</v>
      </c>
      <c r="D86" t="e">
        <f>AND(#REF!,"AAAAAH/7/wM=")</f>
        <v>#REF!</v>
      </c>
      <c r="E86" t="e">
        <f>AND(#REF!,"AAAAAH/7/wQ=")</f>
        <v>#REF!</v>
      </c>
      <c r="F86" t="e">
        <f>AND(#REF!,"AAAAAH/7/wU=")</f>
        <v>#REF!</v>
      </c>
      <c r="G86" t="e">
        <f>AND(#REF!,"AAAAAH/7/wY=")</f>
        <v>#REF!</v>
      </c>
      <c r="H86" t="e">
        <f>AND(#REF!,"AAAAAH/7/wc=")</f>
        <v>#REF!</v>
      </c>
      <c r="I86" t="e">
        <f>AND(#REF!,"AAAAAH/7/wg=")</f>
        <v>#REF!</v>
      </c>
      <c r="J86" t="e">
        <f>AND(#REF!,"AAAAAH/7/wk=")</f>
        <v>#REF!</v>
      </c>
      <c r="K86" t="e">
        <f>AND(#REF!,"AAAAAH/7/wo=")</f>
        <v>#REF!</v>
      </c>
      <c r="L86" t="e">
        <f>AND(#REF!,"AAAAAH/7/ws=")</f>
        <v>#REF!</v>
      </c>
      <c r="M86" t="e">
        <f>AND(#REF!,"AAAAAH/7/ww=")</f>
        <v>#REF!</v>
      </c>
      <c r="N86" t="e">
        <f>AND(#REF!,"AAAAAH/7/w0=")</f>
        <v>#REF!</v>
      </c>
      <c r="O86" t="e">
        <f>AND(#REF!,"AAAAAH/7/w4=")</f>
        <v>#REF!</v>
      </c>
      <c r="P86" t="e">
        <f>AND(#REF!,"AAAAAH/7/w8=")</f>
        <v>#REF!</v>
      </c>
      <c r="Q86" t="e">
        <f>IF(#REF!,"AAAAAH/7/xA=",0)</f>
        <v>#REF!</v>
      </c>
      <c r="R86" t="e">
        <f>AND(#REF!,"AAAAAH/7/xE=")</f>
        <v>#REF!</v>
      </c>
      <c r="S86" t="e">
        <f>AND(#REF!,"AAAAAH/7/xI=")</f>
        <v>#REF!</v>
      </c>
      <c r="T86" t="e">
        <f>AND(#REF!,"AAAAAH/7/xM=")</f>
        <v>#REF!</v>
      </c>
      <c r="U86" t="e">
        <f>AND(#REF!,"AAAAAH/7/xQ=")</f>
        <v>#REF!</v>
      </c>
      <c r="V86" t="e">
        <f>AND(#REF!,"AAAAAH/7/xU=")</f>
        <v>#REF!</v>
      </c>
      <c r="W86" t="e">
        <f>AND(#REF!,"AAAAAH/7/xY=")</f>
        <v>#REF!</v>
      </c>
      <c r="X86" t="e">
        <f>AND(#REF!,"AAAAAH/7/xc=")</f>
        <v>#REF!</v>
      </c>
      <c r="Y86" t="e">
        <f>AND(#REF!,"AAAAAH/7/xg=")</f>
        <v>#REF!</v>
      </c>
      <c r="Z86" t="e">
        <f>AND(#REF!,"AAAAAH/7/xk=")</f>
        <v>#REF!</v>
      </c>
      <c r="AA86" t="e">
        <f>AND(#REF!,"AAAAAH/7/xo=")</f>
        <v>#REF!</v>
      </c>
      <c r="AB86" t="e">
        <f>AND(#REF!,"AAAAAH/7/xs=")</f>
        <v>#REF!</v>
      </c>
      <c r="AC86" t="e">
        <f>AND(#REF!,"AAAAAH/7/xw=")</f>
        <v>#REF!</v>
      </c>
      <c r="AD86" t="e">
        <f>AND(#REF!,"AAAAAH/7/x0=")</f>
        <v>#REF!</v>
      </c>
      <c r="AE86" t="e">
        <f>AND(#REF!,"AAAAAH/7/x4=")</f>
        <v>#REF!</v>
      </c>
      <c r="AF86" t="e">
        <f>AND(#REF!,"AAAAAH/7/x8=")</f>
        <v>#REF!</v>
      </c>
      <c r="AG86" t="e">
        <f>AND(#REF!,"AAAAAH/7/yA=")</f>
        <v>#REF!</v>
      </c>
      <c r="AH86" t="e">
        <f>AND(#REF!,"AAAAAH/7/yE=")</f>
        <v>#REF!</v>
      </c>
      <c r="AI86" t="e">
        <f>AND(#REF!,"AAAAAH/7/yI=")</f>
        <v>#REF!</v>
      </c>
      <c r="AJ86" t="e">
        <f>AND(#REF!,"AAAAAH/7/yM=")</f>
        <v>#REF!</v>
      </c>
      <c r="AK86" t="e">
        <f>AND(#REF!,"AAAAAH/7/yQ=")</f>
        <v>#REF!</v>
      </c>
      <c r="AL86" t="e">
        <f>AND(#REF!,"AAAAAH/7/yU=")</f>
        <v>#REF!</v>
      </c>
      <c r="AM86" t="e">
        <f>AND(#REF!,"AAAAAH/7/yY=")</f>
        <v>#REF!</v>
      </c>
      <c r="AN86" t="e">
        <f>AND(#REF!,"AAAAAH/7/yc=")</f>
        <v>#REF!</v>
      </c>
      <c r="AO86" t="e">
        <f>AND(#REF!,"AAAAAH/7/yg=")</f>
        <v>#REF!</v>
      </c>
      <c r="AP86" t="e">
        <f>AND(#REF!,"AAAAAH/7/yk=")</f>
        <v>#REF!</v>
      </c>
      <c r="AQ86" t="e">
        <f>AND(#REF!,"AAAAAH/7/yo=")</f>
        <v>#REF!</v>
      </c>
      <c r="AR86" t="e">
        <f>AND(#REF!,"AAAAAH/7/ys=")</f>
        <v>#REF!</v>
      </c>
      <c r="AS86" t="e">
        <f>AND(#REF!,"AAAAAH/7/yw=")</f>
        <v>#REF!</v>
      </c>
      <c r="AT86" t="e">
        <f>AND(#REF!,"AAAAAH/7/y0=")</f>
        <v>#REF!</v>
      </c>
      <c r="AU86" t="e">
        <f>AND(#REF!,"AAAAAH/7/y4=")</f>
        <v>#REF!</v>
      </c>
      <c r="AV86" t="e">
        <f>AND(#REF!,"AAAAAH/7/y8=")</f>
        <v>#REF!</v>
      </c>
      <c r="AW86" t="e">
        <f>AND(#REF!,"AAAAAH/7/zA=")</f>
        <v>#REF!</v>
      </c>
      <c r="AX86" t="e">
        <f>AND(#REF!,"AAAAAH/7/zE=")</f>
        <v>#REF!</v>
      </c>
      <c r="AY86" t="e">
        <f>AND(#REF!,"AAAAAH/7/zI=")</f>
        <v>#REF!</v>
      </c>
      <c r="AZ86" t="e">
        <f>AND(#REF!,"AAAAAH/7/zM=")</f>
        <v>#REF!</v>
      </c>
      <c r="BA86" t="e">
        <f>AND(#REF!,"AAAAAH/7/zQ=")</f>
        <v>#REF!</v>
      </c>
      <c r="BB86" t="e">
        <f>AND(#REF!,"AAAAAH/7/zU=")</f>
        <v>#REF!</v>
      </c>
      <c r="BC86" t="e">
        <f>AND(#REF!,"AAAAAH/7/zY=")</f>
        <v>#REF!</v>
      </c>
      <c r="BD86" t="e">
        <f>AND(#REF!,"AAAAAH/7/zc=")</f>
        <v>#REF!</v>
      </c>
      <c r="BE86" t="e">
        <f>AND(#REF!,"AAAAAH/7/zg=")</f>
        <v>#REF!</v>
      </c>
      <c r="BF86" t="e">
        <f>AND(#REF!,"AAAAAH/7/zk=")</f>
        <v>#REF!</v>
      </c>
      <c r="BG86" t="e">
        <f>AND(#REF!,"AAAAAH/7/zo=")</f>
        <v>#REF!</v>
      </c>
      <c r="BH86" t="e">
        <f>AND(#REF!,"AAAAAH/7/zs=")</f>
        <v>#REF!</v>
      </c>
      <c r="BI86" t="e">
        <f>AND(#REF!,"AAAAAH/7/zw=")</f>
        <v>#REF!</v>
      </c>
      <c r="BJ86" t="e">
        <f>AND(#REF!,"AAAAAH/7/z0=")</f>
        <v>#REF!</v>
      </c>
      <c r="BK86" t="e">
        <f>AND(#REF!,"AAAAAH/7/z4=")</f>
        <v>#REF!</v>
      </c>
      <c r="BL86" t="e">
        <f>AND(#REF!,"AAAAAH/7/z8=")</f>
        <v>#REF!</v>
      </c>
      <c r="BM86" t="e">
        <f>AND(#REF!,"AAAAAH/7/0A=")</f>
        <v>#REF!</v>
      </c>
      <c r="BN86" t="e">
        <f>AND(#REF!,"AAAAAH/7/0E=")</f>
        <v>#REF!</v>
      </c>
      <c r="BO86" t="e">
        <f>AND(#REF!,"AAAAAH/7/0I=")</f>
        <v>#REF!</v>
      </c>
      <c r="BP86" t="e">
        <f>AND(#REF!,"AAAAAH/7/0M=")</f>
        <v>#REF!</v>
      </c>
      <c r="BQ86" t="e">
        <f>AND(#REF!,"AAAAAH/7/0Q=")</f>
        <v>#REF!</v>
      </c>
      <c r="BR86" t="e">
        <f>AND(#REF!,"AAAAAH/7/0U=")</f>
        <v>#REF!</v>
      </c>
      <c r="BS86" t="e">
        <f>AND(#REF!,"AAAAAH/7/0Y=")</f>
        <v>#REF!</v>
      </c>
      <c r="BT86" t="e">
        <f>AND(#REF!,"AAAAAH/7/0c=")</f>
        <v>#REF!</v>
      </c>
      <c r="BU86" t="e">
        <f>AND(#REF!,"AAAAAH/7/0g=")</f>
        <v>#REF!</v>
      </c>
      <c r="BV86" t="e">
        <f>AND(#REF!,"AAAAAH/7/0k=")</f>
        <v>#REF!</v>
      </c>
      <c r="BW86" t="e">
        <f>AND(#REF!,"AAAAAH/7/0o=")</f>
        <v>#REF!</v>
      </c>
      <c r="BX86" t="e">
        <f>AND(#REF!,"AAAAAH/7/0s=")</f>
        <v>#REF!</v>
      </c>
      <c r="BY86" t="e">
        <f>AND(#REF!,"AAAAAH/7/0w=")</f>
        <v>#REF!</v>
      </c>
      <c r="BZ86" t="e">
        <f>AND(#REF!,"AAAAAH/7/00=")</f>
        <v>#REF!</v>
      </c>
      <c r="CA86" t="e">
        <f>AND(#REF!,"AAAAAH/7/04=")</f>
        <v>#REF!</v>
      </c>
      <c r="CB86" t="e">
        <f>AND(#REF!,"AAAAAH/7/08=")</f>
        <v>#REF!</v>
      </c>
      <c r="CC86" t="e">
        <f>AND(#REF!,"AAAAAH/7/1A=")</f>
        <v>#REF!</v>
      </c>
      <c r="CD86" t="e">
        <f>AND(#REF!,"AAAAAH/7/1E=")</f>
        <v>#REF!</v>
      </c>
      <c r="CE86" t="e">
        <f>AND(#REF!,"AAAAAH/7/1I=")</f>
        <v>#REF!</v>
      </c>
      <c r="CF86" t="e">
        <f>AND(#REF!,"AAAAAH/7/1M=")</f>
        <v>#REF!</v>
      </c>
      <c r="CG86" t="e">
        <f>AND(#REF!,"AAAAAH/7/1Q=")</f>
        <v>#REF!</v>
      </c>
      <c r="CH86" t="e">
        <f>AND(#REF!,"AAAAAH/7/1U=")</f>
        <v>#REF!</v>
      </c>
      <c r="CI86" t="e">
        <f>AND(#REF!,"AAAAAH/7/1Y=")</f>
        <v>#REF!</v>
      </c>
      <c r="CJ86" t="e">
        <f>AND(#REF!,"AAAAAH/7/1c=")</f>
        <v>#REF!</v>
      </c>
      <c r="CK86" t="e">
        <f>AND(#REF!,"AAAAAH/7/1g=")</f>
        <v>#REF!</v>
      </c>
      <c r="CL86" t="e">
        <f>AND(#REF!,"AAAAAH/7/1k=")</f>
        <v>#REF!</v>
      </c>
      <c r="CM86" t="e">
        <f>AND(#REF!,"AAAAAH/7/1o=")</f>
        <v>#REF!</v>
      </c>
      <c r="CN86" t="e">
        <f>AND(#REF!,"AAAAAH/7/1s=")</f>
        <v>#REF!</v>
      </c>
      <c r="CO86" t="e">
        <f>AND(#REF!,"AAAAAH/7/1w=")</f>
        <v>#REF!</v>
      </c>
      <c r="CP86" t="e">
        <f>AND(#REF!,"AAAAAH/7/10=")</f>
        <v>#REF!</v>
      </c>
      <c r="CQ86" t="e">
        <f>AND(#REF!,"AAAAAH/7/14=")</f>
        <v>#REF!</v>
      </c>
      <c r="CR86" t="e">
        <f>AND(#REF!,"AAAAAH/7/18=")</f>
        <v>#REF!</v>
      </c>
      <c r="CS86" t="e">
        <f>AND(#REF!,"AAAAAH/7/2A=")</f>
        <v>#REF!</v>
      </c>
      <c r="CT86" t="e">
        <f>AND(#REF!,"AAAAAH/7/2E=")</f>
        <v>#REF!</v>
      </c>
      <c r="CU86" t="e">
        <f>AND(#REF!,"AAAAAH/7/2I=")</f>
        <v>#REF!</v>
      </c>
      <c r="CV86" t="e">
        <f>AND(#REF!,"AAAAAH/7/2M=")</f>
        <v>#REF!</v>
      </c>
      <c r="CW86" t="e">
        <f>AND(#REF!,"AAAAAH/7/2Q=")</f>
        <v>#REF!</v>
      </c>
      <c r="CX86" t="e">
        <f>AND(#REF!,"AAAAAH/7/2U=")</f>
        <v>#REF!</v>
      </c>
      <c r="CY86" t="e">
        <f>AND(#REF!,"AAAAAH/7/2Y=")</f>
        <v>#REF!</v>
      </c>
      <c r="CZ86" t="e">
        <f>AND(#REF!,"AAAAAH/7/2c=")</f>
        <v>#REF!</v>
      </c>
      <c r="DA86" t="e">
        <f>AND(#REF!,"AAAAAH/7/2g=")</f>
        <v>#REF!</v>
      </c>
      <c r="DB86" t="e">
        <f>AND(#REF!,"AAAAAH/7/2k=")</f>
        <v>#REF!</v>
      </c>
      <c r="DC86" t="e">
        <f>AND(#REF!,"AAAAAH/7/2o=")</f>
        <v>#REF!</v>
      </c>
      <c r="DD86" t="e">
        <f>AND(#REF!,"AAAAAH/7/2s=")</f>
        <v>#REF!</v>
      </c>
      <c r="DE86" t="e">
        <f>AND(#REF!,"AAAAAH/7/2w=")</f>
        <v>#REF!</v>
      </c>
      <c r="DF86" t="e">
        <f>AND(#REF!,"AAAAAH/7/20=")</f>
        <v>#REF!</v>
      </c>
      <c r="DG86" t="e">
        <f>AND(#REF!,"AAAAAH/7/24=")</f>
        <v>#REF!</v>
      </c>
      <c r="DH86" t="e">
        <f>AND(#REF!,"AAAAAH/7/28=")</f>
        <v>#REF!</v>
      </c>
      <c r="DI86" t="e">
        <f>AND(#REF!,"AAAAAH/7/3A=")</f>
        <v>#REF!</v>
      </c>
      <c r="DJ86" t="e">
        <f>AND(#REF!,"AAAAAH/7/3E=")</f>
        <v>#REF!</v>
      </c>
      <c r="DK86" t="e">
        <f>AND(#REF!,"AAAAAH/7/3I=")</f>
        <v>#REF!</v>
      </c>
      <c r="DL86" t="e">
        <f>AND(#REF!,"AAAAAH/7/3M=")</f>
        <v>#REF!</v>
      </c>
      <c r="DM86" t="e">
        <f>AND(#REF!,"AAAAAH/7/3Q=")</f>
        <v>#REF!</v>
      </c>
      <c r="DN86" t="e">
        <f>AND(#REF!,"AAAAAH/7/3U=")</f>
        <v>#REF!</v>
      </c>
      <c r="DO86" t="e">
        <f>AND(#REF!,"AAAAAH/7/3Y=")</f>
        <v>#REF!</v>
      </c>
      <c r="DP86" t="e">
        <f>AND(#REF!,"AAAAAH/7/3c=")</f>
        <v>#REF!</v>
      </c>
      <c r="DQ86" t="e">
        <f>AND(#REF!,"AAAAAH/7/3g=")</f>
        <v>#REF!</v>
      </c>
      <c r="DR86" t="e">
        <f>AND(#REF!,"AAAAAH/7/3k=")</f>
        <v>#REF!</v>
      </c>
      <c r="DS86" t="e">
        <f>AND(#REF!,"AAAAAH/7/3o=")</f>
        <v>#REF!</v>
      </c>
      <c r="DT86" t="e">
        <f>AND(#REF!,"AAAAAH/7/3s=")</f>
        <v>#REF!</v>
      </c>
      <c r="DU86" t="e">
        <f>AND(#REF!,"AAAAAH/7/3w=")</f>
        <v>#REF!</v>
      </c>
      <c r="DV86" t="e">
        <f>AND(#REF!,"AAAAAH/7/30=")</f>
        <v>#REF!</v>
      </c>
      <c r="DW86" t="e">
        <f>AND(#REF!,"AAAAAH/7/34=")</f>
        <v>#REF!</v>
      </c>
      <c r="DX86" t="e">
        <f>AND(#REF!,"AAAAAH/7/38=")</f>
        <v>#REF!</v>
      </c>
      <c r="DY86" t="e">
        <f>AND(#REF!,"AAAAAH/7/4A=")</f>
        <v>#REF!</v>
      </c>
      <c r="DZ86" t="e">
        <f>AND(#REF!,"AAAAAH/7/4E=")</f>
        <v>#REF!</v>
      </c>
      <c r="EA86" t="e">
        <f>AND(#REF!,"AAAAAH/7/4I=")</f>
        <v>#REF!</v>
      </c>
      <c r="EB86" t="e">
        <f>AND(#REF!,"AAAAAH/7/4M=")</f>
        <v>#REF!</v>
      </c>
      <c r="EC86" t="e">
        <f>AND(#REF!,"AAAAAH/7/4Q=")</f>
        <v>#REF!</v>
      </c>
      <c r="ED86" t="e">
        <f>AND(#REF!,"AAAAAH/7/4U=")</f>
        <v>#REF!</v>
      </c>
      <c r="EE86" t="e">
        <f>AND(#REF!,"AAAAAH/7/4Y=")</f>
        <v>#REF!</v>
      </c>
      <c r="EF86" t="e">
        <f>AND(#REF!,"AAAAAH/7/4c=")</f>
        <v>#REF!</v>
      </c>
      <c r="EG86" t="e">
        <f>AND(#REF!,"AAAAAH/7/4g=")</f>
        <v>#REF!</v>
      </c>
      <c r="EH86" t="e">
        <f>AND(#REF!,"AAAAAH/7/4k=")</f>
        <v>#REF!</v>
      </c>
      <c r="EI86" t="e">
        <f>AND(#REF!,"AAAAAH/7/4o=")</f>
        <v>#REF!</v>
      </c>
      <c r="EJ86" t="e">
        <f>AND(#REF!,"AAAAAH/7/4s=")</f>
        <v>#REF!</v>
      </c>
      <c r="EK86" t="e">
        <f>AND(#REF!,"AAAAAH/7/4w=")</f>
        <v>#REF!</v>
      </c>
      <c r="EL86" t="e">
        <f>AND(#REF!,"AAAAAH/7/40=")</f>
        <v>#REF!</v>
      </c>
      <c r="EM86" t="e">
        <f>AND(#REF!,"AAAAAH/7/44=")</f>
        <v>#REF!</v>
      </c>
      <c r="EN86" t="e">
        <f>AND(#REF!,"AAAAAH/7/48=")</f>
        <v>#REF!</v>
      </c>
      <c r="EO86" t="e">
        <f>IF(#REF!,"AAAAAH/7/5A=",0)</f>
        <v>#REF!</v>
      </c>
      <c r="EP86" t="e">
        <f>AND(#REF!,"AAAAAH/7/5E=")</f>
        <v>#REF!</v>
      </c>
      <c r="EQ86" t="e">
        <f>AND(#REF!,"AAAAAH/7/5I=")</f>
        <v>#REF!</v>
      </c>
      <c r="ER86" t="e">
        <f>AND(#REF!,"AAAAAH/7/5M=")</f>
        <v>#REF!</v>
      </c>
      <c r="ES86" t="e">
        <f>AND(#REF!,"AAAAAH/7/5Q=")</f>
        <v>#REF!</v>
      </c>
      <c r="ET86" t="e">
        <f>AND(#REF!,"AAAAAH/7/5U=")</f>
        <v>#REF!</v>
      </c>
      <c r="EU86" t="e">
        <f>AND(#REF!,"AAAAAH/7/5Y=")</f>
        <v>#REF!</v>
      </c>
      <c r="EV86" t="e">
        <f>AND(#REF!,"AAAAAH/7/5c=")</f>
        <v>#REF!</v>
      </c>
      <c r="EW86" t="e">
        <f>AND(#REF!,"AAAAAH/7/5g=")</f>
        <v>#REF!</v>
      </c>
      <c r="EX86" t="e">
        <f>AND(#REF!,"AAAAAH/7/5k=")</f>
        <v>#REF!</v>
      </c>
      <c r="EY86" t="e">
        <f>AND(#REF!,"AAAAAH/7/5o=")</f>
        <v>#REF!</v>
      </c>
      <c r="EZ86" t="e">
        <f>AND(#REF!,"AAAAAH/7/5s=")</f>
        <v>#REF!</v>
      </c>
      <c r="FA86" t="e">
        <f>AND(#REF!,"AAAAAH/7/5w=")</f>
        <v>#REF!</v>
      </c>
      <c r="FB86" t="e">
        <f>AND(#REF!,"AAAAAH/7/50=")</f>
        <v>#REF!</v>
      </c>
      <c r="FC86" t="e">
        <f>AND(#REF!,"AAAAAH/7/54=")</f>
        <v>#REF!</v>
      </c>
      <c r="FD86" t="e">
        <f>AND(#REF!,"AAAAAH/7/58=")</f>
        <v>#REF!</v>
      </c>
      <c r="FE86" t="e">
        <f>AND(#REF!,"AAAAAH/7/6A=")</f>
        <v>#REF!</v>
      </c>
      <c r="FF86" t="e">
        <f>AND(#REF!,"AAAAAH/7/6E=")</f>
        <v>#REF!</v>
      </c>
      <c r="FG86" t="e">
        <f>AND(#REF!,"AAAAAH/7/6I=")</f>
        <v>#REF!</v>
      </c>
      <c r="FH86" t="e">
        <f>AND(#REF!,"AAAAAH/7/6M=")</f>
        <v>#REF!</v>
      </c>
      <c r="FI86" t="e">
        <f>AND(#REF!,"AAAAAH/7/6Q=")</f>
        <v>#REF!</v>
      </c>
      <c r="FJ86" t="e">
        <f>AND(#REF!,"AAAAAH/7/6U=")</f>
        <v>#REF!</v>
      </c>
      <c r="FK86" t="e">
        <f>AND(#REF!,"AAAAAH/7/6Y=")</f>
        <v>#REF!</v>
      </c>
      <c r="FL86" t="e">
        <f>AND(#REF!,"AAAAAH/7/6c=")</f>
        <v>#REF!</v>
      </c>
      <c r="FM86" t="e">
        <f>AND(#REF!,"AAAAAH/7/6g=")</f>
        <v>#REF!</v>
      </c>
      <c r="FN86" t="e">
        <f>AND(#REF!,"AAAAAH/7/6k=")</f>
        <v>#REF!</v>
      </c>
      <c r="FO86" t="e">
        <f>AND(#REF!,"AAAAAH/7/6o=")</f>
        <v>#REF!</v>
      </c>
      <c r="FP86" t="e">
        <f>AND(#REF!,"AAAAAH/7/6s=")</f>
        <v>#REF!</v>
      </c>
      <c r="FQ86" t="e">
        <f>AND(#REF!,"AAAAAH/7/6w=")</f>
        <v>#REF!</v>
      </c>
      <c r="FR86" t="e">
        <f>AND(#REF!,"AAAAAH/7/60=")</f>
        <v>#REF!</v>
      </c>
      <c r="FS86" t="e">
        <f>AND(#REF!,"AAAAAH/7/64=")</f>
        <v>#REF!</v>
      </c>
      <c r="FT86" t="e">
        <f>AND(#REF!,"AAAAAH/7/68=")</f>
        <v>#REF!</v>
      </c>
      <c r="FU86" t="e">
        <f>AND(#REF!,"AAAAAH/7/7A=")</f>
        <v>#REF!</v>
      </c>
      <c r="FV86" t="e">
        <f>AND(#REF!,"AAAAAH/7/7E=")</f>
        <v>#REF!</v>
      </c>
      <c r="FW86" t="e">
        <f>AND(#REF!,"AAAAAH/7/7I=")</f>
        <v>#REF!</v>
      </c>
      <c r="FX86" t="e">
        <f>AND(#REF!,"AAAAAH/7/7M=")</f>
        <v>#REF!</v>
      </c>
      <c r="FY86" t="e">
        <f>AND(#REF!,"AAAAAH/7/7Q=")</f>
        <v>#REF!</v>
      </c>
      <c r="FZ86" t="e">
        <f>AND(#REF!,"AAAAAH/7/7U=")</f>
        <v>#REF!</v>
      </c>
      <c r="GA86" t="e">
        <f>AND(#REF!,"AAAAAH/7/7Y=")</f>
        <v>#REF!</v>
      </c>
      <c r="GB86" t="e">
        <f>AND(#REF!,"AAAAAH/7/7c=")</f>
        <v>#REF!</v>
      </c>
      <c r="GC86" t="e">
        <f>AND(#REF!,"AAAAAH/7/7g=")</f>
        <v>#REF!</v>
      </c>
      <c r="GD86" t="e">
        <f>AND(#REF!,"AAAAAH/7/7k=")</f>
        <v>#REF!</v>
      </c>
      <c r="GE86" t="e">
        <f>AND(#REF!,"AAAAAH/7/7o=")</f>
        <v>#REF!</v>
      </c>
      <c r="GF86" t="e">
        <f>AND(#REF!,"AAAAAH/7/7s=")</f>
        <v>#REF!</v>
      </c>
      <c r="GG86" t="e">
        <f>AND(#REF!,"AAAAAH/7/7w=")</f>
        <v>#REF!</v>
      </c>
      <c r="GH86" t="e">
        <f>AND(#REF!,"AAAAAH/7/70=")</f>
        <v>#REF!</v>
      </c>
      <c r="GI86" t="e">
        <f>AND(#REF!,"AAAAAH/7/74=")</f>
        <v>#REF!</v>
      </c>
      <c r="GJ86" t="e">
        <f>AND(#REF!,"AAAAAH/7/78=")</f>
        <v>#REF!</v>
      </c>
      <c r="GK86" t="e">
        <f>AND(#REF!,"AAAAAH/7/8A=")</f>
        <v>#REF!</v>
      </c>
      <c r="GL86" t="e">
        <f>AND(#REF!,"AAAAAH/7/8E=")</f>
        <v>#REF!</v>
      </c>
      <c r="GM86" t="e">
        <f>AND(#REF!,"AAAAAH/7/8I=")</f>
        <v>#REF!</v>
      </c>
      <c r="GN86" t="e">
        <f>AND(#REF!,"AAAAAH/7/8M=")</f>
        <v>#REF!</v>
      </c>
      <c r="GO86" t="e">
        <f>AND(#REF!,"AAAAAH/7/8Q=")</f>
        <v>#REF!</v>
      </c>
      <c r="GP86" t="e">
        <f>AND(#REF!,"AAAAAH/7/8U=")</f>
        <v>#REF!</v>
      </c>
      <c r="GQ86" t="e">
        <f>AND(#REF!,"AAAAAH/7/8Y=")</f>
        <v>#REF!</v>
      </c>
      <c r="GR86" t="e">
        <f>AND(#REF!,"AAAAAH/7/8c=")</f>
        <v>#REF!</v>
      </c>
      <c r="GS86" t="e">
        <f>AND(#REF!,"AAAAAH/7/8g=")</f>
        <v>#REF!</v>
      </c>
      <c r="GT86" t="e">
        <f>AND(#REF!,"AAAAAH/7/8k=")</f>
        <v>#REF!</v>
      </c>
      <c r="GU86" t="e">
        <f>AND(#REF!,"AAAAAH/7/8o=")</f>
        <v>#REF!</v>
      </c>
      <c r="GV86" t="e">
        <f>AND(#REF!,"AAAAAH/7/8s=")</f>
        <v>#REF!</v>
      </c>
      <c r="GW86" t="e">
        <f>AND(#REF!,"AAAAAH/7/8w=")</f>
        <v>#REF!</v>
      </c>
      <c r="GX86" t="e">
        <f>AND(#REF!,"AAAAAH/7/80=")</f>
        <v>#REF!</v>
      </c>
      <c r="GY86" t="e">
        <f>AND(#REF!,"AAAAAH/7/84=")</f>
        <v>#REF!</v>
      </c>
      <c r="GZ86" t="e">
        <f>AND(#REF!,"AAAAAH/7/88=")</f>
        <v>#REF!</v>
      </c>
      <c r="HA86" t="e">
        <f>AND(#REF!,"AAAAAH/7/9A=")</f>
        <v>#REF!</v>
      </c>
      <c r="HB86" t="e">
        <f>AND(#REF!,"AAAAAH/7/9E=")</f>
        <v>#REF!</v>
      </c>
      <c r="HC86" t="e">
        <f>AND(#REF!,"AAAAAH/7/9I=")</f>
        <v>#REF!</v>
      </c>
      <c r="HD86" t="e">
        <f>AND(#REF!,"AAAAAH/7/9M=")</f>
        <v>#REF!</v>
      </c>
      <c r="HE86" t="e">
        <f>AND(#REF!,"AAAAAH/7/9Q=")</f>
        <v>#REF!</v>
      </c>
      <c r="HF86" t="e">
        <f>AND(#REF!,"AAAAAH/7/9U=")</f>
        <v>#REF!</v>
      </c>
      <c r="HG86" t="e">
        <f>AND(#REF!,"AAAAAH/7/9Y=")</f>
        <v>#REF!</v>
      </c>
      <c r="HH86" t="e">
        <f>AND(#REF!,"AAAAAH/7/9c=")</f>
        <v>#REF!</v>
      </c>
      <c r="HI86" t="e">
        <f>AND(#REF!,"AAAAAH/7/9g=")</f>
        <v>#REF!</v>
      </c>
      <c r="HJ86" t="e">
        <f>AND(#REF!,"AAAAAH/7/9k=")</f>
        <v>#REF!</v>
      </c>
      <c r="HK86" t="e">
        <f>AND(#REF!,"AAAAAH/7/9o=")</f>
        <v>#REF!</v>
      </c>
      <c r="HL86" t="e">
        <f>AND(#REF!,"AAAAAH/7/9s=")</f>
        <v>#REF!</v>
      </c>
      <c r="HM86" t="e">
        <f>AND(#REF!,"AAAAAH/7/9w=")</f>
        <v>#REF!</v>
      </c>
      <c r="HN86" t="e">
        <f>AND(#REF!,"AAAAAH/7/90=")</f>
        <v>#REF!</v>
      </c>
      <c r="HO86" t="e">
        <f>AND(#REF!,"AAAAAH/7/94=")</f>
        <v>#REF!</v>
      </c>
      <c r="HP86" t="e">
        <f>AND(#REF!,"AAAAAH/7/98=")</f>
        <v>#REF!</v>
      </c>
      <c r="HQ86" t="e">
        <f>AND(#REF!,"AAAAAH/7/+A=")</f>
        <v>#REF!</v>
      </c>
      <c r="HR86" t="e">
        <f>AND(#REF!,"AAAAAH/7/+E=")</f>
        <v>#REF!</v>
      </c>
      <c r="HS86" t="e">
        <f>AND(#REF!,"AAAAAH/7/+I=")</f>
        <v>#REF!</v>
      </c>
      <c r="HT86" t="e">
        <f>AND(#REF!,"AAAAAH/7/+M=")</f>
        <v>#REF!</v>
      </c>
      <c r="HU86" t="e">
        <f>AND(#REF!,"AAAAAH/7/+Q=")</f>
        <v>#REF!</v>
      </c>
      <c r="HV86" t="e">
        <f>AND(#REF!,"AAAAAH/7/+U=")</f>
        <v>#REF!</v>
      </c>
      <c r="HW86" t="e">
        <f>AND(#REF!,"AAAAAH/7/+Y=")</f>
        <v>#REF!</v>
      </c>
      <c r="HX86" t="e">
        <f>AND(#REF!,"AAAAAH/7/+c=")</f>
        <v>#REF!</v>
      </c>
      <c r="HY86" t="e">
        <f>AND(#REF!,"AAAAAH/7/+g=")</f>
        <v>#REF!</v>
      </c>
      <c r="HZ86" t="e">
        <f>AND(#REF!,"AAAAAH/7/+k=")</f>
        <v>#REF!</v>
      </c>
      <c r="IA86" t="e">
        <f>AND(#REF!,"AAAAAH/7/+o=")</f>
        <v>#REF!</v>
      </c>
      <c r="IB86" t="e">
        <f>AND(#REF!,"AAAAAH/7/+s=")</f>
        <v>#REF!</v>
      </c>
      <c r="IC86" t="e">
        <f>AND(#REF!,"AAAAAH/7/+w=")</f>
        <v>#REF!</v>
      </c>
      <c r="ID86" t="e">
        <f>AND(#REF!,"AAAAAH/7/+0=")</f>
        <v>#REF!</v>
      </c>
      <c r="IE86" t="e">
        <f>AND(#REF!,"AAAAAH/7/+4=")</f>
        <v>#REF!</v>
      </c>
      <c r="IF86" t="e">
        <f>AND(#REF!,"AAAAAH/7/+8=")</f>
        <v>#REF!</v>
      </c>
      <c r="IG86" t="e">
        <f>AND(#REF!,"AAAAAH/7//A=")</f>
        <v>#REF!</v>
      </c>
      <c r="IH86" t="e">
        <f>AND(#REF!,"AAAAAH/7//E=")</f>
        <v>#REF!</v>
      </c>
      <c r="II86" t="e">
        <f>AND(#REF!,"AAAAAH/7//I=")</f>
        <v>#REF!</v>
      </c>
      <c r="IJ86" t="e">
        <f>AND(#REF!,"AAAAAH/7//M=")</f>
        <v>#REF!</v>
      </c>
      <c r="IK86" t="e">
        <f>AND(#REF!,"AAAAAH/7//Q=")</f>
        <v>#REF!</v>
      </c>
      <c r="IL86" t="e">
        <f>AND(#REF!,"AAAAAH/7//U=")</f>
        <v>#REF!</v>
      </c>
      <c r="IM86" t="e">
        <f>AND(#REF!,"AAAAAH/7//Y=")</f>
        <v>#REF!</v>
      </c>
      <c r="IN86" t="e">
        <f>AND(#REF!,"AAAAAH/7//c=")</f>
        <v>#REF!</v>
      </c>
      <c r="IO86" t="e">
        <f>AND(#REF!,"AAAAAH/7//g=")</f>
        <v>#REF!</v>
      </c>
      <c r="IP86" t="e">
        <f>AND(#REF!,"AAAAAH/7//k=")</f>
        <v>#REF!</v>
      </c>
      <c r="IQ86" t="e">
        <f>AND(#REF!,"AAAAAH/7//o=")</f>
        <v>#REF!</v>
      </c>
      <c r="IR86" t="e">
        <f>AND(#REF!,"AAAAAH/7//s=")</f>
        <v>#REF!</v>
      </c>
      <c r="IS86" t="e">
        <f>AND(#REF!,"AAAAAH/7//w=")</f>
        <v>#REF!</v>
      </c>
      <c r="IT86" t="e">
        <f>AND(#REF!,"AAAAAH/7//0=")</f>
        <v>#REF!</v>
      </c>
      <c r="IU86" t="e">
        <f>AND(#REF!,"AAAAAH/7//4=")</f>
        <v>#REF!</v>
      </c>
      <c r="IV86" t="e">
        <f>AND(#REF!,"AAAAAH/7//8=")</f>
        <v>#REF!</v>
      </c>
    </row>
    <row r="87" spans="1:256">
      <c r="A87" t="e">
        <f>AND(#REF!,"AAAAAFtzvwA=")</f>
        <v>#REF!</v>
      </c>
      <c r="B87" t="e">
        <f>AND(#REF!,"AAAAAFtzvwE=")</f>
        <v>#REF!</v>
      </c>
      <c r="C87" t="e">
        <f>AND(#REF!,"AAAAAFtzvwI=")</f>
        <v>#REF!</v>
      </c>
      <c r="D87" t="e">
        <f>AND(#REF!,"AAAAAFtzvwM=")</f>
        <v>#REF!</v>
      </c>
      <c r="E87" t="e">
        <f>AND(#REF!,"AAAAAFtzvwQ=")</f>
        <v>#REF!</v>
      </c>
      <c r="F87" t="e">
        <f>AND(#REF!,"AAAAAFtzvwU=")</f>
        <v>#REF!</v>
      </c>
      <c r="G87" t="e">
        <f>AND(#REF!,"AAAAAFtzvwY=")</f>
        <v>#REF!</v>
      </c>
      <c r="H87" t="e">
        <f>AND(#REF!,"AAAAAFtzvwc=")</f>
        <v>#REF!</v>
      </c>
      <c r="I87" t="e">
        <f>AND(#REF!,"AAAAAFtzvwg=")</f>
        <v>#REF!</v>
      </c>
      <c r="J87" t="e">
        <f>AND(#REF!,"AAAAAFtzvwk=")</f>
        <v>#REF!</v>
      </c>
      <c r="K87" t="e">
        <f>AND(#REF!,"AAAAAFtzvwo=")</f>
        <v>#REF!</v>
      </c>
      <c r="L87" t="e">
        <f>AND(#REF!,"AAAAAFtzvws=")</f>
        <v>#REF!</v>
      </c>
      <c r="M87" t="e">
        <f>AND(#REF!,"AAAAAFtzvww=")</f>
        <v>#REF!</v>
      </c>
      <c r="N87" t="e">
        <f>AND(#REF!,"AAAAAFtzvw0=")</f>
        <v>#REF!</v>
      </c>
      <c r="O87" t="e">
        <f>AND(#REF!,"AAAAAFtzvw4=")</f>
        <v>#REF!</v>
      </c>
      <c r="P87" t="e">
        <f>AND(#REF!,"AAAAAFtzvw8=")</f>
        <v>#REF!</v>
      </c>
      <c r="Q87" t="e">
        <f>AND(#REF!,"AAAAAFtzvxA=")</f>
        <v>#REF!</v>
      </c>
      <c r="R87" t="e">
        <f>AND(#REF!,"AAAAAFtzvxE=")</f>
        <v>#REF!</v>
      </c>
      <c r="S87" t="e">
        <f>AND(#REF!,"AAAAAFtzvxI=")</f>
        <v>#REF!</v>
      </c>
      <c r="T87" t="e">
        <f>AND(#REF!,"AAAAAFtzvxM=")</f>
        <v>#REF!</v>
      </c>
      <c r="U87" t="e">
        <f>AND(#REF!,"AAAAAFtzvxQ=")</f>
        <v>#REF!</v>
      </c>
      <c r="V87" t="e">
        <f>AND(#REF!,"AAAAAFtzvxU=")</f>
        <v>#REF!</v>
      </c>
      <c r="W87" t="e">
        <f>AND(#REF!,"AAAAAFtzvxY=")</f>
        <v>#REF!</v>
      </c>
      <c r="X87" t="e">
        <f>AND(#REF!,"AAAAAFtzvxc=")</f>
        <v>#REF!</v>
      </c>
      <c r="Y87" t="e">
        <f>AND(#REF!,"AAAAAFtzvxg=")</f>
        <v>#REF!</v>
      </c>
      <c r="Z87" t="e">
        <f>AND(#REF!,"AAAAAFtzvxk=")</f>
        <v>#REF!</v>
      </c>
      <c r="AA87" t="e">
        <f>AND(#REF!,"AAAAAFtzvxo=")</f>
        <v>#REF!</v>
      </c>
      <c r="AB87" t="e">
        <f>AND(#REF!,"AAAAAFtzvxs=")</f>
        <v>#REF!</v>
      </c>
      <c r="AC87" t="e">
        <f>AND(#REF!,"AAAAAFtzvxw=")</f>
        <v>#REF!</v>
      </c>
      <c r="AD87" t="e">
        <f>AND(#REF!,"AAAAAFtzvx0=")</f>
        <v>#REF!</v>
      </c>
      <c r="AE87" t="e">
        <f>AND(#REF!,"AAAAAFtzvx4=")</f>
        <v>#REF!</v>
      </c>
      <c r="AF87" t="e">
        <f>AND(#REF!,"AAAAAFtzvx8=")</f>
        <v>#REF!</v>
      </c>
      <c r="AG87" t="e">
        <f>AND(#REF!,"AAAAAFtzvyA=")</f>
        <v>#REF!</v>
      </c>
      <c r="AH87" t="e">
        <f>AND(#REF!,"AAAAAFtzvyE=")</f>
        <v>#REF!</v>
      </c>
      <c r="AI87" t="e">
        <f>AND(#REF!,"AAAAAFtzvyI=")</f>
        <v>#REF!</v>
      </c>
      <c r="AJ87" t="e">
        <f>AND(#REF!,"AAAAAFtzvyM=")</f>
        <v>#REF!</v>
      </c>
      <c r="AK87" t="e">
        <f>AND(#REF!,"AAAAAFtzvyQ=")</f>
        <v>#REF!</v>
      </c>
      <c r="AL87" t="e">
        <f>AND(#REF!,"AAAAAFtzvyU=")</f>
        <v>#REF!</v>
      </c>
      <c r="AM87" t="e">
        <f>AND(#REF!,"AAAAAFtzvyY=")</f>
        <v>#REF!</v>
      </c>
      <c r="AN87" t="e">
        <f>AND(#REF!,"AAAAAFtzvyc=")</f>
        <v>#REF!</v>
      </c>
      <c r="AO87" t="e">
        <f>AND(#REF!,"AAAAAFtzvyg=")</f>
        <v>#REF!</v>
      </c>
      <c r="AP87" t="e">
        <f>AND(#REF!,"AAAAAFtzvyk=")</f>
        <v>#REF!</v>
      </c>
      <c r="AQ87" t="e">
        <f>AND(#REF!,"AAAAAFtzvyo=")</f>
        <v>#REF!</v>
      </c>
      <c r="AR87" t="e">
        <f>AND(#REF!,"AAAAAFtzvys=")</f>
        <v>#REF!</v>
      </c>
      <c r="AS87" t="e">
        <f>AND(#REF!,"AAAAAFtzvyw=")</f>
        <v>#REF!</v>
      </c>
      <c r="AT87" t="e">
        <f>AND(#REF!,"AAAAAFtzvy0=")</f>
        <v>#REF!</v>
      </c>
      <c r="AU87" t="e">
        <f>AND(#REF!,"AAAAAFtzvy4=")</f>
        <v>#REF!</v>
      </c>
      <c r="AV87" t="e">
        <f>AND(#REF!,"AAAAAFtzvy8=")</f>
        <v>#REF!</v>
      </c>
      <c r="AW87" t="e">
        <f>AND(#REF!,"AAAAAFtzvzA=")</f>
        <v>#REF!</v>
      </c>
      <c r="AX87" t="e">
        <f>AND(#REF!,"AAAAAFtzvzE=")</f>
        <v>#REF!</v>
      </c>
      <c r="AY87" t="e">
        <f>AND(#REF!,"AAAAAFtzvzI=")</f>
        <v>#REF!</v>
      </c>
      <c r="AZ87" t="e">
        <f>AND(#REF!,"AAAAAFtzvzM=")</f>
        <v>#REF!</v>
      </c>
      <c r="BA87" t="e">
        <f>AND(#REF!,"AAAAAFtzvzQ=")</f>
        <v>#REF!</v>
      </c>
      <c r="BB87" t="e">
        <f>AND(#REF!,"AAAAAFtzvzU=")</f>
        <v>#REF!</v>
      </c>
      <c r="BC87" t="e">
        <f>AND(#REF!,"AAAAAFtzvzY=")</f>
        <v>#REF!</v>
      </c>
      <c r="BD87" t="e">
        <f>AND(#REF!,"AAAAAFtzvzc=")</f>
        <v>#REF!</v>
      </c>
      <c r="BE87" t="e">
        <f>AND(#REF!,"AAAAAFtzvzg=")</f>
        <v>#REF!</v>
      </c>
      <c r="BF87" t="e">
        <f>AND(#REF!,"AAAAAFtzvzk=")</f>
        <v>#REF!</v>
      </c>
      <c r="BG87" t="e">
        <f>AND(#REF!,"AAAAAFtzvzo=")</f>
        <v>#REF!</v>
      </c>
      <c r="BH87" t="e">
        <f>AND(#REF!,"AAAAAFtzvzs=")</f>
        <v>#REF!</v>
      </c>
      <c r="BI87" t="e">
        <f>AND(#REF!,"AAAAAFtzvzw=")</f>
        <v>#REF!</v>
      </c>
      <c r="BJ87" t="e">
        <f>AND(#REF!,"AAAAAFtzvz0=")</f>
        <v>#REF!</v>
      </c>
      <c r="BK87" t="e">
        <f>AND(#REF!,"AAAAAFtzvz4=")</f>
        <v>#REF!</v>
      </c>
      <c r="BL87" t="e">
        <f>AND(#REF!,"AAAAAFtzvz8=")</f>
        <v>#REF!</v>
      </c>
      <c r="BM87" t="e">
        <f>AND(#REF!,"AAAAAFtzv0A=")</f>
        <v>#REF!</v>
      </c>
      <c r="BN87" t="e">
        <f>AND(#REF!,"AAAAAFtzv0E=")</f>
        <v>#REF!</v>
      </c>
      <c r="BO87" t="e">
        <f>AND(#REF!,"AAAAAFtzv0I=")</f>
        <v>#REF!</v>
      </c>
      <c r="BP87" t="e">
        <f>AND(#REF!,"AAAAAFtzv0M=")</f>
        <v>#REF!</v>
      </c>
      <c r="BQ87" t="e">
        <f>AND(#REF!,"AAAAAFtzv0Q=")</f>
        <v>#REF!</v>
      </c>
      <c r="BR87" t="e">
        <f>AND(#REF!,"AAAAAFtzv0U=")</f>
        <v>#REF!</v>
      </c>
      <c r="BS87" t="e">
        <f>AND(#REF!,"AAAAAFtzv0Y=")</f>
        <v>#REF!</v>
      </c>
      <c r="BT87" t="e">
        <f>AND(#REF!,"AAAAAFtzv0c=")</f>
        <v>#REF!</v>
      </c>
      <c r="BU87" t="e">
        <f>AND(#REF!,"AAAAAFtzv0g=")</f>
        <v>#REF!</v>
      </c>
      <c r="BV87" t="e">
        <f>AND(#REF!,"AAAAAFtzv0k=")</f>
        <v>#REF!</v>
      </c>
      <c r="BW87" t="e">
        <f>AND(#REF!,"AAAAAFtzv0o=")</f>
        <v>#REF!</v>
      </c>
      <c r="BX87" t="e">
        <f>AND(#REF!,"AAAAAFtzv0s=")</f>
        <v>#REF!</v>
      </c>
      <c r="BY87" t="e">
        <f>AND(#REF!,"AAAAAFtzv0w=")</f>
        <v>#REF!</v>
      </c>
      <c r="BZ87" t="e">
        <f>AND(#REF!,"AAAAAFtzv00=")</f>
        <v>#REF!</v>
      </c>
      <c r="CA87" t="e">
        <f>AND(#REF!,"AAAAAFtzv04=")</f>
        <v>#REF!</v>
      </c>
      <c r="CB87" t="e">
        <f>AND(#REF!,"AAAAAFtzv08=")</f>
        <v>#REF!</v>
      </c>
      <c r="CC87" t="e">
        <f>AND(#REF!,"AAAAAFtzv1A=")</f>
        <v>#REF!</v>
      </c>
      <c r="CD87" t="e">
        <f>AND(#REF!,"AAAAAFtzv1E=")</f>
        <v>#REF!</v>
      </c>
      <c r="CE87" t="e">
        <f>AND(#REF!,"AAAAAFtzv1I=")</f>
        <v>#REF!</v>
      </c>
      <c r="CF87" t="e">
        <f>AND(#REF!,"AAAAAFtzv1M=")</f>
        <v>#REF!</v>
      </c>
      <c r="CG87" t="e">
        <f>AND(#REF!,"AAAAAFtzv1Q=")</f>
        <v>#REF!</v>
      </c>
      <c r="CH87" t="e">
        <f>AND(#REF!,"AAAAAFtzv1U=")</f>
        <v>#REF!</v>
      </c>
      <c r="CI87" t="e">
        <f>AND(#REF!,"AAAAAFtzv1Y=")</f>
        <v>#REF!</v>
      </c>
      <c r="CJ87" t="e">
        <f>AND(#REF!,"AAAAAFtzv1c=")</f>
        <v>#REF!</v>
      </c>
      <c r="CK87" t="e">
        <f>AND(#REF!,"AAAAAFtzv1g=")</f>
        <v>#REF!</v>
      </c>
      <c r="CL87" t="e">
        <f>AND(#REF!,"AAAAAFtzv1k=")</f>
        <v>#REF!</v>
      </c>
      <c r="CM87" t="e">
        <f>AND(#REF!,"AAAAAFtzv1o=")</f>
        <v>#REF!</v>
      </c>
      <c r="CN87" t="e">
        <f>AND(#REF!,"AAAAAFtzv1s=")</f>
        <v>#REF!</v>
      </c>
      <c r="CO87" t="e">
        <f>AND(#REF!,"AAAAAFtzv1w=")</f>
        <v>#REF!</v>
      </c>
      <c r="CP87" t="e">
        <f>AND(#REF!,"AAAAAFtzv10=")</f>
        <v>#REF!</v>
      </c>
      <c r="CQ87" t="e">
        <f>AND(#REF!,"AAAAAFtzv14=")</f>
        <v>#REF!</v>
      </c>
      <c r="CR87" t="e">
        <f>AND(#REF!,"AAAAAFtzv18=")</f>
        <v>#REF!</v>
      </c>
      <c r="CS87" t="e">
        <f>AND(#REF!,"AAAAAFtzv2A=")</f>
        <v>#REF!</v>
      </c>
      <c r="CT87" t="e">
        <f>AND(#REF!,"AAAAAFtzv2E=")</f>
        <v>#REF!</v>
      </c>
      <c r="CU87" t="e">
        <f>AND(#REF!,"AAAAAFtzv2I=")</f>
        <v>#REF!</v>
      </c>
      <c r="CV87" t="e">
        <f>AND(#REF!,"AAAAAFtzv2M=")</f>
        <v>#REF!</v>
      </c>
      <c r="CW87" t="e">
        <f>AND(#REF!,"AAAAAFtzv2Q=")</f>
        <v>#REF!</v>
      </c>
      <c r="CX87" t="e">
        <f>AND(#REF!,"AAAAAFtzv2U=")</f>
        <v>#REF!</v>
      </c>
      <c r="CY87" t="e">
        <f>AND(#REF!,"AAAAAFtzv2Y=")</f>
        <v>#REF!</v>
      </c>
      <c r="CZ87" t="e">
        <f>AND(#REF!,"AAAAAFtzv2c=")</f>
        <v>#REF!</v>
      </c>
      <c r="DA87" t="e">
        <f>AND(#REF!,"AAAAAFtzv2g=")</f>
        <v>#REF!</v>
      </c>
      <c r="DB87" t="e">
        <f>AND(#REF!,"AAAAAFtzv2k=")</f>
        <v>#REF!</v>
      </c>
      <c r="DC87" t="e">
        <f>AND(#REF!,"AAAAAFtzv2o=")</f>
        <v>#REF!</v>
      </c>
      <c r="DD87" t="e">
        <f>AND(#REF!,"AAAAAFtzv2s=")</f>
        <v>#REF!</v>
      </c>
      <c r="DE87" t="e">
        <f>AND(#REF!,"AAAAAFtzv2w=")</f>
        <v>#REF!</v>
      </c>
      <c r="DF87" t="e">
        <f>AND(#REF!,"AAAAAFtzv20=")</f>
        <v>#REF!</v>
      </c>
      <c r="DG87" t="e">
        <f>AND(#REF!,"AAAAAFtzv24=")</f>
        <v>#REF!</v>
      </c>
      <c r="DH87" t="e">
        <f>AND(#REF!,"AAAAAFtzv28=")</f>
        <v>#REF!</v>
      </c>
      <c r="DI87" t="e">
        <f>AND(#REF!,"AAAAAFtzv3A=")</f>
        <v>#REF!</v>
      </c>
      <c r="DJ87" t="e">
        <f>AND(#REF!,"AAAAAFtzv3E=")</f>
        <v>#REF!</v>
      </c>
      <c r="DK87" t="e">
        <f>AND(#REF!,"AAAAAFtzv3I=")</f>
        <v>#REF!</v>
      </c>
      <c r="DL87" t="e">
        <f>AND(#REF!,"AAAAAFtzv3M=")</f>
        <v>#REF!</v>
      </c>
      <c r="DM87" t="e">
        <f>AND(#REF!,"AAAAAFtzv3Q=")</f>
        <v>#REF!</v>
      </c>
      <c r="DN87" t="e">
        <f>AND(#REF!,"AAAAAFtzv3U=")</f>
        <v>#REF!</v>
      </c>
      <c r="DO87" t="e">
        <f>AND(#REF!,"AAAAAFtzv3Y=")</f>
        <v>#REF!</v>
      </c>
      <c r="DP87" t="e">
        <f>AND(#REF!,"AAAAAFtzv3c=")</f>
        <v>#REF!</v>
      </c>
      <c r="DQ87" t="e">
        <f>AND(#REF!,"AAAAAFtzv3g=")</f>
        <v>#REF!</v>
      </c>
      <c r="DR87" t="e">
        <f>AND(#REF!,"AAAAAFtzv3k=")</f>
        <v>#REF!</v>
      </c>
      <c r="DS87" t="e">
        <f>AND(#REF!,"AAAAAFtzv3o=")</f>
        <v>#REF!</v>
      </c>
      <c r="DT87" t="e">
        <f>AND(#REF!,"AAAAAFtzv3s=")</f>
        <v>#REF!</v>
      </c>
      <c r="DU87" t="e">
        <f>AND(#REF!,"AAAAAFtzv3w=")</f>
        <v>#REF!</v>
      </c>
      <c r="DV87" t="e">
        <f>AND(#REF!,"AAAAAFtzv30=")</f>
        <v>#REF!</v>
      </c>
      <c r="DW87" t="e">
        <f>AND(#REF!,"AAAAAFtzv34=")</f>
        <v>#REF!</v>
      </c>
      <c r="DX87" t="e">
        <f>AND(#REF!,"AAAAAFtzv38=")</f>
        <v>#REF!</v>
      </c>
      <c r="DY87" t="e">
        <f>AND(#REF!,"AAAAAFtzv4A=")</f>
        <v>#REF!</v>
      </c>
      <c r="DZ87" t="e">
        <f>AND(#REF!,"AAAAAFtzv4E=")</f>
        <v>#REF!</v>
      </c>
      <c r="EA87" t="e">
        <f>AND(#REF!,"AAAAAFtzv4I=")</f>
        <v>#REF!</v>
      </c>
      <c r="EB87" t="e">
        <f>AND(#REF!,"AAAAAFtzv4M=")</f>
        <v>#REF!</v>
      </c>
      <c r="EC87" t="e">
        <f>AND(#REF!,"AAAAAFtzv4Q=")</f>
        <v>#REF!</v>
      </c>
      <c r="ED87" t="e">
        <f>AND(#REF!,"AAAAAFtzv4U=")</f>
        <v>#REF!</v>
      </c>
      <c r="EE87" t="e">
        <f>AND(#REF!,"AAAAAFtzv4Y=")</f>
        <v>#REF!</v>
      </c>
      <c r="EF87" t="e">
        <f>AND(#REF!,"AAAAAFtzv4c=")</f>
        <v>#REF!</v>
      </c>
      <c r="EG87" t="e">
        <f>AND(#REF!,"AAAAAFtzv4g=")</f>
        <v>#REF!</v>
      </c>
      <c r="EH87" t="e">
        <f>AND(#REF!,"AAAAAFtzv4k=")</f>
        <v>#REF!</v>
      </c>
      <c r="EI87" t="e">
        <f>AND(#REF!,"AAAAAFtzv4o=")</f>
        <v>#REF!</v>
      </c>
      <c r="EJ87" t="e">
        <f>AND(#REF!,"AAAAAFtzv4s=")</f>
        <v>#REF!</v>
      </c>
      <c r="EK87" t="e">
        <f>AND(#REF!,"AAAAAFtzv4w=")</f>
        <v>#REF!</v>
      </c>
      <c r="EL87" t="e">
        <f>AND(#REF!,"AAAAAFtzv40=")</f>
        <v>#REF!</v>
      </c>
      <c r="EM87" t="e">
        <f>AND(#REF!,"AAAAAFtzv44=")</f>
        <v>#REF!</v>
      </c>
      <c r="EN87" t="e">
        <f>AND(#REF!,"AAAAAFtzv48=")</f>
        <v>#REF!</v>
      </c>
      <c r="EO87" t="e">
        <f>AND(#REF!,"AAAAAFtzv5A=")</f>
        <v>#REF!</v>
      </c>
      <c r="EP87" t="e">
        <f>AND(#REF!,"AAAAAFtzv5E=")</f>
        <v>#REF!</v>
      </c>
      <c r="EQ87" t="e">
        <f>AND(#REF!,"AAAAAFtzv5I=")</f>
        <v>#REF!</v>
      </c>
      <c r="ER87" t="e">
        <f>AND(#REF!,"AAAAAFtzv5M=")</f>
        <v>#REF!</v>
      </c>
      <c r="ES87" t="e">
        <f>AND(#REF!,"AAAAAFtzv5Q=")</f>
        <v>#REF!</v>
      </c>
      <c r="ET87" t="e">
        <f>AND(#REF!,"AAAAAFtzv5U=")</f>
        <v>#REF!</v>
      </c>
      <c r="EU87" t="e">
        <f>AND(#REF!,"AAAAAFtzv5Y=")</f>
        <v>#REF!</v>
      </c>
      <c r="EV87" t="e">
        <f>AND(#REF!,"AAAAAFtzv5c=")</f>
        <v>#REF!</v>
      </c>
      <c r="EW87" t="e">
        <f>AND(#REF!,"AAAAAFtzv5g=")</f>
        <v>#REF!</v>
      </c>
      <c r="EX87" t="e">
        <f>AND(#REF!,"AAAAAFtzv5k=")</f>
        <v>#REF!</v>
      </c>
      <c r="EY87" t="e">
        <f>AND(#REF!,"AAAAAFtzv5o=")</f>
        <v>#REF!</v>
      </c>
      <c r="EZ87" t="e">
        <f>AND(#REF!,"AAAAAFtzv5s=")</f>
        <v>#REF!</v>
      </c>
      <c r="FA87" t="e">
        <f>AND(#REF!,"AAAAAFtzv5w=")</f>
        <v>#REF!</v>
      </c>
      <c r="FB87" t="e">
        <f>AND(#REF!,"AAAAAFtzv50=")</f>
        <v>#REF!</v>
      </c>
      <c r="FC87" t="e">
        <f>AND(#REF!,"AAAAAFtzv54=")</f>
        <v>#REF!</v>
      </c>
      <c r="FD87" t="e">
        <f>AND(#REF!,"AAAAAFtzv58=")</f>
        <v>#REF!</v>
      </c>
      <c r="FE87" t="e">
        <f>AND(#REF!,"AAAAAFtzv6A=")</f>
        <v>#REF!</v>
      </c>
      <c r="FF87" t="e">
        <f>AND(#REF!,"AAAAAFtzv6E=")</f>
        <v>#REF!</v>
      </c>
      <c r="FG87" t="e">
        <f>AND(#REF!,"AAAAAFtzv6I=")</f>
        <v>#REF!</v>
      </c>
      <c r="FH87" t="e">
        <f>AND(#REF!,"AAAAAFtzv6M=")</f>
        <v>#REF!</v>
      </c>
      <c r="FI87" t="e">
        <f>AND(#REF!,"AAAAAFtzv6Q=")</f>
        <v>#REF!</v>
      </c>
      <c r="FJ87" t="e">
        <f>AND(#REF!,"AAAAAFtzv6U=")</f>
        <v>#REF!</v>
      </c>
      <c r="FK87" t="e">
        <f>AND(#REF!,"AAAAAFtzv6Y=")</f>
        <v>#REF!</v>
      </c>
      <c r="FL87" t="e">
        <f>AND(#REF!,"AAAAAFtzv6c=")</f>
        <v>#REF!</v>
      </c>
      <c r="FM87" t="e">
        <f>AND(#REF!,"AAAAAFtzv6g=")</f>
        <v>#REF!</v>
      </c>
      <c r="FN87" t="e">
        <f>AND(#REF!,"AAAAAFtzv6k=")</f>
        <v>#REF!</v>
      </c>
      <c r="FO87" t="e">
        <f>AND(#REF!,"AAAAAFtzv6o=")</f>
        <v>#REF!</v>
      </c>
      <c r="FP87" t="e">
        <f>AND(#REF!,"AAAAAFtzv6s=")</f>
        <v>#REF!</v>
      </c>
      <c r="FQ87" t="e">
        <f>AND(#REF!,"AAAAAFtzv6w=")</f>
        <v>#REF!</v>
      </c>
      <c r="FR87" t="e">
        <f>AND(#REF!,"AAAAAFtzv60=")</f>
        <v>#REF!</v>
      </c>
      <c r="FS87" t="e">
        <f>AND(#REF!,"AAAAAFtzv64=")</f>
        <v>#REF!</v>
      </c>
      <c r="FT87" t="e">
        <f>AND(#REF!,"AAAAAFtzv68=")</f>
        <v>#REF!</v>
      </c>
      <c r="FU87" t="e">
        <f>AND(#REF!,"AAAAAFtzv7A=")</f>
        <v>#REF!</v>
      </c>
      <c r="FV87" t="e">
        <f>AND(#REF!,"AAAAAFtzv7E=")</f>
        <v>#REF!</v>
      </c>
      <c r="FW87" t="e">
        <f>AND(#REF!,"AAAAAFtzv7I=")</f>
        <v>#REF!</v>
      </c>
      <c r="FX87" t="e">
        <f>AND(#REF!,"AAAAAFtzv7M=")</f>
        <v>#REF!</v>
      </c>
      <c r="FY87" t="e">
        <f>AND(#REF!,"AAAAAFtzv7Q=")</f>
        <v>#REF!</v>
      </c>
      <c r="FZ87" t="e">
        <f>AND(#REF!,"AAAAAFtzv7U=")</f>
        <v>#REF!</v>
      </c>
      <c r="GA87" t="e">
        <f>AND(#REF!,"AAAAAFtzv7Y=")</f>
        <v>#REF!</v>
      </c>
      <c r="GB87" t="e">
        <f>AND(#REF!,"AAAAAFtzv7c=")</f>
        <v>#REF!</v>
      </c>
      <c r="GC87" t="e">
        <f>AND(#REF!,"AAAAAFtzv7g=")</f>
        <v>#REF!</v>
      </c>
      <c r="GD87" t="e">
        <f>AND(#REF!,"AAAAAFtzv7k=")</f>
        <v>#REF!</v>
      </c>
      <c r="GE87" t="e">
        <f>AND(#REF!,"AAAAAFtzv7o=")</f>
        <v>#REF!</v>
      </c>
      <c r="GF87" t="e">
        <f>AND(#REF!,"AAAAAFtzv7s=")</f>
        <v>#REF!</v>
      </c>
      <c r="GG87" t="e">
        <f>AND(#REF!,"AAAAAFtzv7w=")</f>
        <v>#REF!</v>
      </c>
      <c r="GH87" t="e">
        <f>AND(#REF!,"AAAAAFtzv70=")</f>
        <v>#REF!</v>
      </c>
      <c r="GI87" t="e">
        <f>AND(#REF!,"AAAAAFtzv74=")</f>
        <v>#REF!</v>
      </c>
      <c r="GJ87" t="e">
        <f>AND(#REF!,"AAAAAFtzv78=")</f>
        <v>#REF!</v>
      </c>
      <c r="GK87" t="e">
        <f>AND(#REF!,"AAAAAFtzv8A=")</f>
        <v>#REF!</v>
      </c>
      <c r="GL87" t="e">
        <f>AND(#REF!,"AAAAAFtzv8E=")</f>
        <v>#REF!</v>
      </c>
      <c r="GM87" t="e">
        <f>AND(#REF!,"AAAAAFtzv8I=")</f>
        <v>#REF!</v>
      </c>
      <c r="GN87" t="e">
        <f>AND(#REF!,"AAAAAFtzv8M=")</f>
        <v>#REF!</v>
      </c>
      <c r="GO87" t="e">
        <f>AND(#REF!,"AAAAAFtzv8Q=")</f>
        <v>#REF!</v>
      </c>
      <c r="GP87" t="e">
        <f>AND(#REF!,"AAAAAFtzv8U=")</f>
        <v>#REF!</v>
      </c>
      <c r="GQ87" t="e">
        <f>AND(#REF!,"AAAAAFtzv8Y=")</f>
        <v>#REF!</v>
      </c>
      <c r="GR87" t="e">
        <f>AND(#REF!,"AAAAAFtzv8c=")</f>
        <v>#REF!</v>
      </c>
      <c r="GS87" t="e">
        <f>AND(#REF!,"AAAAAFtzv8g=")</f>
        <v>#REF!</v>
      </c>
      <c r="GT87" t="e">
        <f>AND(#REF!,"AAAAAFtzv8k=")</f>
        <v>#REF!</v>
      </c>
      <c r="GU87" t="e">
        <f>AND(#REF!,"AAAAAFtzv8o=")</f>
        <v>#REF!</v>
      </c>
      <c r="GV87" t="e">
        <f>AND(#REF!,"AAAAAFtzv8s=")</f>
        <v>#REF!</v>
      </c>
      <c r="GW87" t="e">
        <f>AND(#REF!,"AAAAAFtzv8w=")</f>
        <v>#REF!</v>
      </c>
      <c r="GX87" t="e">
        <f>AND(#REF!,"AAAAAFtzv80=")</f>
        <v>#REF!</v>
      </c>
      <c r="GY87" t="e">
        <f>AND(#REF!,"AAAAAFtzv84=")</f>
        <v>#REF!</v>
      </c>
      <c r="GZ87" t="e">
        <f>AND(#REF!,"AAAAAFtzv88=")</f>
        <v>#REF!</v>
      </c>
      <c r="HA87" t="e">
        <f>AND(#REF!,"AAAAAFtzv9A=")</f>
        <v>#REF!</v>
      </c>
      <c r="HB87" t="e">
        <f>AND(#REF!,"AAAAAFtzv9E=")</f>
        <v>#REF!</v>
      </c>
      <c r="HC87" t="e">
        <f>AND(#REF!,"AAAAAFtzv9I=")</f>
        <v>#REF!</v>
      </c>
      <c r="HD87" t="e">
        <f>AND(#REF!,"AAAAAFtzv9M=")</f>
        <v>#REF!</v>
      </c>
      <c r="HE87" t="e">
        <f>AND(#REF!,"AAAAAFtzv9Q=")</f>
        <v>#REF!</v>
      </c>
      <c r="HF87" t="e">
        <f>AND(#REF!,"AAAAAFtzv9U=")</f>
        <v>#REF!</v>
      </c>
      <c r="HG87" t="e">
        <f>AND(#REF!,"AAAAAFtzv9Y=")</f>
        <v>#REF!</v>
      </c>
      <c r="HH87" t="e">
        <f>AND(#REF!,"AAAAAFtzv9c=")</f>
        <v>#REF!</v>
      </c>
      <c r="HI87" t="e">
        <f>AND(#REF!,"AAAAAFtzv9g=")</f>
        <v>#REF!</v>
      </c>
      <c r="HJ87" t="e">
        <f>AND(#REF!,"AAAAAFtzv9k=")</f>
        <v>#REF!</v>
      </c>
      <c r="HK87" t="e">
        <f>AND(#REF!,"AAAAAFtzv9o=")</f>
        <v>#REF!</v>
      </c>
      <c r="HL87" t="e">
        <f>AND(#REF!,"AAAAAFtzv9s=")</f>
        <v>#REF!</v>
      </c>
      <c r="HM87" t="e">
        <f>AND(#REF!,"AAAAAFtzv9w=")</f>
        <v>#REF!</v>
      </c>
      <c r="HN87" t="e">
        <f>AND(#REF!,"AAAAAFtzv90=")</f>
        <v>#REF!</v>
      </c>
      <c r="HO87" t="e">
        <f>AND(#REF!,"AAAAAFtzv94=")</f>
        <v>#REF!</v>
      </c>
      <c r="HP87" t="e">
        <f>AND(#REF!,"AAAAAFtzv98=")</f>
        <v>#REF!</v>
      </c>
      <c r="HQ87" t="e">
        <f>AND(#REF!,"AAAAAFtzv+A=")</f>
        <v>#REF!</v>
      </c>
      <c r="HR87" t="e">
        <f>AND(#REF!,"AAAAAFtzv+E=")</f>
        <v>#REF!</v>
      </c>
      <c r="HS87" t="e">
        <f>AND(#REF!,"AAAAAFtzv+I=")</f>
        <v>#REF!</v>
      </c>
      <c r="HT87" t="e">
        <f>AND(#REF!,"AAAAAFtzv+M=")</f>
        <v>#REF!</v>
      </c>
      <c r="HU87" t="e">
        <f>AND(#REF!,"AAAAAFtzv+Q=")</f>
        <v>#REF!</v>
      </c>
      <c r="HV87" t="e">
        <f>AND(#REF!,"AAAAAFtzv+U=")</f>
        <v>#REF!</v>
      </c>
      <c r="HW87" t="e">
        <f>AND(#REF!,"AAAAAFtzv+Y=")</f>
        <v>#REF!</v>
      </c>
      <c r="HX87" t="e">
        <f>AND(#REF!,"AAAAAFtzv+c=")</f>
        <v>#REF!</v>
      </c>
      <c r="HY87" t="e">
        <f>AND(#REF!,"AAAAAFtzv+g=")</f>
        <v>#REF!</v>
      </c>
      <c r="HZ87" t="e">
        <f>AND(#REF!,"AAAAAFtzv+k=")</f>
        <v>#REF!</v>
      </c>
      <c r="IA87" t="e">
        <f>AND(#REF!,"AAAAAFtzv+o=")</f>
        <v>#REF!</v>
      </c>
      <c r="IB87" t="e">
        <f>AND(#REF!,"AAAAAFtzv+s=")</f>
        <v>#REF!</v>
      </c>
      <c r="IC87" t="e">
        <f>AND(#REF!,"AAAAAFtzv+w=")</f>
        <v>#REF!</v>
      </c>
      <c r="ID87" t="e">
        <f>AND(#REF!,"AAAAAFtzv+0=")</f>
        <v>#REF!</v>
      </c>
      <c r="IE87" t="e">
        <f>AND(#REF!,"AAAAAFtzv+4=")</f>
        <v>#REF!</v>
      </c>
      <c r="IF87" t="e">
        <f>AND(#REF!,"AAAAAFtzv+8=")</f>
        <v>#REF!</v>
      </c>
      <c r="IG87" t="e">
        <f>AND(#REF!,"AAAAAFtzv/A=")</f>
        <v>#REF!</v>
      </c>
      <c r="IH87" t="e">
        <f>AND(#REF!,"AAAAAFtzv/E=")</f>
        <v>#REF!</v>
      </c>
      <c r="II87" t="e">
        <f>AND(#REF!,"AAAAAFtzv/I=")</f>
        <v>#REF!</v>
      </c>
      <c r="IJ87" t="e">
        <f>AND(#REF!,"AAAAAFtzv/M=")</f>
        <v>#REF!</v>
      </c>
      <c r="IK87" t="e">
        <f>AND(#REF!,"AAAAAFtzv/Q=")</f>
        <v>#REF!</v>
      </c>
      <c r="IL87" t="e">
        <f>AND(#REF!,"AAAAAFtzv/U=")</f>
        <v>#REF!</v>
      </c>
      <c r="IM87" t="e">
        <f>AND(#REF!,"AAAAAFtzv/Y=")</f>
        <v>#REF!</v>
      </c>
      <c r="IN87" t="e">
        <f>AND(#REF!,"AAAAAFtzv/c=")</f>
        <v>#REF!</v>
      </c>
      <c r="IO87" t="e">
        <f>AND(#REF!,"AAAAAFtzv/g=")</f>
        <v>#REF!</v>
      </c>
      <c r="IP87" t="e">
        <f>AND(#REF!,"AAAAAFtzv/k=")</f>
        <v>#REF!</v>
      </c>
      <c r="IQ87" t="e">
        <f>AND(#REF!,"AAAAAFtzv/o=")</f>
        <v>#REF!</v>
      </c>
      <c r="IR87" t="e">
        <f>AND(#REF!,"AAAAAFtzv/s=")</f>
        <v>#REF!</v>
      </c>
      <c r="IS87" t="e">
        <f>AND(#REF!,"AAAAAFtzv/w=")</f>
        <v>#REF!</v>
      </c>
      <c r="IT87" t="e">
        <f>AND(#REF!,"AAAAAFtzv/0=")</f>
        <v>#REF!</v>
      </c>
      <c r="IU87" t="e">
        <f>AND(#REF!,"AAAAAFtzv/4=")</f>
        <v>#REF!</v>
      </c>
      <c r="IV87" t="e">
        <f>AND(#REF!,"AAAAAFtzv/8=")</f>
        <v>#REF!</v>
      </c>
    </row>
    <row r="88" spans="1:256">
      <c r="A88" t="e">
        <f>IF(#REF!,"AAAAAG/1/gA=",0)</f>
        <v>#REF!</v>
      </c>
      <c r="B88" t="e">
        <f>AND(#REF!,"AAAAAG/1/gE=")</f>
        <v>#REF!</v>
      </c>
      <c r="C88" t="e">
        <f>AND(#REF!,"AAAAAG/1/gI=")</f>
        <v>#REF!</v>
      </c>
      <c r="D88" t="e">
        <f>AND(#REF!,"AAAAAG/1/gM=")</f>
        <v>#REF!</v>
      </c>
      <c r="E88" t="e">
        <f>AND(#REF!,"AAAAAG/1/gQ=")</f>
        <v>#REF!</v>
      </c>
      <c r="F88" t="e">
        <f>AND(#REF!,"AAAAAG/1/gU=")</f>
        <v>#REF!</v>
      </c>
      <c r="G88" t="e">
        <f>AND(#REF!,"AAAAAG/1/gY=")</f>
        <v>#REF!</v>
      </c>
      <c r="H88" t="e">
        <f>AND(#REF!,"AAAAAG/1/gc=")</f>
        <v>#REF!</v>
      </c>
      <c r="I88" t="e">
        <f>AND(#REF!,"AAAAAG/1/gg=")</f>
        <v>#REF!</v>
      </c>
      <c r="J88" t="e">
        <f>AND(#REF!,"AAAAAG/1/gk=")</f>
        <v>#REF!</v>
      </c>
      <c r="K88" t="e">
        <f>AND(#REF!,"AAAAAG/1/go=")</f>
        <v>#REF!</v>
      </c>
      <c r="L88" t="e">
        <f>AND(#REF!,"AAAAAG/1/gs=")</f>
        <v>#REF!</v>
      </c>
      <c r="M88" t="e">
        <f>AND(#REF!,"AAAAAG/1/gw=")</f>
        <v>#REF!</v>
      </c>
      <c r="N88" t="e">
        <f>AND(#REF!,"AAAAAG/1/g0=")</f>
        <v>#REF!</v>
      </c>
      <c r="O88" t="e">
        <f>AND(#REF!,"AAAAAG/1/g4=")</f>
        <v>#REF!</v>
      </c>
      <c r="P88" t="e">
        <f>AND(#REF!,"AAAAAG/1/g8=")</f>
        <v>#REF!</v>
      </c>
      <c r="Q88" t="e">
        <f>AND(#REF!,"AAAAAG/1/hA=")</f>
        <v>#REF!</v>
      </c>
      <c r="R88" t="e">
        <f>AND(#REF!,"AAAAAG/1/hE=")</f>
        <v>#REF!</v>
      </c>
      <c r="S88" t="e">
        <f>AND(#REF!,"AAAAAG/1/hI=")</f>
        <v>#REF!</v>
      </c>
      <c r="T88" t="e">
        <f>AND(#REF!,"AAAAAG/1/hM=")</f>
        <v>#REF!</v>
      </c>
      <c r="U88" t="e">
        <f>AND(#REF!,"AAAAAG/1/hQ=")</f>
        <v>#REF!</v>
      </c>
      <c r="V88" t="e">
        <f>AND(#REF!,"AAAAAG/1/hU=")</f>
        <v>#REF!</v>
      </c>
      <c r="W88" t="e">
        <f>AND(#REF!,"AAAAAG/1/hY=")</f>
        <v>#REF!</v>
      </c>
      <c r="X88" t="e">
        <f>AND(#REF!,"AAAAAG/1/hc=")</f>
        <v>#REF!</v>
      </c>
      <c r="Y88" t="e">
        <f>AND(#REF!,"AAAAAG/1/hg=")</f>
        <v>#REF!</v>
      </c>
      <c r="Z88" t="e">
        <f>AND(#REF!,"AAAAAG/1/hk=")</f>
        <v>#REF!</v>
      </c>
      <c r="AA88" t="e">
        <f>AND(#REF!,"AAAAAG/1/ho=")</f>
        <v>#REF!</v>
      </c>
      <c r="AB88" t="e">
        <f>AND(#REF!,"AAAAAG/1/hs=")</f>
        <v>#REF!</v>
      </c>
      <c r="AC88" t="e">
        <f>AND(#REF!,"AAAAAG/1/hw=")</f>
        <v>#REF!</v>
      </c>
      <c r="AD88" t="e">
        <f>AND(#REF!,"AAAAAG/1/h0=")</f>
        <v>#REF!</v>
      </c>
      <c r="AE88" t="e">
        <f>AND(#REF!,"AAAAAG/1/h4=")</f>
        <v>#REF!</v>
      </c>
      <c r="AF88" t="e">
        <f>AND(#REF!,"AAAAAG/1/h8=")</f>
        <v>#REF!</v>
      </c>
      <c r="AG88" t="e">
        <f>AND(#REF!,"AAAAAG/1/iA=")</f>
        <v>#REF!</v>
      </c>
      <c r="AH88" t="e">
        <f>AND(#REF!,"AAAAAG/1/iE=")</f>
        <v>#REF!</v>
      </c>
      <c r="AI88" t="e">
        <f>AND(#REF!,"AAAAAG/1/iI=")</f>
        <v>#REF!</v>
      </c>
      <c r="AJ88" t="e">
        <f>AND(#REF!,"AAAAAG/1/iM=")</f>
        <v>#REF!</v>
      </c>
      <c r="AK88" t="e">
        <f>AND(#REF!,"AAAAAG/1/iQ=")</f>
        <v>#REF!</v>
      </c>
      <c r="AL88" t="e">
        <f>AND(#REF!,"AAAAAG/1/iU=")</f>
        <v>#REF!</v>
      </c>
      <c r="AM88" t="e">
        <f>AND(#REF!,"AAAAAG/1/iY=")</f>
        <v>#REF!</v>
      </c>
      <c r="AN88" t="e">
        <f>AND(#REF!,"AAAAAG/1/ic=")</f>
        <v>#REF!</v>
      </c>
      <c r="AO88" t="e">
        <f>AND(#REF!,"AAAAAG/1/ig=")</f>
        <v>#REF!</v>
      </c>
      <c r="AP88" t="e">
        <f>AND(#REF!,"AAAAAG/1/ik=")</f>
        <v>#REF!</v>
      </c>
      <c r="AQ88" t="e">
        <f>AND(#REF!,"AAAAAG/1/io=")</f>
        <v>#REF!</v>
      </c>
      <c r="AR88" t="e">
        <f>AND(#REF!,"AAAAAG/1/is=")</f>
        <v>#REF!</v>
      </c>
      <c r="AS88" t="e">
        <f>AND(#REF!,"AAAAAG/1/iw=")</f>
        <v>#REF!</v>
      </c>
      <c r="AT88" t="e">
        <f>AND(#REF!,"AAAAAG/1/i0=")</f>
        <v>#REF!</v>
      </c>
      <c r="AU88" t="e">
        <f>AND(#REF!,"AAAAAG/1/i4=")</f>
        <v>#REF!</v>
      </c>
      <c r="AV88" t="e">
        <f>AND(#REF!,"AAAAAG/1/i8=")</f>
        <v>#REF!</v>
      </c>
      <c r="AW88" t="e">
        <f>AND(#REF!,"AAAAAG/1/jA=")</f>
        <v>#REF!</v>
      </c>
      <c r="AX88" t="e">
        <f>AND(#REF!,"AAAAAG/1/jE=")</f>
        <v>#REF!</v>
      </c>
      <c r="AY88" t="e">
        <f>AND(#REF!,"AAAAAG/1/jI=")</f>
        <v>#REF!</v>
      </c>
      <c r="AZ88" t="e">
        <f>AND(#REF!,"AAAAAG/1/jM=")</f>
        <v>#REF!</v>
      </c>
      <c r="BA88" t="e">
        <f>AND(#REF!,"AAAAAG/1/jQ=")</f>
        <v>#REF!</v>
      </c>
      <c r="BB88" t="e">
        <f>AND(#REF!,"AAAAAG/1/jU=")</f>
        <v>#REF!</v>
      </c>
      <c r="BC88" t="e">
        <f>AND(#REF!,"AAAAAG/1/jY=")</f>
        <v>#REF!</v>
      </c>
      <c r="BD88" t="e">
        <f>AND(#REF!,"AAAAAG/1/jc=")</f>
        <v>#REF!</v>
      </c>
      <c r="BE88" t="e">
        <f>AND(#REF!,"AAAAAG/1/jg=")</f>
        <v>#REF!</v>
      </c>
      <c r="BF88" t="e">
        <f>AND(#REF!,"AAAAAG/1/jk=")</f>
        <v>#REF!</v>
      </c>
      <c r="BG88" t="e">
        <f>AND(#REF!,"AAAAAG/1/jo=")</f>
        <v>#REF!</v>
      </c>
      <c r="BH88" t="e">
        <f>AND(#REF!,"AAAAAG/1/js=")</f>
        <v>#REF!</v>
      </c>
      <c r="BI88" t="e">
        <f>AND(#REF!,"AAAAAG/1/jw=")</f>
        <v>#REF!</v>
      </c>
      <c r="BJ88" t="e">
        <f>AND(#REF!,"AAAAAG/1/j0=")</f>
        <v>#REF!</v>
      </c>
      <c r="BK88" t="e">
        <f>AND(#REF!,"AAAAAG/1/j4=")</f>
        <v>#REF!</v>
      </c>
      <c r="BL88" t="e">
        <f>AND(#REF!,"AAAAAG/1/j8=")</f>
        <v>#REF!</v>
      </c>
      <c r="BM88" t="e">
        <f>AND(#REF!,"AAAAAG/1/kA=")</f>
        <v>#REF!</v>
      </c>
      <c r="BN88" t="e">
        <f>AND(#REF!,"AAAAAG/1/kE=")</f>
        <v>#REF!</v>
      </c>
      <c r="BO88" t="e">
        <f>AND(#REF!,"AAAAAG/1/kI=")</f>
        <v>#REF!</v>
      </c>
      <c r="BP88" t="e">
        <f>AND(#REF!,"AAAAAG/1/kM=")</f>
        <v>#REF!</v>
      </c>
      <c r="BQ88" t="e">
        <f>AND(#REF!,"AAAAAG/1/kQ=")</f>
        <v>#REF!</v>
      </c>
      <c r="BR88" t="e">
        <f>AND(#REF!,"AAAAAG/1/kU=")</f>
        <v>#REF!</v>
      </c>
      <c r="BS88" t="e">
        <f>AND(#REF!,"AAAAAG/1/kY=")</f>
        <v>#REF!</v>
      </c>
      <c r="BT88" t="e">
        <f>AND(#REF!,"AAAAAG/1/kc=")</f>
        <v>#REF!</v>
      </c>
      <c r="BU88" t="e">
        <f>AND(#REF!,"AAAAAG/1/kg=")</f>
        <v>#REF!</v>
      </c>
      <c r="BV88" t="e">
        <f>AND(#REF!,"AAAAAG/1/kk=")</f>
        <v>#REF!</v>
      </c>
      <c r="BW88" t="e">
        <f>AND(#REF!,"AAAAAG/1/ko=")</f>
        <v>#REF!</v>
      </c>
      <c r="BX88" t="e">
        <f>AND(#REF!,"AAAAAG/1/ks=")</f>
        <v>#REF!</v>
      </c>
      <c r="BY88" t="e">
        <f>AND(#REF!,"AAAAAG/1/kw=")</f>
        <v>#REF!</v>
      </c>
      <c r="BZ88" t="e">
        <f>AND(#REF!,"AAAAAG/1/k0=")</f>
        <v>#REF!</v>
      </c>
      <c r="CA88" t="e">
        <f>AND(#REF!,"AAAAAG/1/k4=")</f>
        <v>#REF!</v>
      </c>
      <c r="CB88" t="e">
        <f>AND(#REF!,"AAAAAG/1/k8=")</f>
        <v>#REF!</v>
      </c>
      <c r="CC88" t="e">
        <f>AND(#REF!,"AAAAAG/1/lA=")</f>
        <v>#REF!</v>
      </c>
      <c r="CD88" t="e">
        <f>AND(#REF!,"AAAAAG/1/lE=")</f>
        <v>#REF!</v>
      </c>
      <c r="CE88" t="e">
        <f>AND(#REF!,"AAAAAG/1/lI=")</f>
        <v>#REF!</v>
      </c>
      <c r="CF88" t="e">
        <f>AND(#REF!,"AAAAAG/1/lM=")</f>
        <v>#REF!</v>
      </c>
      <c r="CG88" t="e">
        <f>AND(#REF!,"AAAAAG/1/lQ=")</f>
        <v>#REF!</v>
      </c>
      <c r="CH88" t="e">
        <f>AND(#REF!,"AAAAAG/1/lU=")</f>
        <v>#REF!</v>
      </c>
      <c r="CI88" t="e">
        <f>AND(#REF!,"AAAAAG/1/lY=")</f>
        <v>#REF!</v>
      </c>
      <c r="CJ88" t="e">
        <f>AND(#REF!,"AAAAAG/1/lc=")</f>
        <v>#REF!</v>
      </c>
      <c r="CK88" t="e">
        <f>AND(#REF!,"AAAAAG/1/lg=")</f>
        <v>#REF!</v>
      </c>
      <c r="CL88" t="e">
        <f>AND(#REF!,"AAAAAG/1/lk=")</f>
        <v>#REF!</v>
      </c>
      <c r="CM88" t="e">
        <f>AND(#REF!,"AAAAAG/1/lo=")</f>
        <v>#REF!</v>
      </c>
      <c r="CN88" t="e">
        <f>AND(#REF!,"AAAAAG/1/ls=")</f>
        <v>#REF!</v>
      </c>
      <c r="CO88" t="e">
        <f>AND(#REF!,"AAAAAG/1/lw=")</f>
        <v>#REF!</v>
      </c>
      <c r="CP88" t="e">
        <f>AND(#REF!,"AAAAAG/1/l0=")</f>
        <v>#REF!</v>
      </c>
      <c r="CQ88" t="e">
        <f>AND(#REF!,"AAAAAG/1/l4=")</f>
        <v>#REF!</v>
      </c>
      <c r="CR88" t="e">
        <f>AND(#REF!,"AAAAAG/1/l8=")</f>
        <v>#REF!</v>
      </c>
      <c r="CS88" t="e">
        <f>AND(#REF!,"AAAAAG/1/mA=")</f>
        <v>#REF!</v>
      </c>
      <c r="CT88" t="e">
        <f>AND(#REF!,"AAAAAG/1/mE=")</f>
        <v>#REF!</v>
      </c>
      <c r="CU88" t="e">
        <f>AND(#REF!,"AAAAAG/1/mI=")</f>
        <v>#REF!</v>
      </c>
      <c r="CV88" t="e">
        <f>AND(#REF!,"AAAAAG/1/mM=")</f>
        <v>#REF!</v>
      </c>
      <c r="CW88" t="e">
        <f>AND(#REF!,"AAAAAG/1/mQ=")</f>
        <v>#REF!</v>
      </c>
      <c r="CX88" t="e">
        <f>AND(#REF!,"AAAAAG/1/mU=")</f>
        <v>#REF!</v>
      </c>
      <c r="CY88" t="e">
        <f>AND(#REF!,"AAAAAG/1/mY=")</f>
        <v>#REF!</v>
      </c>
      <c r="CZ88" t="e">
        <f>AND(#REF!,"AAAAAG/1/mc=")</f>
        <v>#REF!</v>
      </c>
      <c r="DA88" t="e">
        <f>AND(#REF!,"AAAAAG/1/mg=")</f>
        <v>#REF!</v>
      </c>
      <c r="DB88" t="e">
        <f>AND(#REF!,"AAAAAG/1/mk=")</f>
        <v>#REF!</v>
      </c>
      <c r="DC88" t="e">
        <f>AND(#REF!,"AAAAAG/1/mo=")</f>
        <v>#REF!</v>
      </c>
      <c r="DD88" t="e">
        <f>AND(#REF!,"AAAAAG/1/ms=")</f>
        <v>#REF!</v>
      </c>
      <c r="DE88" t="e">
        <f>AND(#REF!,"AAAAAG/1/mw=")</f>
        <v>#REF!</v>
      </c>
      <c r="DF88" t="e">
        <f>AND(#REF!,"AAAAAG/1/m0=")</f>
        <v>#REF!</v>
      </c>
      <c r="DG88" t="e">
        <f>AND(#REF!,"AAAAAG/1/m4=")</f>
        <v>#REF!</v>
      </c>
      <c r="DH88" t="e">
        <f>AND(#REF!,"AAAAAG/1/m8=")</f>
        <v>#REF!</v>
      </c>
      <c r="DI88" t="e">
        <f>AND(#REF!,"AAAAAG/1/nA=")</f>
        <v>#REF!</v>
      </c>
      <c r="DJ88" t="e">
        <f>AND(#REF!,"AAAAAG/1/nE=")</f>
        <v>#REF!</v>
      </c>
      <c r="DK88" t="e">
        <f>AND(#REF!,"AAAAAG/1/nI=")</f>
        <v>#REF!</v>
      </c>
      <c r="DL88" t="e">
        <f>AND(#REF!,"AAAAAG/1/nM=")</f>
        <v>#REF!</v>
      </c>
      <c r="DM88" t="e">
        <f>AND(#REF!,"AAAAAG/1/nQ=")</f>
        <v>#REF!</v>
      </c>
      <c r="DN88" t="e">
        <f>AND(#REF!,"AAAAAG/1/nU=")</f>
        <v>#REF!</v>
      </c>
      <c r="DO88" t="e">
        <f>AND(#REF!,"AAAAAG/1/nY=")</f>
        <v>#REF!</v>
      </c>
      <c r="DP88" t="e">
        <f>AND(#REF!,"AAAAAG/1/nc=")</f>
        <v>#REF!</v>
      </c>
      <c r="DQ88" t="e">
        <f>AND(#REF!,"AAAAAG/1/ng=")</f>
        <v>#REF!</v>
      </c>
      <c r="DR88" t="e">
        <f>AND(#REF!,"AAAAAG/1/nk=")</f>
        <v>#REF!</v>
      </c>
      <c r="DS88" t="e">
        <f>AND(#REF!,"AAAAAG/1/no=")</f>
        <v>#REF!</v>
      </c>
      <c r="DT88" t="e">
        <f>AND(#REF!,"AAAAAG/1/ns=")</f>
        <v>#REF!</v>
      </c>
      <c r="DU88" t="e">
        <f>AND(#REF!,"AAAAAG/1/nw=")</f>
        <v>#REF!</v>
      </c>
      <c r="DV88" t="e">
        <f>AND(#REF!,"AAAAAG/1/n0=")</f>
        <v>#REF!</v>
      </c>
      <c r="DW88" t="e">
        <f>AND(#REF!,"AAAAAG/1/n4=")</f>
        <v>#REF!</v>
      </c>
      <c r="DX88" t="e">
        <f>AND(#REF!,"AAAAAG/1/n8=")</f>
        <v>#REF!</v>
      </c>
      <c r="DY88" t="e">
        <f>IF(#REF!,"AAAAAG/1/oA=",0)</f>
        <v>#REF!</v>
      </c>
      <c r="DZ88" t="e">
        <f>AND(#REF!,"AAAAAG/1/oE=")</f>
        <v>#REF!</v>
      </c>
      <c r="EA88" t="e">
        <f>AND(#REF!,"AAAAAG/1/oI=")</f>
        <v>#REF!</v>
      </c>
      <c r="EB88" t="e">
        <f>AND(#REF!,"AAAAAG/1/oM=")</f>
        <v>#REF!</v>
      </c>
      <c r="EC88" t="e">
        <f>AND(#REF!,"AAAAAG/1/oQ=")</f>
        <v>#REF!</v>
      </c>
      <c r="ED88" t="e">
        <f>AND(#REF!,"AAAAAG/1/oU=")</f>
        <v>#REF!</v>
      </c>
      <c r="EE88" t="e">
        <f>AND(#REF!,"AAAAAG/1/oY=")</f>
        <v>#REF!</v>
      </c>
      <c r="EF88" t="e">
        <f>AND(#REF!,"AAAAAG/1/oc=")</f>
        <v>#REF!</v>
      </c>
      <c r="EG88" t="e">
        <f>AND(#REF!,"AAAAAG/1/og=")</f>
        <v>#REF!</v>
      </c>
      <c r="EH88" t="e">
        <f>AND(#REF!,"AAAAAG/1/ok=")</f>
        <v>#REF!</v>
      </c>
      <c r="EI88" t="e">
        <f>AND(#REF!,"AAAAAG/1/oo=")</f>
        <v>#REF!</v>
      </c>
      <c r="EJ88" t="e">
        <f>AND(#REF!,"AAAAAG/1/os=")</f>
        <v>#REF!</v>
      </c>
      <c r="EK88" t="e">
        <f>AND(#REF!,"AAAAAG/1/ow=")</f>
        <v>#REF!</v>
      </c>
      <c r="EL88" t="e">
        <f>AND(#REF!,"AAAAAG/1/o0=")</f>
        <v>#REF!</v>
      </c>
      <c r="EM88" t="e">
        <f>AND(#REF!,"AAAAAG/1/o4=")</f>
        <v>#REF!</v>
      </c>
      <c r="EN88" t="e">
        <f>AND(#REF!,"AAAAAG/1/o8=")</f>
        <v>#REF!</v>
      </c>
      <c r="EO88" t="e">
        <f>AND(#REF!,"AAAAAG/1/pA=")</f>
        <v>#REF!</v>
      </c>
      <c r="EP88" t="e">
        <f>AND(#REF!,"AAAAAG/1/pE=")</f>
        <v>#REF!</v>
      </c>
      <c r="EQ88" t="e">
        <f>AND(#REF!,"AAAAAG/1/pI=")</f>
        <v>#REF!</v>
      </c>
      <c r="ER88" t="e">
        <f>AND(#REF!,"AAAAAG/1/pM=")</f>
        <v>#REF!</v>
      </c>
      <c r="ES88" t="e">
        <f>AND(#REF!,"AAAAAG/1/pQ=")</f>
        <v>#REF!</v>
      </c>
      <c r="ET88" t="e">
        <f>AND(#REF!,"AAAAAG/1/pU=")</f>
        <v>#REF!</v>
      </c>
      <c r="EU88" t="e">
        <f>AND(#REF!,"AAAAAG/1/pY=")</f>
        <v>#REF!</v>
      </c>
      <c r="EV88" t="e">
        <f>AND(#REF!,"AAAAAG/1/pc=")</f>
        <v>#REF!</v>
      </c>
      <c r="EW88" t="e">
        <f>AND(#REF!,"AAAAAG/1/pg=")</f>
        <v>#REF!</v>
      </c>
      <c r="EX88" t="e">
        <f>AND(#REF!,"AAAAAG/1/pk=")</f>
        <v>#REF!</v>
      </c>
      <c r="EY88" t="e">
        <f>AND(#REF!,"AAAAAG/1/po=")</f>
        <v>#REF!</v>
      </c>
      <c r="EZ88" t="e">
        <f>AND(#REF!,"AAAAAG/1/ps=")</f>
        <v>#REF!</v>
      </c>
      <c r="FA88" t="e">
        <f>AND(#REF!,"AAAAAG/1/pw=")</f>
        <v>#REF!</v>
      </c>
      <c r="FB88" t="e">
        <f>AND(#REF!,"AAAAAG/1/p0=")</f>
        <v>#REF!</v>
      </c>
      <c r="FC88" t="e">
        <f>AND(#REF!,"AAAAAG/1/p4=")</f>
        <v>#REF!</v>
      </c>
      <c r="FD88" t="e">
        <f>AND(#REF!,"AAAAAG/1/p8=")</f>
        <v>#REF!</v>
      </c>
      <c r="FE88" t="e">
        <f>AND(#REF!,"AAAAAG/1/qA=")</f>
        <v>#REF!</v>
      </c>
      <c r="FF88" t="e">
        <f>AND(#REF!,"AAAAAG/1/qE=")</f>
        <v>#REF!</v>
      </c>
      <c r="FG88" t="e">
        <f>AND(#REF!,"AAAAAG/1/qI=")</f>
        <v>#REF!</v>
      </c>
      <c r="FH88" t="e">
        <f>AND(#REF!,"AAAAAG/1/qM=")</f>
        <v>#REF!</v>
      </c>
      <c r="FI88" t="e">
        <f>AND(#REF!,"AAAAAG/1/qQ=")</f>
        <v>#REF!</v>
      </c>
      <c r="FJ88" t="e">
        <f>AND(#REF!,"AAAAAG/1/qU=")</f>
        <v>#REF!</v>
      </c>
      <c r="FK88" t="e">
        <f>AND(#REF!,"AAAAAG/1/qY=")</f>
        <v>#REF!</v>
      </c>
      <c r="FL88" t="e">
        <f>AND(#REF!,"AAAAAG/1/qc=")</f>
        <v>#REF!</v>
      </c>
      <c r="FM88" t="e">
        <f>AND(#REF!,"AAAAAG/1/qg=")</f>
        <v>#REF!</v>
      </c>
      <c r="FN88" t="e">
        <f>AND(#REF!,"AAAAAG/1/qk=")</f>
        <v>#REF!</v>
      </c>
      <c r="FO88" t="e">
        <f>AND(#REF!,"AAAAAG/1/qo=")</f>
        <v>#REF!</v>
      </c>
      <c r="FP88" t="e">
        <f>AND(#REF!,"AAAAAG/1/qs=")</f>
        <v>#REF!</v>
      </c>
      <c r="FQ88" t="e">
        <f>AND(#REF!,"AAAAAG/1/qw=")</f>
        <v>#REF!</v>
      </c>
      <c r="FR88" t="e">
        <f>AND(#REF!,"AAAAAG/1/q0=")</f>
        <v>#REF!</v>
      </c>
      <c r="FS88" t="e">
        <f>AND(#REF!,"AAAAAG/1/q4=")</f>
        <v>#REF!</v>
      </c>
      <c r="FT88" t="e">
        <f>AND(#REF!,"AAAAAG/1/q8=")</f>
        <v>#REF!</v>
      </c>
      <c r="FU88" t="e">
        <f>AND(#REF!,"AAAAAG/1/rA=")</f>
        <v>#REF!</v>
      </c>
      <c r="FV88" t="e">
        <f>AND(#REF!,"AAAAAG/1/rE=")</f>
        <v>#REF!</v>
      </c>
      <c r="FW88" t="e">
        <f>AND(#REF!,"AAAAAG/1/rI=")</f>
        <v>#REF!</v>
      </c>
      <c r="FX88" t="e">
        <f>AND(#REF!,"AAAAAG/1/rM=")</f>
        <v>#REF!</v>
      </c>
      <c r="FY88" t="e">
        <f>AND(#REF!,"AAAAAG/1/rQ=")</f>
        <v>#REF!</v>
      </c>
      <c r="FZ88" t="e">
        <f>AND(#REF!,"AAAAAG/1/rU=")</f>
        <v>#REF!</v>
      </c>
      <c r="GA88" t="e">
        <f>AND(#REF!,"AAAAAG/1/rY=")</f>
        <v>#REF!</v>
      </c>
      <c r="GB88" t="e">
        <f>AND(#REF!,"AAAAAG/1/rc=")</f>
        <v>#REF!</v>
      </c>
      <c r="GC88" t="e">
        <f>AND(#REF!,"AAAAAG/1/rg=")</f>
        <v>#REF!</v>
      </c>
      <c r="GD88" t="e">
        <f>AND(#REF!,"AAAAAG/1/rk=")</f>
        <v>#REF!</v>
      </c>
      <c r="GE88" t="e">
        <f>AND(#REF!,"AAAAAG/1/ro=")</f>
        <v>#REF!</v>
      </c>
      <c r="GF88" t="e">
        <f>AND(#REF!,"AAAAAG/1/rs=")</f>
        <v>#REF!</v>
      </c>
      <c r="GG88" t="e">
        <f>AND(#REF!,"AAAAAG/1/rw=")</f>
        <v>#REF!</v>
      </c>
      <c r="GH88" t="e">
        <f>AND(#REF!,"AAAAAG/1/r0=")</f>
        <v>#REF!</v>
      </c>
      <c r="GI88" t="e">
        <f>AND(#REF!,"AAAAAG/1/r4=")</f>
        <v>#REF!</v>
      </c>
      <c r="GJ88" t="e">
        <f>AND(#REF!,"AAAAAG/1/r8=")</f>
        <v>#REF!</v>
      </c>
      <c r="GK88" t="e">
        <f>AND(#REF!,"AAAAAG/1/sA=")</f>
        <v>#REF!</v>
      </c>
      <c r="GL88" t="e">
        <f>AND(#REF!,"AAAAAG/1/sE=")</f>
        <v>#REF!</v>
      </c>
      <c r="GM88" t="e">
        <f>AND(#REF!,"AAAAAG/1/sI=")</f>
        <v>#REF!</v>
      </c>
      <c r="GN88" t="e">
        <f>AND(#REF!,"AAAAAG/1/sM=")</f>
        <v>#REF!</v>
      </c>
      <c r="GO88" t="e">
        <f>AND(#REF!,"AAAAAG/1/sQ=")</f>
        <v>#REF!</v>
      </c>
      <c r="GP88" t="e">
        <f>AND(#REF!,"AAAAAG/1/sU=")</f>
        <v>#REF!</v>
      </c>
      <c r="GQ88" t="e">
        <f>AND(#REF!,"AAAAAG/1/sY=")</f>
        <v>#REF!</v>
      </c>
      <c r="GR88" t="e">
        <f>AND(#REF!,"AAAAAG/1/sc=")</f>
        <v>#REF!</v>
      </c>
      <c r="GS88" t="e">
        <f>AND(#REF!,"AAAAAG/1/sg=")</f>
        <v>#REF!</v>
      </c>
      <c r="GT88" t="e">
        <f>AND(#REF!,"AAAAAG/1/sk=")</f>
        <v>#REF!</v>
      </c>
      <c r="GU88" t="e">
        <f>AND(#REF!,"AAAAAG/1/so=")</f>
        <v>#REF!</v>
      </c>
      <c r="GV88" t="e">
        <f>AND(#REF!,"AAAAAG/1/ss=")</f>
        <v>#REF!</v>
      </c>
      <c r="GW88" t="e">
        <f>AND(#REF!,"AAAAAG/1/sw=")</f>
        <v>#REF!</v>
      </c>
      <c r="GX88" t="e">
        <f>AND(#REF!,"AAAAAG/1/s0=")</f>
        <v>#REF!</v>
      </c>
      <c r="GY88" t="e">
        <f>AND(#REF!,"AAAAAG/1/s4=")</f>
        <v>#REF!</v>
      </c>
      <c r="GZ88" t="e">
        <f>AND(#REF!,"AAAAAG/1/s8=")</f>
        <v>#REF!</v>
      </c>
      <c r="HA88" t="e">
        <f>AND(#REF!,"AAAAAG/1/tA=")</f>
        <v>#REF!</v>
      </c>
      <c r="HB88" t="e">
        <f>AND(#REF!,"AAAAAG/1/tE=")</f>
        <v>#REF!</v>
      </c>
      <c r="HC88" t="e">
        <f>AND(#REF!,"AAAAAG/1/tI=")</f>
        <v>#REF!</v>
      </c>
      <c r="HD88" t="e">
        <f>AND(#REF!,"AAAAAG/1/tM=")</f>
        <v>#REF!</v>
      </c>
      <c r="HE88" t="e">
        <f>AND(#REF!,"AAAAAG/1/tQ=")</f>
        <v>#REF!</v>
      </c>
      <c r="HF88" t="e">
        <f>AND(#REF!,"AAAAAG/1/tU=")</f>
        <v>#REF!</v>
      </c>
      <c r="HG88" t="e">
        <f>AND(#REF!,"AAAAAG/1/tY=")</f>
        <v>#REF!</v>
      </c>
      <c r="HH88" t="e">
        <f>AND(#REF!,"AAAAAG/1/tc=")</f>
        <v>#REF!</v>
      </c>
      <c r="HI88" t="e">
        <f>AND(#REF!,"AAAAAG/1/tg=")</f>
        <v>#REF!</v>
      </c>
      <c r="HJ88" t="e">
        <f>AND(#REF!,"AAAAAG/1/tk=")</f>
        <v>#REF!</v>
      </c>
      <c r="HK88" t="e">
        <f>AND(#REF!,"AAAAAG/1/to=")</f>
        <v>#REF!</v>
      </c>
      <c r="HL88" t="e">
        <f>AND(#REF!,"AAAAAG/1/ts=")</f>
        <v>#REF!</v>
      </c>
      <c r="HM88" t="e">
        <f>AND(#REF!,"AAAAAG/1/tw=")</f>
        <v>#REF!</v>
      </c>
      <c r="HN88" t="e">
        <f>AND(#REF!,"AAAAAG/1/t0=")</f>
        <v>#REF!</v>
      </c>
      <c r="HO88" t="e">
        <f>AND(#REF!,"AAAAAG/1/t4=")</f>
        <v>#REF!</v>
      </c>
      <c r="HP88" t="e">
        <f>AND(#REF!,"AAAAAG/1/t8=")</f>
        <v>#REF!</v>
      </c>
      <c r="HQ88" t="e">
        <f>AND(#REF!,"AAAAAG/1/uA=")</f>
        <v>#REF!</v>
      </c>
      <c r="HR88" t="e">
        <f>AND(#REF!,"AAAAAG/1/uE=")</f>
        <v>#REF!</v>
      </c>
      <c r="HS88" t="e">
        <f>AND(#REF!,"AAAAAG/1/uI=")</f>
        <v>#REF!</v>
      </c>
      <c r="HT88" t="e">
        <f>AND(#REF!,"AAAAAG/1/uM=")</f>
        <v>#REF!</v>
      </c>
      <c r="HU88" t="e">
        <f>AND(#REF!,"AAAAAG/1/uQ=")</f>
        <v>#REF!</v>
      </c>
      <c r="HV88" t="e">
        <f>AND(#REF!,"AAAAAG/1/uU=")</f>
        <v>#REF!</v>
      </c>
      <c r="HW88" t="e">
        <f>AND(#REF!,"AAAAAG/1/uY=")</f>
        <v>#REF!</v>
      </c>
      <c r="HX88" t="e">
        <f>AND(#REF!,"AAAAAG/1/uc=")</f>
        <v>#REF!</v>
      </c>
      <c r="HY88" t="e">
        <f>AND(#REF!,"AAAAAG/1/ug=")</f>
        <v>#REF!</v>
      </c>
      <c r="HZ88" t="e">
        <f>AND(#REF!,"AAAAAG/1/uk=")</f>
        <v>#REF!</v>
      </c>
      <c r="IA88" t="e">
        <f>AND(#REF!,"AAAAAG/1/uo=")</f>
        <v>#REF!</v>
      </c>
      <c r="IB88" t="e">
        <f>AND(#REF!,"AAAAAG/1/us=")</f>
        <v>#REF!</v>
      </c>
      <c r="IC88" t="e">
        <f>AND(#REF!,"AAAAAG/1/uw=")</f>
        <v>#REF!</v>
      </c>
      <c r="ID88" t="e">
        <f>AND(#REF!,"AAAAAG/1/u0=")</f>
        <v>#REF!</v>
      </c>
      <c r="IE88" t="e">
        <f>AND(#REF!,"AAAAAG/1/u4=")</f>
        <v>#REF!</v>
      </c>
      <c r="IF88" t="e">
        <f>AND(#REF!,"AAAAAG/1/u8=")</f>
        <v>#REF!</v>
      </c>
      <c r="IG88" t="e">
        <f>AND(#REF!,"AAAAAG/1/vA=")</f>
        <v>#REF!</v>
      </c>
      <c r="IH88" t="e">
        <f>AND(#REF!,"AAAAAG/1/vE=")</f>
        <v>#REF!</v>
      </c>
      <c r="II88" t="e">
        <f>AND(#REF!,"AAAAAG/1/vI=")</f>
        <v>#REF!</v>
      </c>
      <c r="IJ88" t="e">
        <f>AND(#REF!,"AAAAAG/1/vM=")</f>
        <v>#REF!</v>
      </c>
      <c r="IK88" t="e">
        <f>AND(#REF!,"AAAAAG/1/vQ=")</f>
        <v>#REF!</v>
      </c>
      <c r="IL88" t="e">
        <f>AND(#REF!,"AAAAAG/1/vU=")</f>
        <v>#REF!</v>
      </c>
      <c r="IM88" t="e">
        <f>AND(#REF!,"AAAAAG/1/vY=")</f>
        <v>#REF!</v>
      </c>
      <c r="IN88" t="e">
        <f>AND(#REF!,"AAAAAG/1/vc=")</f>
        <v>#REF!</v>
      </c>
      <c r="IO88" t="e">
        <f>AND(#REF!,"AAAAAG/1/vg=")</f>
        <v>#REF!</v>
      </c>
      <c r="IP88" t="e">
        <f>AND(#REF!,"AAAAAG/1/vk=")</f>
        <v>#REF!</v>
      </c>
      <c r="IQ88" t="e">
        <f>AND(#REF!,"AAAAAG/1/vo=")</f>
        <v>#REF!</v>
      </c>
      <c r="IR88" t="e">
        <f>AND(#REF!,"AAAAAG/1/vs=")</f>
        <v>#REF!</v>
      </c>
      <c r="IS88" t="e">
        <f>AND(#REF!,"AAAAAG/1/vw=")</f>
        <v>#REF!</v>
      </c>
      <c r="IT88" t="e">
        <f>AND(#REF!,"AAAAAG/1/v0=")</f>
        <v>#REF!</v>
      </c>
      <c r="IU88" t="e">
        <f>AND(#REF!,"AAAAAG/1/v4=")</f>
        <v>#REF!</v>
      </c>
      <c r="IV88" t="e">
        <f>AND(#REF!,"AAAAAG/1/v8=")</f>
        <v>#REF!</v>
      </c>
    </row>
    <row r="89" spans="1:256">
      <c r="A89" t="e">
        <f>IF(#REF!,"AAAAADn+9QA=",0)</f>
        <v>#REF!</v>
      </c>
      <c r="B89" t="e">
        <f>AND(#REF!,"AAAAADn+9QE=")</f>
        <v>#REF!</v>
      </c>
      <c r="C89" t="e">
        <f>AND(#REF!,"AAAAADn+9QI=")</f>
        <v>#REF!</v>
      </c>
      <c r="D89" t="e">
        <f>AND(#REF!,"AAAAADn+9QM=")</f>
        <v>#REF!</v>
      </c>
      <c r="E89" t="e">
        <f>AND(#REF!,"AAAAADn+9QQ=")</f>
        <v>#REF!</v>
      </c>
      <c r="F89" t="e">
        <f>AND(#REF!,"AAAAADn+9QU=")</f>
        <v>#REF!</v>
      </c>
      <c r="G89" t="e">
        <f>AND(#REF!,"AAAAADn+9QY=")</f>
        <v>#REF!</v>
      </c>
      <c r="H89" t="e">
        <f>AND(#REF!,"AAAAADn+9Qc=")</f>
        <v>#REF!</v>
      </c>
      <c r="I89" t="e">
        <f>AND(#REF!,"AAAAADn+9Qg=")</f>
        <v>#REF!</v>
      </c>
      <c r="J89" t="e">
        <f>AND(#REF!,"AAAAADn+9Qk=")</f>
        <v>#REF!</v>
      </c>
      <c r="K89" t="e">
        <f>AND(#REF!,"AAAAADn+9Qo=")</f>
        <v>#REF!</v>
      </c>
      <c r="L89" t="e">
        <f>AND(#REF!,"AAAAADn+9Qs=")</f>
        <v>#REF!</v>
      </c>
      <c r="M89" t="e">
        <f>AND(#REF!,"AAAAADn+9Qw=")</f>
        <v>#REF!</v>
      </c>
      <c r="N89" t="e">
        <f>AND(#REF!,"AAAAADn+9Q0=")</f>
        <v>#REF!</v>
      </c>
      <c r="O89" t="e">
        <f>AND(#REF!,"AAAAADn+9Q4=")</f>
        <v>#REF!</v>
      </c>
      <c r="P89" t="e">
        <f>AND(#REF!,"AAAAADn+9Q8=")</f>
        <v>#REF!</v>
      </c>
      <c r="Q89" t="e">
        <f>AND(#REF!,"AAAAADn+9RA=")</f>
        <v>#REF!</v>
      </c>
      <c r="R89" t="e">
        <f>AND(#REF!,"AAAAADn+9RE=")</f>
        <v>#REF!</v>
      </c>
      <c r="S89" t="e">
        <f>AND(#REF!,"AAAAADn+9RI=")</f>
        <v>#REF!</v>
      </c>
      <c r="T89" t="e">
        <f>AND(#REF!,"AAAAADn+9RM=")</f>
        <v>#REF!</v>
      </c>
      <c r="U89" t="e">
        <f>AND(#REF!,"AAAAADn+9RQ=")</f>
        <v>#REF!</v>
      </c>
      <c r="V89" t="e">
        <f>AND(#REF!,"AAAAADn+9RU=")</f>
        <v>#REF!</v>
      </c>
      <c r="W89" t="e">
        <f>AND(#REF!,"AAAAADn+9RY=")</f>
        <v>#REF!</v>
      </c>
      <c r="X89" t="e">
        <f>AND(#REF!,"AAAAADn+9Rc=")</f>
        <v>#REF!</v>
      </c>
      <c r="Y89" t="e">
        <f>AND(#REF!,"AAAAADn+9Rg=")</f>
        <v>#REF!</v>
      </c>
      <c r="Z89" t="e">
        <f>AND(#REF!,"AAAAADn+9Rk=")</f>
        <v>#REF!</v>
      </c>
      <c r="AA89" t="e">
        <f>AND(#REF!,"AAAAADn+9Ro=")</f>
        <v>#REF!</v>
      </c>
      <c r="AB89" t="e">
        <f>AND(#REF!,"AAAAADn+9Rs=")</f>
        <v>#REF!</v>
      </c>
      <c r="AC89" t="e">
        <f>AND(#REF!,"AAAAADn+9Rw=")</f>
        <v>#REF!</v>
      </c>
      <c r="AD89" t="e">
        <f>AND(#REF!,"AAAAADn+9R0=")</f>
        <v>#REF!</v>
      </c>
      <c r="AE89" t="e">
        <f>AND(#REF!,"AAAAADn+9R4=")</f>
        <v>#REF!</v>
      </c>
      <c r="AF89" t="e">
        <f>AND(#REF!,"AAAAADn+9R8=")</f>
        <v>#REF!</v>
      </c>
      <c r="AG89" t="e">
        <f>AND(#REF!,"AAAAADn+9SA=")</f>
        <v>#REF!</v>
      </c>
      <c r="AH89" t="e">
        <f>AND(#REF!,"AAAAADn+9SE=")</f>
        <v>#REF!</v>
      </c>
      <c r="AI89" t="e">
        <f>AND(#REF!,"AAAAADn+9SI=")</f>
        <v>#REF!</v>
      </c>
      <c r="AJ89" t="e">
        <f>AND(#REF!,"AAAAADn+9SM=")</f>
        <v>#REF!</v>
      </c>
      <c r="AK89" t="e">
        <f>AND(#REF!,"AAAAADn+9SQ=")</f>
        <v>#REF!</v>
      </c>
      <c r="AL89" t="e">
        <f>AND(#REF!,"AAAAADn+9SU=")</f>
        <v>#REF!</v>
      </c>
      <c r="AM89" t="e">
        <f>AND(#REF!,"AAAAADn+9SY=")</f>
        <v>#REF!</v>
      </c>
      <c r="AN89" t="e">
        <f>AND(#REF!,"AAAAADn+9Sc=")</f>
        <v>#REF!</v>
      </c>
      <c r="AO89" t="e">
        <f>AND(#REF!,"AAAAADn+9Sg=")</f>
        <v>#REF!</v>
      </c>
      <c r="AP89" t="e">
        <f>AND(#REF!,"AAAAADn+9Sk=")</f>
        <v>#REF!</v>
      </c>
      <c r="AQ89" t="e">
        <f>AND(#REF!,"AAAAADn+9So=")</f>
        <v>#REF!</v>
      </c>
      <c r="AR89" t="e">
        <f>AND(#REF!,"AAAAADn+9Ss=")</f>
        <v>#REF!</v>
      </c>
      <c r="AS89" t="e">
        <f>AND(#REF!,"AAAAADn+9Sw=")</f>
        <v>#REF!</v>
      </c>
      <c r="AT89" t="e">
        <f>AND(#REF!,"AAAAADn+9S0=")</f>
        <v>#REF!</v>
      </c>
      <c r="AU89" t="e">
        <f>AND(#REF!,"AAAAADn+9S4=")</f>
        <v>#REF!</v>
      </c>
      <c r="AV89" t="e">
        <f>AND(#REF!,"AAAAADn+9S8=")</f>
        <v>#REF!</v>
      </c>
      <c r="AW89" t="e">
        <f>AND(#REF!,"AAAAADn+9TA=")</f>
        <v>#REF!</v>
      </c>
      <c r="AX89" t="e">
        <f>AND(#REF!,"AAAAADn+9TE=")</f>
        <v>#REF!</v>
      </c>
      <c r="AY89" t="e">
        <f>AND(#REF!,"AAAAADn+9TI=")</f>
        <v>#REF!</v>
      </c>
      <c r="AZ89" t="e">
        <f>AND(#REF!,"AAAAADn+9TM=")</f>
        <v>#REF!</v>
      </c>
      <c r="BA89" t="e">
        <f>AND(#REF!,"AAAAADn+9TQ=")</f>
        <v>#REF!</v>
      </c>
      <c r="BB89" t="e">
        <f>AND(#REF!,"AAAAADn+9TU=")</f>
        <v>#REF!</v>
      </c>
      <c r="BC89" t="e">
        <f>AND(#REF!,"AAAAADn+9TY=")</f>
        <v>#REF!</v>
      </c>
      <c r="BD89" t="e">
        <f>AND(#REF!,"AAAAADn+9Tc=")</f>
        <v>#REF!</v>
      </c>
      <c r="BE89" t="e">
        <f>AND(#REF!,"AAAAADn+9Tg=")</f>
        <v>#REF!</v>
      </c>
      <c r="BF89" t="e">
        <f>AND(#REF!,"AAAAADn+9Tk=")</f>
        <v>#REF!</v>
      </c>
      <c r="BG89" t="e">
        <f>AND(#REF!,"AAAAADn+9To=")</f>
        <v>#REF!</v>
      </c>
      <c r="BH89" t="e">
        <f>AND(#REF!,"AAAAADn+9Ts=")</f>
        <v>#REF!</v>
      </c>
      <c r="BI89" t="e">
        <f>AND(#REF!,"AAAAADn+9Tw=")</f>
        <v>#REF!</v>
      </c>
      <c r="BJ89" t="e">
        <f>AND(#REF!,"AAAAADn+9T0=")</f>
        <v>#REF!</v>
      </c>
      <c r="BK89" t="e">
        <f>AND(#REF!,"AAAAADn+9T4=")</f>
        <v>#REF!</v>
      </c>
      <c r="BL89" t="e">
        <f>AND(#REF!,"AAAAADn+9T8=")</f>
        <v>#REF!</v>
      </c>
      <c r="BM89" t="e">
        <f>AND(#REF!,"AAAAADn+9UA=")</f>
        <v>#REF!</v>
      </c>
      <c r="BN89" t="e">
        <f>AND(#REF!,"AAAAADn+9UE=")</f>
        <v>#REF!</v>
      </c>
      <c r="BO89" t="e">
        <f>AND(#REF!,"AAAAADn+9UI=")</f>
        <v>#REF!</v>
      </c>
      <c r="BP89" t="e">
        <f>AND(#REF!,"AAAAADn+9UM=")</f>
        <v>#REF!</v>
      </c>
      <c r="BQ89" t="e">
        <f>AND(#REF!,"AAAAADn+9UQ=")</f>
        <v>#REF!</v>
      </c>
      <c r="BR89" t="e">
        <f>AND(#REF!,"AAAAADn+9UU=")</f>
        <v>#REF!</v>
      </c>
      <c r="BS89" t="e">
        <f>AND(#REF!,"AAAAADn+9UY=")</f>
        <v>#REF!</v>
      </c>
      <c r="BT89" t="e">
        <f>AND(#REF!,"AAAAADn+9Uc=")</f>
        <v>#REF!</v>
      </c>
      <c r="BU89" t="e">
        <f>AND(#REF!,"AAAAADn+9Ug=")</f>
        <v>#REF!</v>
      </c>
      <c r="BV89" t="e">
        <f>AND(#REF!,"AAAAADn+9Uk=")</f>
        <v>#REF!</v>
      </c>
      <c r="BW89" t="e">
        <f>AND(#REF!,"AAAAADn+9Uo=")</f>
        <v>#REF!</v>
      </c>
      <c r="BX89" t="e">
        <f>AND(#REF!,"AAAAADn+9Us=")</f>
        <v>#REF!</v>
      </c>
      <c r="BY89" t="e">
        <f>AND(#REF!,"AAAAADn+9Uw=")</f>
        <v>#REF!</v>
      </c>
      <c r="BZ89" t="e">
        <f>AND(#REF!,"AAAAADn+9U0=")</f>
        <v>#REF!</v>
      </c>
      <c r="CA89" t="e">
        <f>AND(#REF!,"AAAAADn+9U4=")</f>
        <v>#REF!</v>
      </c>
      <c r="CB89" t="e">
        <f>AND(#REF!,"AAAAADn+9U8=")</f>
        <v>#REF!</v>
      </c>
      <c r="CC89" t="e">
        <f>AND(#REF!,"AAAAADn+9VA=")</f>
        <v>#REF!</v>
      </c>
      <c r="CD89" t="e">
        <f>AND(#REF!,"AAAAADn+9VE=")</f>
        <v>#REF!</v>
      </c>
      <c r="CE89" t="e">
        <f>AND(#REF!,"AAAAADn+9VI=")</f>
        <v>#REF!</v>
      </c>
      <c r="CF89" t="e">
        <f>AND(#REF!,"AAAAADn+9VM=")</f>
        <v>#REF!</v>
      </c>
      <c r="CG89" t="e">
        <f>AND(#REF!,"AAAAADn+9VQ=")</f>
        <v>#REF!</v>
      </c>
      <c r="CH89" t="e">
        <f>AND(#REF!,"AAAAADn+9VU=")</f>
        <v>#REF!</v>
      </c>
      <c r="CI89" t="e">
        <f>AND(#REF!,"AAAAADn+9VY=")</f>
        <v>#REF!</v>
      </c>
      <c r="CJ89" t="e">
        <f>AND(#REF!,"AAAAADn+9Vc=")</f>
        <v>#REF!</v>
      </c>
      <c r="CK89" t="e">
        <f>AND(#REF!,"AAAAADn+9Vg=")</f>
        <v>#REF!</v>
      </c>
      <c r="CL89" t="e">
        <f>AND(#REF!,"AAAAADn+9Vk=")</f>
        <v>#REF!</v>
      </c>
      <c r="CM89" t="e">
        <f>AND(#REF!,"AAAAADn+9Vo=")</f>
        <v>#REF!</v>
      </c>
      <c r="CN89" t="e">
        <f>AND(#REF!,"AAAAADn+9Vs=")</f>
        <v>#REF!</v>
      </c>
      <c r="CO89" t="e">
        <f>AND(#REF!,"AAAAADn+9Vw=")</f>
        <v>#REF!</v>
      </c>
      <c r="CP89" t="e">
        <f>AND(#REF!,"AAAAADn+9V0=")</f>
        <v>#REF!</v>
      </c>
      <c r="CQ89" t="e">
        <f>AND(#REF!,"AAAAADn+9V4=")</f>
        <v>#REF!</v>
      </c>
      <c r="CR89" t="e">
        <f>AND(#REF!,"AAAAADn+9V8=")</f>
        <v>#REF!</v>
      </c>
      <c r="CS89" t="e">
        <f>AND(#REF!,"AAAAADn+9WA=")</f>
        <v>#REF!</v>
      </c>
      <c r="CT89" t="e">
        <f>AND(#REF!,"AAAAADn+9WE=")</f>
        <v>#REF!</v>
      </c>
      <c r="CU89" t="e">
        <f>AND(#REF!,"AAAAADn+9WI=")</f>
        <v>#REF!</v>
      </c>
      <c r="CV89" t="e">
        <f>AND(#REF!,"AAAAADn+9WM=")</f>
        <v>#REF!</v>
      </c>
      <c r="CW89" t="e">
        <f>AND(#REF!,"AAAAADn+9WQ=")</f>
        <v>#REF!</v>
      </c>
      <c r="CX89" t="e">
        <f>AND(#REF!,"AAAAADn+9WU=")</f>
        <v>#REF!</v>
      </c>
      <c r="CY89" t="e">
        <f>AND(#REF!,"AAAAADn+9WY=")</f>
        <v>#REF!</v>
      </c>
      <c r="CZ89" t="e">
        <f>AND(#REF!,"AAAAADn+9Wc=")</f>
        <v>#REF!</v>
      </c>
      <c r="DA89" t="e">
        <f>AND(#REF!,"AAAAADn+9Wg=")</f>
        <v>#REF!</v>
      </c>
      <c r="DB89" t="e">
        <f>AND(#REF!,"AAAAADn+9Wk=")</f>
        <v>#REF!</v>
      </c>
      <c r="DC89" t="e">
        <f>AND(#REF!,"AAAAADn+9Wo=")</f>
        <v>#REF!</v>
      </c>
      <c r="DD89" t="e">
        <f>AND(#REF!,"AAAAADn+9Ws=")</f>
        <v>#REF!</v>
      </c>
      <c r="DE89" t="e">
        <f>AND(#REF!,"AAAAADn+9Ww=")</f>
        <v>#REF!</v>
      </c>
      <c r="DF89" t="e">
        <f>AND(#REF!,"AAAAADn+9W0=")</f>
        <v>#REF!</v>
      </c>
      <c r="DG89" t="e">
        <f>AND(#REF!,"AAAAADn+9W4=")</f>
        <v>#REF!</v>
      </c>
      <c r="DH89" t="e">
        <f>AND(#REF!,"AAAAADn+9W8=")</f>
        <v>#REF!</v>
      </c>
      <c r="DI89" t="e">
        <f>AND(#REF!,"AAAAADn+9XA=")</f>
        <v>#REF!</v>
      </c>
      <c r="DJ89" t="e">
        <f>AND(#REF!,"AAAAADn+9XE=")</f>
        <v>#REF!</v>
      </c>
      <c r="DK89" t="e">
        <f>AND(#REF!,"AAAAADn+9XI=")</f>
        <v>#REF!</v>
      </c>
      <c r="DL89" t="e">
        <f>AND(#REF!,"AAAAADn+9XM=")</f>
        <v>#REF!</v>
      </c>
      <c r="DM89" t="e">
        <f>AND(#REF!,"AAAAADn+9XQ=")</f>
        <v>#REF!</v>
      </c>
      <c r="DN89" t="e">
        <f>AND(#REF!,"AAAAADn+9XU=")</f>
        <v>#REF!</v>
      </c>
      <c r="DO89" t="e">
        <f>AND(#REF!,"AAAAADn+9XY=")</f>
        <v>#REF!</v>
      </c>
      <c r="DP89" t="e">
        <f>AND(#REF!,"AAAAADn+9Xc=")</f>
        <v>#REF!</v>
      </c>
      <c r="DQ89" t="e">
        <f>AND(#REF!,"AAAAADn+9Xg=")</f>
        <v>#REF!</v>
      </c>
      <c r="DR89" t="e">
        <f>AND(#REF!,"AAAAADn+9Xk=")</f>
        <v>#REF!</v>
      </c>
      <c r="DS89" t="e">
        <f>AND(#REF!,"AAAAADn+9Xo=")</f>
        <v>#REF!</v>
      </c>
      <c r="DT89" t="e">
        <f>AND(#REF!,"AAAAADn+9Xs=")</f>
        <v>#REF!</v>
      </c>
      <c r="DU89" t="e">
        <f>AND(#REF!,"AAAAADn+9Xw=")</f>
        <v>#REF!</v>
      </c>
      <c r="DV89" t="e">
        <f>AND(#REF!,"AAAAADn+9X0=")</f>
        <v>#REF!</v>
      </c>
      <c r="DW89" t="e">
        <f>AND(#REF!,"AAAAADn+9X4=")</f>
        <v>#REF!</v>
      </c>
      <c r="DX89" t="e">
        <f>AND(#REF!,"AAAAADn+9X8=")</f>
        <v>#REF!</v>
      </c>
      <c r="DY89" t="e">
        <f>IF(#REF!,"AAAAADn+9YA=",0)</f>
        <v>#REF!</v>
      </c>
      <c r="DZ89" t="e">
        <f>AND(#REF!,"AAAAADn+9YE=")</f>
        <v>#REF!</v>
      </c>
      <c r="EA89" t="e">
        <f>AND(#REF!,"AAAAADn+9YI=")</f>
        <v>#REF!</v>
      </c>
      <c r="EB89" t="e">
        <f>AND(#REF!,"AAAAADn+9YM=")</f>
        <v>#REF!</v>
      </c>
      <c r="EC89" t="e">
        <f>AND(#REF!,"AAAAADn+9YQ=")</f>
        <v>#REF!</v>
      </c>
      <c r="ED89" t="e">
        <f>AND(#REF!,"AAAAADn+9YU=")</f>
        <v>#REF!</v>
      </c>
      <c r="EE89" t="e">
        <f>AND(#REF!,"AAAAADn+9YY=")</f>
        <v>#REF!</v>
      </c>
      <c r="EF89" t="e">
        <f>AND(#REF!,"AAAAADn+9Yc=")</f>
        <v>#REF!</v>
      </c>
      <c r="EG89" t="e">
        <f>AND(#REF!,"AAAAADn+9Yg=")</f>
        <v>#REF!</v>
      </c>
      <c r="EH89" t="e">
        <f>AND(#REF!,"AAAAADn+9Yk=")</f>
        <v>#REF!</v>
      </c>
      <c r="EI89" t="e">
        <f>AND(#REF!,"AAAAADn+9Yo=")</f>
        <v>#REF!</v>
      </c>
      <c r="EJ89" t="e">
        <f>AND(#REF!,"AAAAADn+9Ys=")</f>
        <v>#REF!</v>
      </c>
      <c r="EK89" t="e">
        <f>AND(#REF!,"AAAAADn+9Yw=")</f>
        <v>#REF!</v>
      </c>
      <c r="EL89" t="e">
        <f>AND(#REF!,"AAAAADn+9Y0=")</f>
        <v>#REF!</v>
      </c>
      <c r="EM89" t="e">
        <f>AND(#REF!,"AAAAADn+9Y4=")</f>
        <v>#REF!</v>
      </c>
      <c r="EN89" t="e">
        <f>AND(#REF!,"AAAAADn+9Y8=")</f>
        <v>#REF!</v>
      </c>
      <c r="EO89" t="e">
        <f>AND(#REF!,"AAAAADn+9ZA=")</f>
        <v>#REF!</v>
      </c>
      <c r="EP89" t="e">
        <f>AND(#REF!,"AAAAADn+9ZE=")</f>
        <v>#REF!</v>
      </c>
      <c r="EQ89" t="e">
        <f>AND(#REF!,"AAAAADn+9ZI=")</f>
        <v>#REF!</v>
      </c>
      <c r="ER89" t="e">
        <f>AND(#REF!,"AAAAADn+9ZM=")</f>
        <v>#REF!</v>
      </c>
      <c r="ES89" t="e">
        <f>AND(#REF!,"AAAAADn+9ZQ=")</f>
        <v>#REF!</v>
      </c>
      <c r="ET89" t="e">
        <f>AND(#REF!,"AAAAADn+9ZU=")</f>
        <v>#REF!</v>
      </c>
      <c r="EU89" t="e">
        <f>AND(#REF!,"AAAAADn+9ZY=")</f>
        <v>#REF!</v>
      </c>
      <c r="EV89" t="e">
        <f>AND(#REF!,"AAAAADn+9Zc=")</f>
        <v>#REF!</v>
      </c>
      <c r="EW89" t="e">
        <f>AND(#REF!,"AAAAADn+9Zg=")</f>
        <v>#REF!</v>
      </c>
      <c r="EX89" t="e">
        <f>AND(#REF!,"AAAAADn+9Zk=")</f>
        <v>#REF!</v>
      </c>
      <c r="EY89" t="e">
        <f>AND(#REF!,"AAAAADn+9Zo=")</f>
        <v>#REF!</v>
      </c>
      <c r="EZ89" t="e">
        <f>AND(#REF!,"AAAAADn+9Zs=")</f>
        <v>#REF!</v>
      </c>
      <c r="FA89" t="e">
        <f>AND(#REF!,"AAAAADn+9Zw=")</f>
        <v>#REF!</v>
      </c>
      <c r="FB89" t="e">
        <f>AND(#REF!,"AAAAADn+9Z0=")</f>
        <v>#REF!</v>
      </c>
      <c r="FC89" t="e">
        <f>AND(#REF!,"AAAAADn+9Z4=")</f>
        <v>#REF!</v>
      </c>
      <c r="FD89" t="e">
        <f>AND(#REF!,"AAAAADn+9Z8=")</f>
        <v>#REF!</v>
      </c>
      <c r="FE89" t="e">
        <f>AND(#REF!,"AAAAADn+9aA=")</f>
        <v>#REF!</v>
      </c>
      <c r="FF89" t="e">
        <f>AND(#REF!,"AAAAADn+9aE=")</f>
        <v>#REF!</v>
      </c>
      <c r="FG89" t="e">
        <f>AND(#REF!,"AAAAADn+9aI=")</f>
        <v>#REF!</v>
      </c>
      <c r="FH89" t="e">
        <f>AND(#REF!,"AAAAADn+9aM=")</f>
        <v>#REF!</v>
      </c>
      <c r="FI89" t="e">
        <f>AND(#REF!,"AAAAADn+9aQ=")</f>
        <v>#REF!</v>
      </c>
      <c r="FJ89" t="e">
        <f>AND(#REF!,"AAAAADn+9aU=")</f>
        <v>#REF!</v>
      </c>
      <c r="FK89" t="e">
        <f>AND(#REF!,"AAAAADn+9aY=")</f>
        <v>#REF!</v>
      </c>
      <c r="FL89" t="e">
        <f>AND(#REF!,"AAAAADn+9ac=")</f>
        <v>#REF!</v>
      </c>
      <c r="FM89" t="e">
        <f>AND(#REF!,"AAAAADn+9ag=")</f>
        <v>#REF!</v>
      </c>
      <c r="FN89" t="e">
        <f>AND(#REF!,"AAAAADn+9ak=")</f>
        <v>#REF!</v>
      </c>
      <c r="FO89" t="e">
        <f>AND(#REF!,"AAAAADn+9ao=")</f>
        <v>#REF!</v>
      </c>
      <c r="FP89" t="e">
        <f>AND(#REF!,"AAAAADn+9as=")</f>
        <v>#REF!</v>
      </c>
      <c r="FQ89" t="e">
        <f>AND(#REF!,"AAAAADn+9aw=")</f>
        <v>#REF!</v>
      </c>
      <c r="FR89" t="e">
        <f>AND(#REF!,"AAAAADn+9a0=")</f>
        <v>#REF!</v>
      </c>
      <c r="FS89" t="e">
        <f>AND(#REF!,"AAAAADn+9a4=")</f>
        <v>#REF!</v>
      </c>
      <c r="FT89" t="e">
        <f>AND(#REF!,"AAAAADn+9a8=")</f>
        <v>#REF!</v>
      </c>
      <c r="FU89" t="e">
        <f>AND(#REF!,"AAAAADn+9bA=")</f>
        <v>#REF!</v>
      </c>
      <c r="FV89" t="e">
        <f>AND(#REF!,"AAAAADn+9bE=")</f>
        <v>#REF!</v>
      </c>
      <c r="FW89" t="e">
        <f>AND(#REF!,"AAAAADn+9bI=")</f>
        <v>#REF!</v>
      </c>
      <c r="FX89" t="e">
        <f>AND(#REF!,"AAAAADn+9bM=")</f>
        <v>#REF!</v>
      </c>
      <c r="FY89" t="e">
        <f>AND(#REF!,"AAAAADn+9bQ=")</f>
        <v>#REF!</v>
      </c>
      <c r="FZ89" t="e">
        <f>AND(#REF!,"AAAAADn+9bU=")</f>
        <v>#REF!</v>
      </c>
      <c r="GA89" t="e">
        <f>AND(#REF!,"AAAAADn+9bY=")</f>
        <v>#REF!</v>
      </c>
      <c r="GB89" t="e">
        <f>AND(#REF!,"AAAAADn+9bc=")</f>
        <v>#REF!</v>
      </c>
      <c r="GC89" t="e">
        <f>AND(#REF!,"AAAAADn+9bg=")</f>
        <v>#REF!</v>
      </c>
      <c r="GD89" t="e">
        <f>AND(#REF!,"AAAAADn+9bk=")</f>
        <v>#REF!</v>
      </c>
      <c r="GE89" t="e">
        <f>AND(#REF!,"AAAAADn+9bo=")</f>
        <v>#REF!</v>
      </c>
      <c r="GF89" t="e">
        <f>AND(#REF!,"AAAAADn+9bs=")</f>
        <v>#REF!</v>
      </c>
      <c r="GG89" t="e">
        <f>AND(#REF!,"AAAAADn+9bw=")</f>
        <v>#REF!</v>
      </c>
      <c r="GH89" t="e">
        <f>AND(#REF!,"AAAAADn+9b0=")</f>
        <v>#REF!</v>
      </c>
      <c r="GI89" t="e">
        <f>AND(#REF!,"AAAAADn+9b4=")</f>
        <v>#REF!</v>
      </c>
      <c r="GJ89" t="e">
        <f>AND(#REF!,"AAAAADn+9b8=")</f>
        <v>#REF!</v>
      </c>
      <c r="GK89" t="e">
        <f>AND(#REF!,"AAAAADn+9cA=")</f>
        <v>#REF!</v>
      </c>
      <c r="GL89" t="e">
        <f>AND(#REF!,"AAAAADn+9cE=")</f>
        <v>#REF!</v>
      </c>
      <c r="GM89" t="e">
        <f>AND(#REF!,"AAAAADn+9cI=")</f>
        <v>#REF!</v>
      </c>
      <c r="GN89" t="e">
        <f>AND(#REF!,"AAAAADn+9cM=")</f>
        <v>#REF!</v>
      </c>
      <c r="GO89" t="e">
        <f>AND(#REF!,"AAAAADn+9cQ=")</f>
        <v>#REF!</v>
      </c>
      <c r="GP89" t="e">
        <f>AND(#REF!,"AAAAADn+9cU=")</f>
        <v>#REF!</v>
      </c>
      <c r="GQ89" t="e">
        <f>AND(#REF!,"AAAAADn+9cY=")</f>
        <v>#REF!</v>
      </c>
      <c r="GR89" t="e">
        <f>AND(#REF!,"AAAAADn+9cc=")</f>
        <v>#REF!</v>
      </c>
      <c r="GS89" t="e">
        <f>AND(#REF!,"AAAAADn+9cg=")</f>
        <v>#REF!</v>
      </c>
      <c r="GT89" t="e">
        <f>AND(#REF!,"AAAAADn+9ck=")</f>
        <v>#REF!</v>
      </c>
      <c r="GU89" t="e">
        <f>AND(#REF!,"AAAAADn+9co=")</f>
        <v>#REF!</v>
      </c>
      <c r="GV89" t="e">
        <f>AND(#REF!,"AAAAADn+9cs=")</f>
        <v>#REF!</v>
      </c>
      <c r="GW89" t="e">
        <f>AND(#REF!,"AAAAADn+9cw=")</f>
        <v>#REF!</v>
      </c>
      <c r="GX89" t="e">
        <f>AND(#REF!,"AAAAADn+9c0=")</f>
        <v>#REF!</v>
      </c>
      <c r="GY89" t="e">
        <f>AND(#REF!,"AAAAADn+9c4=")</f>
        <v>#REF!</v>
      </c>
      <c r="GZ89" t="e">
        <f>AND(#REF!,"AAAAADn+9c8=")</f>
        <v>#REF!</v>
      </c>
      <c r="HA89" t="e">
        <f>AND(#REF!,"AAAAADn+9dA=")</f>
        <v>#REF!</v>
      </c>
      <c r="HB89" t="e">
        <f>AND(#REF!,"AAAAADn+9dE=")</f>
        <v>#REF!</v>
      </c>
      <c r="HC89" t="e">
        <f>AND(#REF!,"AAAAADn+9dI=")</f>
        <v>#REF!</v>
      </c>
      <c r="HD89" t="e">
        <f>AND(#REF!,"AAAAADn+9dM=")</f>
        <v>#REF!</v>
      </c>
      <c r="HE89" t="e">
        <f>AND(#REF!,"AAAAADn+9dQ=")</f>
        <v>#REF!</v>
      </c>
      <c r="HF89" t="e">
        <f>AND(#REF!,"AAAAADn+9dU=")</f>
        <v>#REF!</v>
      </c>
      <c r="HG89" t="e">
        <f>AND(#REF!,"AAAAADn+9dY=")</f>
        <v>#REF!</v>
      </c>
      <c r="HH89" t="e">
        <f>AND(#REF!,"AAAAADn+9dc=")</f>
        <v>#REF!</v>
      </c>
      <c r="HI89" t="e">
        <f>AND(#REF!,"AAAAADn+9dg=")</f>
        <v>#REF!</v>
      </c>
      <c r="HJ89" t="e">
        <f>AND(#REF!,"AAAAADn+9dk=")</f>
        <v>#REF!</v>
      </c>
      <c r="HK89" t="e">
        <f>AND(#REF!,"AAAAADn+9do=")</f>
        <v>#REF!</v>
      </c>
      <c r="HL89" t="e">
        <f>AND(#REF!,"AAAAADn+9ds=")</f>
        <v>#REF!</v>
      </c>
      <c r="HM89" t="e">
        <f>AND(#REF!,"AAAAADn+9dw=")</f>
        <v>#REF!</v>
      </c>
      <c r="HN89" t="e">
        <f>AND(#REF!,"AAAAADn+9d0=")</f>
        <v>#REF!</v>
      </c>
      <c r="HO89" t="e">
        <f>AND(#REF!,"AAAAADn+9d4=")</f>
        <v>#REF!</v>
      </c>
      <c r="HP89" t="e">
        <f>AND(#REF!,"AAAAADn+9d8=")</f>
        <v>#REF!</v>
      </c>
      <c r="HQ89" t="e">
        <f>AND(#REF!,"AAAAADn+9eA=")</f>
        <v>#REF!</v>
      </c>
      <c r="HR89" t="e">
        <f>AND(#REF!,"AAAAADn+9eE=")</f>
        <v>#REF!</v>
      </c>
      <c r="HS89" t="e">
        <f>AND(#REF!,"AAAAADn+9eI=")</f>
        <v>#REF!</v>
      </c>
      <c r="HT89" t="e">
        <f>AND(#REF!,"AAAAADn+9eM=")</f>
        <v>#REF!</v>
      </c>
      <c r="HU89" t="e">
        <f>AND(#REF!,"AAAAADn+9eQ=")</f>
        <v>#REF!</v>
      </c>
      <c r="HV89" t="e">
        <f>AND(#REF!,"AAAAADn+9eU=")</f>
        <v>#REF!</v>
      </c>
      <c r="HW89" t="e">
        <f>AND(#REF!,"AAAAADn+9eY=")</f>
        <v>#REF!</v>
      </c>
      <c r="HX89" t="e">
        <f>AND(#REF!,"AAAAADn+9ec=")</f>
        <v>#REF!</v>
      </c>
      <c r="HY89" t="e">
        <f>AND(#REF!,"AAAAADn+9eg=")</f>
        <v>#REF!</v>
      </c>
      <c r="HZ89" t="e">
        <f>AND(#REF!,"AAAAADn+9ek=")</f>
        <v>#REF!</v>
      </c>
      <c r="IA89" t="e">
        <f>AND(#REF!,"AAAAADn+9eo=")</f>
        <v>#REF!</v>
      </c>
      <c r="IB89" t="e">
        <f>AND(#REF!,"AAAAADn+9es=")</f>
        <v>#REF!</v>
      </c>
      <c r="IC89" t="e">
        <f>AND(#REF!,"AAAAADn+9ew=")</f>
        <v>#REF!</v>
      </c>
      <c r="ID89" t="e">
        <f>AND(#REF!,"AAAAADn+9e0=")</f>
        <v>#REF!</v>
      </c>
      <c r="IE89" t="e">
        <f>AND(#REF!,"AAAAADn+9e4=")</f>
        <v>#REF!</v>
      </c>
      <c r="IF89" t="e">
        <f>AND(#REF!,"AAAAADn+9e8=")</f>
        <v>#REF!</v>
      </c>
      <c r="IG89" t="e">
        <f>AND(#REF!,"AAAAADn+9fA=")</f>
        <v>#REF!</v>
      </c>
      <c r="IH89" t="e">
        <f>AND(#REF!,"AAAAADn+9fE=")</f>
        <v>#REF!</v>
      </c>
      <c r="II89" t="e">
        <f>AND(#REF!,"AAAAADn+9fI=")</f>
        <v>#REF!</v>
      </c>
      <c r="IJ89" t="e">
        <f>AND(#REF!,"AAAAADn+9fM=")</f>
        <v>#REF!</v>
      </c>
      <c r="IK89" t="e">
        <f>AND(#REF!,"AAAAADn+9fQ=")</f>
        <v>#REF!</v>
      </c>
      <c r="IL89" t="e">
        <f>AND(#REF!,"AAAAADn+9fU=")</f>
        <v>#REF!</v>
      </c>
      <c r="IM89" t="e">
        <f>AND(#REF!,"AAAAADn+9fY=")</f>
        <v>#REF!</v>
      </c>
      <c r="IN89" t="e">
        <f>AND(#REF!,"AAAAADn+9fc=")</f>
        <v>#REF!</v>
      </c>
      <c r="IO89" t="e">
        <f>AND(#REF!,"AAAAADn+9fg=")</f>
        <v>#REF!</v>
      </c>
      <c r="IP89" t="e">
        <f>AND(#REF!,"AAAAADn+9fk=")</f>
        <v>#REF!</v>
      </c>
      <c r="IQ89" t="e">
        <f>AND(#REF!,"AAAAADn+9fo=")</f>
        <v>#REF!</v>
      </c>
      <c r="IR89" t="e">
        <f>AND(#REF!,"AAAAADn+9fs=")</f>
        <v>#REF!</v>
      </c>
      <c r="IS89" t="e">
        <f>AND(#REF!,"AAAAADn+9fw=")</f>
        <v>#REF!</v>
      </c>
      <c r="IT89" t="e">
        <f>AND(#REF!,"AAAAADn+9f0=")</f>
        <v>#REF!</v>
      </c>
      <c r="IU89" t="e">
        <f>AND(#REF!,"AAAAADn+9f4=")</f>
        <v>#REF!</v>
      </c>
      <c r="IV89" t="e">
        <f>AND(#REF!,"AAAAADn+9f8=")</f>
        <v>#REF!</v>
      </c>
    </row>
    <row r="90" spans="1:256">
      <c r="A90" t="e">
        <f>IF(#REF!,"AAAAAG/l6wA=",0)</f>
        <v>#REF!</v>
      </c>
      <c r="B90" t="e">
        <f>AND(#REF!,"AAAAAG/l6wE=")</f>
        <v>#REF!</v>
      </c>
      <c r="C90" t="e">
        <f>AND(#REF!,"AAAAAG/l6wI=")</f>
        <v>#REF!</v>
      </c>
      <c r="D90" t="e">
        <f>AND(#REF!,"AAAAAG/l6wM=")</f>
        <v>#REF!</v>
      </c>
      <c r="E90" t="e">
        <f>AND(#REF!,"AAAAAG/l6wQ=")</f>
        <v>#REF!</v>
      </c>
      <c r="F90" t="e">
        <f>AND(#REF!,"AAAAAG/l6wU=")</f>
        <v>#REF!</v>
      </c>
      <c r="G90" t="e">
        <f>AND(#REF!,"AAAAAG/l6wY=")</f>
        <v>#REF!</v>
      </c>
      <c r="H90" t="e">
        <f>AND(#REF!,"AAAAAG/l6wc=")</f>
        <v>#REF!</v>
      </c>
      <c r="I90" t="e">
        <f>AND(#REF!,"AAAAAG/l6wg=")</f>
        <v>#REF!</v>
      </c>
      <c r="J90" t="e">
        <f>AND(#REF!,"AAAAAG/l6wk=")</f>
        <v>#REF!</v>
      </c>
      <c r="K90" t="e">
        <f>AND(#REF!,"AAAAAG/l6wo=")</f>
        <v>#REF!</v>
      </c>
      <c r="L90" t="e">
        <f>AND(#REF!,"AAAAAG/l6ws=")</f>
        <v>#REF!</v>
      </c>
      <c r="M90" t="e">
        <f>AND(#REF!,"AAAAAG/l6ww=")</f>
        <v>#REF!</v>
      </c>
      <c r="N90" t="e">
        <f>AND(#REF!,"AAAAAG/l6w0=")</f>
        <v>#REF!</v>
      </c>
      <c r="O90" t="e">
        <f>AND(#REF!,"AAAAAG/l6w4=")</f>
        <v>#REF!</v>
      </c>
      <c r="P90" t="e">
        <f>AND(#REF!,"AAAAAG/l6w8=")</f>
        <v>#REF!</v>
      </c>
      <c r="Q90" t="e">
        <f>AND(#REF!,"AAAAAG/l6xA=")</f>
        <v>#REF!</v>
      </c>
      <c r="R90" t="e">
        <f>AND(#REF!,"AAAAAG/l6xE=")</f>
        <v>#REF!</v>
      </c>
      <c r="S90" t="e">
        <f>AND(#REF!,"AAAAAG/l6xI=")</f>
        <v>#REF!</v>
      </c>
      <c r="T90" t="e">
        <f>AND(#REF!,"AAAAAG/l6xM=")</f>
        <v>#REF!</v>
      </c>
      <c r="U90" t="e">
        <f>AND(#REF!,"AAAAAG/l6xQ=")</f>
        <v>#REF!</v>
      </c>
      <c r="V90" t="e">
        <f>AND(#REF!,"AAAAAG/l6xU=")</f>
        <v>#REF!</v>
      </c>
      <c r="W90" t="e">
        <f>AND(#REF!,"AAAAAG/l6xY=")</f>
        <v>#REF!</v>
      </c>
      <c r="X90" t="e">
        <f>AND(#REF!,"AAAAAG/l6xc=")</f>
        <v>#REF!</v>
      </c>
      <c r="Y90" t="e">
        <f>AND(#REF!,"AAAAAG/l6xg=")</f>
        <v>#REF!</v>
      </c>
      <c r="Z90" t="e">
        <f>AND(#REF!,"AAAAAG/l6xk=")</f>
        <v>#REF!</v>
      </c>
      <c r="AA90" t="e">
        <f>AND(#REF!,"AAAAAG/l6xo=")</f>
        <v>#REF!</v>
      </c>
      <c r="AB90" t="e">
        <f>AND(#REF!,"AAAAAG/l6xs=")</f>
        <v>#REF!</v>
      </c>
      <c r="AC90" t="e">
        <f>AND(#REF!,"AAAAAG/l6xw=")</f>
        <v>#REF!</v>
      </c>
      <c r="AD90" t="e">
        <f>AND(#REF!,"AAAAAG/l6x0=")</f>
        <v>#REF!</v>
      </c>
      <c r="AE90" t="e">
        <f>AND(#REF!,"AAAAAG/l6x4=")</f>
        <v>#REF!</v>
      </c>
      <c r="AF90" t="e">
        <f>AND(#REF!,"AAAAAG/l6x8=")</f>
        <v>#REF!</v>
      </c>
      <c r="AG90" t="e">
        <f>AND(#REF!,"AAAAAG/l6yA=")</f>
        <v>#REF!</v>
      </c>
      <c r="AH90" t="e">
        <f>AND(#REF!,"AAAAAG/l6yE=")</f>
        <v>#REF!</v>
      </c>
      <c r="AI90" t="e">
        <f>AND(#REF!,"AAAAAG/l6yI=")</f>
        <v>#REF!</v>
      </c>
      <c r="AJ90" t="e">
        <f>AND(#REF!,"AAAAAG/l6yM=")</f>
        <v>#REF!</v>
      </c>
      <c r="AK90" t="e">
        <f>AND(#REF!,"AAAAAG/l6yQ=")</f>
        <v>#REF!</v>
      </c>
      <c r="AL90" t="e">
        <f>AND(#REF!,"AAAAAG/l6yU=")</f>
        <v>#REF!</v>
      </c>
      <c r="AM90" t="e">
        <f>AND(#REF!,"AAAAAG/l6yY=")</f>
        <v>#REF!</v>
      </c>
      <c r="AN90" t="e">
        <f>AND(#REF!,"AAAAAG/l6yc=")</f>
        <v>#REF!</v>
      </c>
      <c r="AO90" t="e">
        <f>AND(#REF!,"AAAAAG/l6yg=")</f>
        <v>#REF!</v>
      </c>
      <c r="AP90" t="e">
        <f>AND(#REF!,"AAAAAG/l6yk=")</f>
        <v>#REF!</v>
      </c>
      <c r="AQ90" t="e">
        <f>AND(#REF!,"AAAAAG/l6yo=")</f>
        <v>#REF!</v>
      </c>
      <c r="AR90" t="e">
        <f>AND(#REF!,"AAAAAG/l6ys=")</f>
        <v>#REF!</v>
      </c>
      <c r="AS90" t="e">
        <f>AND(#REF!,"AAAAAG/l6yw=")</f>
        <v>#REF!</v>
      </c>
      <c r="AT90" t="e">
        <f>AND(#REF!,"AAAAAG/l6y0=")</f>
        <v>#REF!</v>
      </c>
      <c r="AU90" t="e">
        <f>AND(#REF!,"AAAAAG/l6y4=")</f>
        <v>#REF!</v>
      </c>
      <c r="AV90" t="e">
        <f>AND(#REF!,"AAAAAG/l6y8=")</f>
        <v>#REF!</v>
      </c>
      <c r="AW90" t="e">
        <f>AND(#REF!,"AAAAAG/l6zA=")</f>
        <v>#REF!</v>
      </c>
      <c r="AX90" t="e">
        <f>AND(#REF!,"AAAAAG/l6zE=")</f>
        <v>#REF!</v>
      </c>
      <c r="AY90" t="e">
        <f>AND(#REF!,"AAAAAG/l6zI=")</f>
        <v>#REF!</v>
      </c>
      <c r="AZ90" t="e">
        <f>AND(#REF!,"AAAAAG/l6zM=")</f>
        <v>#REF!</v>
      </c>
      <c r="BA90" t="e">
        <f>AND(#REF!,"AAAAAG/l6zQ=")</f>
        <v>#REF!</v>
      </c>
      <c r="BB90" t="e">
        <f>AND(#REF!,"AAAAAG/l6zU=")</f>
        <v>#REF!</v>
      </c>
      <c r="BC90" t="e">
        <f>AND(#REF!,"AAAAAG/l6zY=")</f>
        <v>#REF!</v>
      </c>
      <c r="BD90" t="e">
        <f>AND(#REF!,"AAAAAG/l6zc=")</f>
        <v>#REF!</v>
      </c>
      <c r="BE90" t="e">
        <f>AND(#REF!,"AAAAAG/l6zg=")</f>
        <v>#REF!</v>
      </c>
      <c r="BF90" t="e">
        <f>AND(#REF!,"AAAAAG/l6zk=")</f>
        <v>#REF!</v>
      </c>
      <c r="BG90" t="e">
        <f>AND(#REF!,"AAAAAG/l6zo=")</f>
        <v>#REF!</v>
      </c>
      <c r="BH90" t="e">
        <f>AND(#REF!,"AAAAAG/l6zs=")</f>
        <v>#REF!</v>
      </c>
      <c r="BI90" t="e">
        <f>AND(#REF!,"AAAAAG/l6zw=")</f>
        <v>#REF!</v>
      </c>
      <c r="BJ90" t="e">
        <f>AND(#REF!,"AAAAAG/l6z0=")</f>
        <v>#REF!</v>
      </c>
      <c r="BK90" t="e">
        <f>AND(#REF!,"AAAAAG/l6z4=")</f>
        <v>#REF!</v>
      </c>
      <c r="BL90" t="e">
        <f>AND(#REF!,"AAAAAG/l6z8=")</f>
        <v>#REF!</v>
      </c>
      <c r="BM90" t="e">
        <f>AND(#REF!,"AAAAAG/l60A=")</f>
        <v>#REF!</v>
      </c>
      <c r="BN90" t="e">
        <f>AND(#REF!,"AAAAAG/l60E=")</f>
        <v>#REF!</v>
      </c>
      <c r="BO90" t="e">
        <f>AND(#REF!,"AAAAAG/l60I=")</f>
        <v>#REF!</v>
      </c>
      <c r="BP90" t="e">
        <f>AND(#REF!,"AAAAAG/l60M=")</f>
        <v>#REF!</v>
      </c>
      <c r="BQ90" t="e">
        <f>AND(#REF!,"AAAAAG/l60Q=")</f>
        <v>#REF!</v>
      </c>
      <c r="BR90" t="e">
        <f>AND(#REF!,"AAAAAG/l60U=")</f>
        <v>#REF!</v>
      </c>
      <c r="BS90" t="e">
        <f>AND(#REF!,"AAAAAG/l60Y=")</f>
        <v>#REF!</v>
      </c>
      <c r="BT90" t="e">
        <f>AND(#REF!,"AAAAAG/l60c=")</f>
        <v>#REF!</v>
      </c>
      <c r="BU90" t="e">
        <f>AND(#REF!,"AAAAAG/l60g=")</f>
        <v>#REF!</v>
      </c>
      <c r="BV90" t="e">
        <f>AND(#REF!,"AAAAAG/l60k=")</f>
        <v>#REF!</v>
      </c>
      <c r="BW90" t="e">
        <f>AND(#REF!,"AAAAAG/l60o=")</f>
        <v>#REF!</v>
      </c>
      <c r="BX90" t="e">
        <f>AND(#REF!,"AAAAAG/l60s=")</f>
        <v>#REF!</v>
      </c>
      <c r="BY90" t="e">
        <f>AND(#REF!,"AAAAAG/l60w=")</f>
        <v>#REF!</v>
      </c>
      <c r="BZ90" t="e">
        <f>AND(#REF!,"AAAAAG/l600=")</f>
        <v>#REF!</v>
      </c>
      <c r="CA90" t="e">
        <f>AND(#REF!,"AAAAAG/l604=")</f>
        <v>#REF!</v>
      </c>
      <c r="CB90" t="e">
        <f>AND(#REF!,"AAAAAG/l608=")</f>
        <v>#REF!</v>
      </c>
      <c r="CC90" t="e">
        <f>AND(#REF!,"AAAAAG/l61A=")</f>
        <v>#REF!</v>
      </c>
      <c r="CD90" t="e">
        <f>AND(#REF!,"AAAAAG/l61E=")</f>
        <v>#REF!</v>
      </c>
      <c r="CE90" t="e">
        <f>AND(#REF!,"AAAAAG/l61I=")</f>
        <v>#REF!</v>
      </c>
      <c r="CF90" t="e">
        <f>AND(#REF!,"AAAAAG/l61M=")</f>
        <v>#REF!</v>
      </c>
      <c r="CG90" t="e">
        <f>AND(#REF!,"AAAAAG/l61Q=")</f>
        <v>#REF!</v>
      </c>
      <c r="CH90" t="e">
        <f>AND(#REF!,"AAAAAG/l61U=")</f>
        <v>#REF!</v>
      </c>
      <c r="CI90" t="e">
        <f>AND(#REF!,"AAAAAG/l61Y=")</f>
        <v>#REF!</v>
      </c>
      <c r="CJ90" t="e">
        <f>AND(#REF!,"AAAAAG/l61c=")</f>
        <v>#REF!</v>
      </c>
      <c r="CK90" t="e">
        <f>AND(#REF!,"AAAAAG/l61g=")</f>
        <v>#REF!</v>
      </c>
      <c r="CL90" t="e">
        <f>AND(#REF!,"AAAAAG/l61k=")</f>
        <v>#REF!</v>
      </c>
      <c r="CM90" t="e">
        <f>AND(#REF!,"AAAAAG/l61o=")</f>
        <v>#REF!</v>
      </c>
      <c r="CN90" t="e">
        <f>AND(#REF!,"AAAAAG/l61s=")</f>
        <v>#REF!</v>
      </c>
      <c r="CO90" t="e">
        <f>AND(#REF!,"AAAAAG/l61w=")</f>
        <v>#REF!</v>
      </c>
      <c r="CP90" t="e">
        <f>AND(#REF!,"AAAAAG/l610=")</f>
        <v>#REF!</v>
      </c>
      <c r="CQ90" t="e">
        <f>AND(#REF!,"AAAAAG/l614=")</f>
        <v>#REF!</v>
      </c>
      <c r="CR90" t="e">
        <f>AND(#REF!,"AAAAAG/l618=")</f>
        <v>#REF!</v>
      </c>
      <c r="CS90" t="e">
        <f>AND(#REF!,"AAAAAG/l62A=")</f>
        <v>#REF!</v>
      </c>
      <c r="CT90" t="e">
        <f>AND(#REF!,"AAAAAG/l62E=")</f>
        <v>#REF!</v>
      </c>
      <c r="CU90" t="e">
        <f>AND(#REF!,"AAAAAG/l62I=")</f>
        <v>#REF!</v>
      </c>
      <c r="CV90" t="e">
        <f>AND(#REF!,"AAAAAG/l62M=")</f>
        <v>#REF!</v>
      </c>
      <c r="CW90" t="e">
        <f>AND(#REF!,"AAAAAG/l62Q=")</f>
        <v>#REF!</v>
      </c>
      <c r="CX90" t="e">
        <f>AND(#REF!,"AAAAAG/l62U=")</f>
        <v>#REF!</v>
      </c>
      <c r="CY90" t="e">
        <f>AND(#REF!,"AAAAAG/l62Y=")</f>
        <v>#REF!</v>
      </c>
      <c r="CZ90" t="e">
        <f>AND(#REF!,"AAAAAG/l62c=")</f>
        <v>#REF!</v>
      </c>
      <c r="DA90" t="e">
        <f>AND(#REF!,"AAAAAG/l62g=")</f>
        <v>#REF!</v>
      </c>
      <c r="DB90" t="e">
        <f>AND(#REF!,"AAAAAG/l62k=")</f>
        <v>#REF!</v>
      </c>
      <c r="DC90" t="e">
        <f>AND(#REF!,"AAAAAG/l62o=")</f>
        <v>#REF!</v>
      </c>
      <c r="DD90" t="e">
        <f>AND(#REF!,"AAAAAG/l62s=")</f>
        <v>#REF!</v>
      </c>
      <c r="DE90" t="e">
        <f>AND(#REF!,"AAAAAG/l62w=")</f>
        <v>#REF!</v>
      </c>
      <c r="DF90" t="e">
        <f>AND(#REF!,"AAAAAG/l620=")</f>
        <v>#REF!</v>
      </c>
      <c r="DG90" t="e">
        <f>AND(#REF!,"AAAAAG/l624=")</f>
        <v>#REF!</v>
      </c>
      <c r="DH90" t="e">
        <f>AND(#REF!,"AAAAAG/l628=")</f>
        <v>#REF!</v>
      </c>
      <c r="DI90" t="e">
        <f>AND(#REF!,"AAAAAG/l63A=")</f>
        <v>#REF!</v>
      </c>
      <c r="DJ90" t="e">
        <f>AND(#REF!,"AAAAAG/l63E=")</f>
        <v>#REF!</v>
      </c>
      <c r="DK90" t="e">
        <f>AND(#REF!,"AAAAAG/l63I=")</f>
        <v>#REF!</v>
      </c>
      <c r="DL90" t="e">
        <f>AND(#REF!,"AAAAAG/l63M=")</f>
        <v>#REF!</v>
      </c>
      <c r="DM90" t="e">
        <f>AND(#REF!,"AAAAAG/l63Q=")</f>
        <v>#REF!</v>
      </c>
      <c r="DN90" t="e">
        <f>AND(#REF!,"AAAAAG/l63U=")</f>
        <v>#REF!</v>
      </c>
      <c r="DO90" t="e">
        <f>AND(#REF!,"AAAAAG/l63Y=")</f>
        <v>#REF!</v>
      </c>
      <c r="DP90" t="e">
        <f>AND(#REF!,"AAAAAG/l63c=")</f>
        <v>#REF!</v>
      </c>
      <c r="DQ90" t="e">
        <f>AND(#REF!,"AAAAAG/l63g=")</f>
        <v>#REF!</v>
      </c>
      <c r="DR90" t="e">
        <f>AND(#REF!,"AAAAAG/l63k=")</f>
        <v>#REF!</v>
      </c>
      <c r="DS90" t="e">
        <f>AND(#REF!,"AAAAAG/l63o=")</f>
        <v>#REF!</v>
      </c>
      <c r="DT90" t="e">
        <f>AND(#REF!,"AAAAAG/l63s=")</f>
        <v>#REF!</v>
      </c>
      <c r="DU90" t="e">
        <f>AND(#REF!,"AAAAAG/l63w=")</f>
        <v>#REF!</v>
      </c>
      <c r="DV90" t="e">
        <f>AND(#REF!,"AAAAAG/l630=")</f>
        <v>#REF!</v>
      </c>
      <c r="DW90" t="e">
        <f>AND(#REF!,"AAAAAG/l634=")</f>
        <v>#REF!</v>
      </c>
      <c r="DX90" t="e">
        <f>AND(#REF!,"AAAAAG/l638=")</f>
        <v>#REF!</v>
      </c>
      <c r="DY90" t="e">
        <f>IF(#REF!,"AAAAAG/l64A=",0)</f>
        <v>#REF!</v>
      </c>
      <c r="DZ90" t="e">
        <f>AND(#REF!,"AAAAAG/l64E=")</f>
        <v>#REF!</v>
      </c>
      <c r="EA90" t="e">
        <f>AND(#REF!,"AAAAAG/l64I=")</f>
        <v>#REF!</v>
      </c>
      <c r="EB90" t="e">
        <f>AND(#REF!,"AAAAAG/l64M=")</f>
        <v>#REF!</v>
      </c>
      <c r="EC90" t="e">
        <f>AND(#REF!,"AAAAAG/l64Q=")</f>
        <v>#REF!</v>
      </c>
      <c r="ED90" t="e">
        <f>AND(#REF!,"AAAAAG/l64U=")</f>
        <v>#REF!</v>
      </c>
      <c r="EE90" t="e">
        <f>AND(#REF!,"AAAAAG/l64Y=")</f>
        <v>#REF!</v>
      </c>
      <c r="EF90" t="e">
        <f>AND(#REF!,"AAAAAG/l64c=")</f>
        <v>#REF!</v>
      </c>
      <c r="EG90" t="e">
        <f>AND(#REF!,"AAAAAG/l64g=")</f>
        <v>#REF!</v>
      </c>
      <c r="EH90" t="e">
        <f>AND(#REF!,"AAAAAG/l64k=")</f>
        <v>#REF!</v>
      </c>
      <c r="EI90" t="e">
        <f>AND(#REF!,"AAAAAG/l64o=")</f>
        <v>#REF!</v>
      </c>
      <c r="EJ90" t="e">
        <f>AND(#REF!,"AAAAAG/l64s=")</f>
        <v>#REF!</v>
      </c>
      <c r="EK90" t="e">
        <f>AND(#REF!,"AAAAAG/l64w=")</f>
        <v>#REF!</v>
      </c>
      <c r="EL90" t="e">
        <f>AND(#REF!,"AAAAAG/l640=")</f>
        <v>#REF!</v>
      </c>
      <c r="EM90" t="e">
        <f>AND(#REF!,"AAAAAG/l644=")</f>
        <v>#REF!</v>
      </c>
      <c r="EN90" t="e">
        <f>AND(#REF!,"AAAAAG/l648=")</f>
        <v>#REF!</v>
      </c>
      <c r="EO90" t="e">
        <f>AND(#REF!,"AAAAAG/l65A=")</f>
        <v>#REF!</v>
      </c>
      <c r="EP90" t="e">
        <f>AND(#REF!,"AAAAAG/l65E=")</f>
        <v>#REF!</v>
      </c>
      <c r="EQ90" t="e">
        <f>AND(#REF!,"AAAAAG/l65I=")</f>
        <v>#REF!</v>
      </c>
      <c r="ER90" t="e">
        <f>AND(#REF!,"AAAAAG/l65M=")</f>
        <v>#REF!</v>
      </c>
      <c r="ES90" t="e">
        <f>AND(#REF!,"AAAAAG/l65Q=")</f>
        <v>#REF!</v>
      </c>
      <c r="ET90" t="e">
        <f>AND(#REF!,"AAAAAG/l65U=")</f>
        <v>#REF!</v>
      </c>
      <c r="EU90" t="e">
        <f>AND(#REF!,"AAAAAG/l65Y=")</f>
        <v>#REF!</v>
      </c>
      <c r="EV90" t="e">
        <f>AND(#REF!,"AAAAAG/l65c=")</f>
        <v>#REF!</v>
      </c>
      <c r="EW90" t="e">
        <f>AND(#REF!,"AAAAAG/l65g=")</f>
        <v>#REF!</v>
      </c>
      <c r="EX90" t="e">
        <f>AND(#REF!,"AAAAAG/l65k=")</f>
        <v>#REF!</v>
      </c>
      <c r="EY90" t="e">
        <f>AND(#REF!,"AAAAAG/l65o=")</f>
        <v>#REF!</v>
      </c>
      <c r="EZ90" t="e">
        <f>AND(#REF!,"AAAAAG/l65s=")</f>
        <v>#REF!</v>
      </c>
      <c r="FA90" t="e">
        <f>AND(#REF!,"AAAAAG/l65w=")</f>
        <v>#REF!</v>
      </c>
      <c r="FB90" t="e">
        <f>AND(#REF!,"AAAAAG/l650=")</f>
        <v>#REF!</v>
      </c>
      <c r="FC90" t="e">
        <f>AND(#REF!,"AAAAAG/l654=")</f>
        <v>#REF!</v>
      </c>
      <c r="FD90" t="e">
        <f>AND(#REF!,"AAAAAG/l658=")</f>
        <v>#REF!</v>
      </c>
      <c r="FE90" t="e">
        <f>AND(#REF!,"AAAAAG/l66A=")</f>
        <v>#REF!</v>
      </c>
      <c r="FF90" t="e">
        <f>AND(#REF!,"AAAAAG/l66E=")</f>
        <v>#REF!</v>
      </c>
      <c r="FG90" t="e">
        <f>AND(#REF!,"AAAAAG/l66I=")</f>
        <v>#REF!</v>
      </c>
      <c r="FH90" t="e">
        <f>AND(#REF!,"AAAAAG/l66M=")</f>
        <v>#REF!</v>
      </c>
      <c r="FI90" t="e">
        <f>AND(#REF!,"AAAAAG/l66Q=")</f>
        <v>#REF!</v>
      </c>
      <c r="FJ90" t="e">
        <f>AND(#REF!,"AAAAAG/l66U=")</f>
        <v>#REF!</v>
      </c>
      <c r="FK90" t="e">
        <f>AND(#REF!,"AAAAAG/l66Y=")</f>
        <v>#REF!</v>
      </c>
      <c r="FL90" t="e">
        <f>AND(#REF!,"AAAAAG/l66c=")</f>
        <v>#REF!</v>
      </c>
      <c r="FM90" t="e">
        <f>AND(#REF!,"AAAAAG/l66g=")</f>
        <v>#REF!</v>
      </c>
      <c r="FN90" t="e">
        <f>AND(#REF!,"AAAAAG/l66k=")</f>
        <v>#REF!</v>
      </c>
      <c r="FO90" t="e">
        <f>AND(#REF!,"AAAAAG/l66o=")</f>
        <v>#REF!</v>
      </c>
      <c r="FP90" t="e">
        <f>AND(#REF!,"AAAAAG/l66s=")</f>
        <v>#REF!</v>
      </c>
      <c r="FQ90" t="e">
        <f>AND(#REF!,"AAAAAG/l66w=")</f>
        <v>#REF!</v>
      </c>
      <c r="FR90" t="e">
        <f>AND(#REF!,"AAAAAG/l660=")</f>
        <v>#REF!</v>
      </c>
      <c r="FS90" t="e">
        <f>AND(#REF!,"AAAAAG/l664=")</f>
        <v>#REF!</v>
      </c>
      <c r="FT90" t="e">
        <f>AND(#REF!,"AAAAAG/l668=")</f>
        <v>#REF!</v>
      </c>
      <c r="FU90" t="e">
        <f>AND(#REF!,"AAAAAG/l67A=")</f>
        <v>#REF!</v>
      </c>
      <c r="FV90" t="e">
        <f>AND(#REF!,"AAAAAG/l67E=")</f>
        <v>#REF!</v>
      </c>
      <c r="FW90" t="e">
        <f>AND(#REF!,"AAAAAG/l67I=")</f>
        <v>#REF!</v>
      </c>
      <c r="FX90" t="e">
        <f>AND(#REF!,"AAAAAG/l67M=")</f>
        <v>#REF!</v>
      </c>
      <c r="FY90" t="e">
        <f>AND(#REF!,"AAAAAG/l67Q=")</f>
        <v>#REF!</v>
      </c>
      <c r="FZ90" t="e">
        <f>AND(#REF!,"AAAAAG/l67U=")</f>
        <v>#REF!</v>
      </c>
      <c r="GA90" t="e">
        <f>AND(#REF!,"AAAAAG/l67Y=")</f>
        <v>#REF!</v>
      </c>
      <c r="GB90" t="e">
        <f>AND(#REF!,"AAAAAG/l67c=")</f>
        <v>#REF!</v>
      </c>
      <c r="GC90" t="e">
        <f>AND(#REF!,"AAAAAG/l67g=")</f>
        <v>#REF!</v>
      </c>
      <c r="GD90" t="e">
        <f>AND(#REF!,"AAAAAG/l67k=")</f>
        <v>#REF!</v>
      </c>
      <c r="GE90" t="e">
        <f>AND(#REF!,"AAAAAG/l67o=")</f>
        <v>#REF!</v>
      </c>
      <c r="GF90" t="e">
        <f>AND(#REF!,"AAAAAG/l67s=")</f>
        <v>#REF!</v>
      </c>
      <c r="GG90" t="e">
        <f>AND(#REF!,"AAAAAG/l67w=")</f>
        <v>#REF!</v>
      </c>
      <c r="GH90" t="e">
        <f>AND(#REF!,"AAAAAG/l670=")</f>
        <v>#REF!</v>
      </c>
      <c r="GI90" t="e">
        <f>AND(#REF!,"AAAAAG/l674=")</f>
        <v>#REF!</v>
      </c>
      <c r="GJ90" t="e">
        <f>AND(#REF!,"AAAAAG/l678=")</f>
        <v>#REF!</v>
      </c>
      <c r="GK90" t="e">
        <f>AND(#REF!,"AAAAAG/l68A=")</f>
        <v>#REF!</v>
      </c>
      <c r="GL90" t="e">
        <f>AND(#REF!,"AAAAAG/l68E=")</f>
        <v>#REF!</v>
      </c>
      <c r="GM90" t="e">
        <f>AND(#REF!,"AAAAAG/l68I=")</f>
        <v>#REF!</v>
      </c>
      <c r="GN90" t="e">
        <f>AND(#REF!,"AAAAAG/l68M=")</f>
        <v>#REF!</v>
      </c>
      <c r="GO90" t="e">
        <f>AND(#REF!,"AAAAAG/l68Q=")</f>
        <v>#REF!</v>
      </c>
      <c r="GP90" t="e">
        <f>AND(#REF!,"AAAAAG/l68U=")</f>
        <v>#REF!</v>
      </c>
      <c r="GQ90" t="e">
        <f>AND(#REF!,"AAAAAG/l68Y=")</f>
        <v>#REF!</v>
      </c>
      <c r="GR90" t="e">
        <f>AND(#REF!,"AAAAAG/l68c=")</f>
        <v>#REF!</v>
      </c>
      <c r="GS90" t="e">
        <f>AND(#REF!,"AAAAAG/l68g=")</f>
        <v>#REF!</v>
      </c>
      <c r="GT90" t="e">
        <f>AND(#REF!,"AAAAAG/l68k=")</f>
        <v>#REF!</v>
      </c>
      <c r="GU90" t="e">
        <f>AND(#REF!,"AAAAAG/l68o=")</f>
        <v>#REF!</v>
      </c>
      <c r="GV90" t="e">
        <f>AND(#REF!,"AAAAAG/l68s=")</f>
        <v>#REF!</v>
      </c>
      <c r="GW90" t="e">
        <f>AND(#REF!,"AAAAAG/l68w=")</f>
        <v>#REF!</v>
      </c>
      <c r="GX90" t="e">
        <f>AND(#REF!,"AAAAAG/l680=")</f>
        <v>#REF!</v>
      </c>
      <c r="GY90" t="e">
        <f>AND(#REF!,"AAAAAG/l684=")</f>
        <v>#REF!</v>
      </c>
      <c r="GZ90" t="e">
        <f>AND(#REF!,"AAAAAG/l688=")</f>
        <v>#REF!</v>
      </c>
      <c r="HA90" t="e">
        <f>AND(#REF!,"AAAAAG/l69A=")</f>
        <v>#REF!</v>
      </c>
      <c r="HB90" t="e">
        <f>AND(#REF!,"AAAAAG/l69E=")</f>
        <v>#REF!</v>
      </c>
      <c r="HC90" t="e">
        <f>AND(#REF!,"AAAAAG/l69I=")</f>
        <v>#REF!</v>
      </c>
      <c r="HD90" t="e">
        <f>AND(#REF!,"AAAAAG/l69M=")</f>
        <v>#REF!</v>
      </c>
      <c r="HE90" t="e">
        <f>AND(#REF!,"AAAAAG/l69Q=")</f>
        <v>#REF!</v>
      </c>
      <c r="HF90" t="e">
        <f>AND(#REF!,"AAAAAG/l69U=")</f>
        <v>#REF!</v>
      </c>
      <c r="HG90" t="e">
        <f>AND(#REF!,"AAAAAG/l69Y=")</f>
        <v>#REF!</v>
      </c>
      <c r="HH90" t="e">
        <f>AND(#REF!,"AAAAAG/l69c=")</f>
        <v>#REF!</v>
      </c>
      <c r="HI90" t="e">
        <f>AND(#REF!,"AAAAAG/l69g=")</f>
        <v>#REF!</v>
      </c>
      <c r="HJ90" t="e">
        <f>AND(#REF!,"AAAAAG/l69k=")</f>
        <v>#REF!</v>
      </c>
      <c r="HK90" t="e">
        <f>AND(#REF!,"AAAAAG/l69o=")</f>
        <v>#REF!</v>
      </c>
      <c r="HL90" t="e">
        <f>AND(#REF!,"AAAAAG/l69s=")</f>
        <v>#REF!</v>
      </c>
      <c r="HM90" t="e">
        <f>AND(#REF!,"AAAAAG/l69w=")</f>
        <v>#REF!</v>
      </c>
      <c r="HN90" t="e">
        <f>AND(#REF!,"AAAAAG/l690=")</f>
        <v>#REF!</v>
      </c>
      <c r="HO90" t="e">
        <f>AND(#REF!,"AAAAAG/l694=")</f>
        <v>#REF!</v>
      </c>
      <c r="HP90" t="e">
        <f>AND(#REF!,"AAAAAG/l698=")</f>
        <v>#REF!</v>
      </c>
      <c r="HQ90" t="e">
        <f>AND(#REF!,"AAAAAG/l6+A=")</f>
        <v>#REF!</v>
      </c>
      <c r="HR90" t="e">
        <f>AND(#REF!,"AAAAAG/l6+E=")</f>
        <v>#REF!</v>
      </c>
      <c r="HS90" t="e">
        <f>AND(#REF!,"AAAAAG/l6+I=")</f>
        <v>#REF!</v>
      </c>
      <c r="HT90" t="e">
        <f>AND(#REF!,"AAAAAG/l6+M=")</f>
        <v>#REF!</v>
      </c>
      <c r="HU90" t="e">
        <f>AND(#REF!,"AAAAAG/l6+Q=")</f>
        <v>#REF!</v>
      </c>
      <c r="HV90" t="e">
        <f>AND(#REF!,"AAAAAG/l6+U=")</f>
        <v>#REF!</v>
      </c>
      <c r="HW90" t="e">
        <f>AND(#REF!,"AAAAAG/l6+Y=")</f>
        <v>#REF!</v>
      </c>
      <c r="HX90" t="e">
        <f>AND(#REF!,"AAAAAG/l6+c=")</f>
        <v>#REF!</v>
      </c>
      <c r="HY90" t="e">
        <f>AND(#REF!,"AAAAAG/l6+g=")</f>
        <v>#REF!</v>
      </c>
      <c r="HZ90" t="e">
        <f>AND(#REF!,"AAAAAG/l6+k=")</f>
        <v>#REF!</v>
      </c>
      <c r="IA90" t="e">
        <f>AND(#REF!,"AAAAAG/l6+o=")</f>
        <v>#REF!</v>
      </c>
      <c r="IB90" t="e">
        <f>AND(#REF!,"AAAAAG/l6+s=")</f>
        <v>#REF!</v>
      </c>
      <c r="IC90" t="e">
        <f>AND(#REF!,"AAAAAG/l6+w=")</f>
        <v>#REF!</v>
      </c>
      <c r="ID90" t="e">
        <f>AND(#REF!,"AAAAAG/l6+0=")</f>
        <v>#REF!</v>
      </c>
      <c r="IE90" t="e">
        <f>AND(#REF!,"AAAAAG/l6+4=")</f>
        <v>#REF!</v>
      </c>
      <c r="IF90" t="e">
        <f>AND(#REF!,"AAAAAG/l6+8=")</f>
        <v>#REF!</v>
      </c>
      <c r="IG90" t="e">
        <f>AND(#REF!,"AAAAAG/l6/A=")</f>
        <v>#REF!</v>
      </c>
      <c r="IH90" t="e">
        <f>AND(#REF!,"AAAAAG/l6/E=")</f>
        <v>#REF!</v>
      </c>
      <c r="II90" t="e">
        <f>AND(#REF!,"AAAAAG/l6/I=")</f>
        <v>#REF!</v>
      </c>
      <c r="IJ90" t="e">
        <f>AND(#REF!,"AAAAAG/l6/M=")</f>
        <v>#REF!</v>
      </c>
      <c r="IK90" t="e">
        <f>AND(#REF!,"AAAAAG/l6/Q=")</f>
        <v>#REF!</v>
      </c>
      <c r="IL90" t="e">
        <f>AND(#REF!,"AAAAAG/l6/U=")</f>
        <v>#REF!</v>
      </c>
      <c r="IM90" t="e">
        <f>AND(#REF!,"AAAAAG/l6/Y=")</f>
        <v>#REF!</v>
      </c>
      <c r="IN90" t="e">
        <f>AND(#REF!,"AAAAAG/l6/c=")</f>
        <v>#REF!</v>
      </c>
      <c r="IO90" t="e">
        <f>AND(#REF!,"AAAAAG/l6/g=")</f>
        <v>#REF!</v>
      </c>
      <c r="IP90" t="e">
        <f>AND(#REF!,"AAAAAG/l6/k=")</f>
        <v>#REF!</v>
      </c>
      <c r="IQ90" t="e">
        <f>AND(#REF!,"AAAAAG/l6/o=")</f>
        <v>#REF!</v>
      </c>
      <c r="IR90" t="e">
        <f>AND(#REF!,"AAAAAG/l6/s=")</f>
        <v>#REF!</v>
      </c>
      <c r="IS90" t="e">
        <f>AND(#REF!,"AAAAAG/l6/w=")</f>
        <v>#REF!</v>
      </c>
      <c r="IT90" t="e">
        <f>AND(#REF!,"AAAAAG/l6/0=")</f>
        <v>#REF!</v>
      </c>
      <c r="IU90" t="e">
        <f>AND(#REF!,"AAAAAG/l6/4=")</f>
        <v>#REF!</v>
      </c>
      <c r="IV90" t="e">
        <f>AND(#REF!,"AAAAAG/l6/8=")</f>
        <v>#REF!</v>
      </c>
    </row>
    <row r="91" spans="1:256">
      <c r="A91" t="e">
        <f>IF(#REF!,"AAAAAHePmQA=",0)</f>
        <v>#REF!</v>
      </c>
      <c r="B91" t="e">
        <f>AND(#REF!,"AAAAAHePmQE=")</f>
        <v>#REF!</v>
      </c>
      <c r="C91" t="e">
        <f>AND(#REF!,"AAAAAHePmQI=")</f>
        <v>#REF!</v>
      </c>
      <c r="D91" t="e">
        <f>AND(#REF!,"AAAAAHePmQM=")</f>
        <v>#REF!</v>
      </c>
      <c r="E91" t="e">
        <f>AND(#REF!,"AAAAAHePmQQ=")</f>
        <v>#REF!</v>
      </c>
      <c r="F91" t="e">
        <f>AND(#REF!,"AAAAAHePmQU=")</f>
        <v>#REF!</v>
      </c>
      <c r="G91" t="e">
        <f>AND(#REF!,"AAAAAHePmQY=")</f>
        <v>#REF!</v>
      </c>
      <c r="H91" t="e">
        <f>AND(#REF!,"AAAAAHePmQc=")</f>
        <v>#REF!</v>
      </c>
      <c r="I91" t="e">
        <f>AND(#REF!,"AAAAAHePmQg=")</f>
        <v>#REF!</v>
      </c>
      <c r="J91" t="e">
        <f>AND(#REF!,"AAAAAHePmQk=")</f>
        <v>#REF!</v>
      </c>
      <c r="K91" t="e">
        <f>AND(#REF!,"AAAAAHePmQo=")</f>
        <v>#REF!</v>
      </c>
      <c r="L91" t="e">
        <f>AND(#REF!,"AAAAAHePmQs=")</f>
        <v>#REF!</v>
      </c>
      <c r="M91" t="e">
        <f>AND(#REF!,"AAAAAHePmQw=")</f>
        <v>#REF!</v>
      </c>
      <c r="N91" t="e">
        <f>AND(#REF!,"AAAAAHePmQ0=")</f>
        <v>#REF!</v>
      </c>
      <c r="O91" t="e">
        <f>AND(#REF!,"AAAAAHePmQ4=")</f>
        <v>#REF!</v>
      </c>
      <c r="P91" t="e">
        <f>AND(#REF!,"AAAAAHePmQ8=")</f>
        <v>#REF!</v>
      </c>
      <c r="Q91" t="e">
        <f>AND(#REF!,"AAAAAHePmRA=")</f>
        <v>#REF!</v>
      </c>
      <c r="R91" t="e">
        <f>AND(#REF!,"AAAAAHePmRE=")</f>
        <v>#REF!</v>
      </c>
      <c r="S91" t="e">
        <f>AND(#REF!,"AAAAAHePmRI=")</f>
        <v>#REF!</v>
      </c>
      <c r="T91" t="e">
        <f>AND(#REF!,"AAAAAHePmRM=")</f>
        <v>#REF!</v>
      </c>
      <c r="U91" t="e">
        <f>AND(#REF!,"AAAAAHePmRQ=")</f>
        <v>#REF!</v>
      </c>
      <c r="V91" t="e">
        <f>AND(#REF!,"AAAAAHePmRU=")</f>
        <v>#REF!</v>
      </c>
      <c r="W91" t="e">
        <f>AND(#REF!,"AAAAAHePmRY=")</f>
        <v>#REF!</v>
      </c>
      <c r="X91" t="e">
        <f>AND(#REF!,"AAAAAHePmRc=")</f>
        <v>#REF!</v>
      </c>
      <c r="Y91" t="e">
        <f>AND(#REF!,"AAAAAHePmRg=")</f>
        <v>#REF!</v>
      </c>
      <c r="Z91" t="e">
        <f>AND(#REF!,"AAAAAHePmRk=")</f>
        <v>#REF!</v>
      </c>
      <c r="AA91" t="e">
        <f>AND(#REF!,"AAAAAHePmRo=")</f>
        <v>#REF!</v>
      </c>
      <c r="AB91" t="e">
        <f>AND(#REF!,"AAAAAHePmRs=")</f>
        <v>#REF!</v>
      </c>
      <c r="AC91" t="e">
        <f>AND(#REF!,"AAAAAHePmRw=")</f>
        <v>#REF!</v>
      </c>
      <c r="AD91" t="e">
        <f>AND(#REF!,"AAAAAHePmR0=")</f>
        <v>#REF!</v>
      </c>
      <c r="AE91" t="e">
        <f>AND(#REF!,"AAAAAHePmR4=")</f>
        <v>#REF!</v>
      </c>
      <c r="AF91" t="e">
        <f>AND(#REF!,"AAAAAHePmR8=")</f>
        <v>#REF!</v>
      </c>
      <c r="AG91" t="e">
        <f>AND(#REF!,"AAAAAHePmSA=")</f>
        <v>#REF!</v>
      </c>
      <c r="AH91" t="e">
        <f>AND(#REF!,"AAAAAHePmSE=")</f>
        <v>#REF!</v>
      </c>
      <c r="AI91" t="e">
        <f>AND(#REF!,"AAAAAHePmSI=")</f>
        <v>#REF!</v>
      </c>
      <c r="AJ91" t="e">
        <f>AND(#REF!,"AAAAAHePmSM=")</f>
        <v>#REF!</v>
      </c>
      <c r="AK91" t="e">
        <f>AND(#REF!,"AAAAAHePmSQ=")</f>
        <v>#REF!</v>
      </c>
      <c r="AL91" t="e">
        <f>AND(#REF!,"AAAAAHePmSU=")</f>
        <v>#REF!</v>
      </c>
      <c r="AM91" t="e">
        <f>AND(#REF!,"AAAAAHePmSY=")</f>
        <v>#REF!</v>
      </c>
      <c r="AN91" t="e">
        <f>AND(#REF!,"AAAAAHePmSc=")</f>
        <v>#REF!</v>
      </c>
      <c r="AO91" t="e">
        <f>AND(#REF!,"AAAAAHePmSg=")</f>
        <v>#REF!</v>
      </c>
      <c r="AP91" t="e">
        <f>AND(#REF!,"AAAAAHePmSk=")</f>
        <v>#REF!</v>
      </c>
      <c r="AQ91" t="e">
        <f>AND(#REF!,"AAAAAHePmSo=")</f>
        <v>#REF!</v>
      </c>
      <c r="AR91" t="e">
        <f>AND(#REF!,"AAAAAHePmSs=")</f>
        <v>#REF!</v>
      </c>
      <c r="AS91" t="e">
        <f>AND(#REF!,"AAAAAHePmSw=")</f>
        <v>#REF!</v>
      </c>
      <c r="AT91" t="e">
        <f>AND(#REF!,"AAAAAHePmS0=")</f>
        <v>#REF!</v>
      </c>
      <c r="AU91" t="e">
        <f>AND(#REF!,"AAAAAHePmS4=")</f>
        <v>#REF!</v>
      </c>
      <c r="AV91" t="e">
        <f>AND(#REF!,"AAAAAHePmS8=")</f>
        <v>#REF!</v>
      </c>
      <c r="AW91" t="e">
        <f>AND(#REF!,"AAAAAHePmTA=")</f>
        <v>#REF!</v>
      </c>
      <c r="AX91" t="e">
        <f>AND(#REF!,"AAAAAHePmTE=")</f>
        <v>#REF!</v>
      </c>
      <c r="AY91" t="e">
        <f>AND(#REF!,"AAAAAHePmTI=")</f>
        <v>#REF!</v>
      </c>
      <c r="AZ91" t="e">
        <f>AND(#REF!,"AAAAAHePmTM=")</f>
        <v>#REF!</v>
      </c>
      <c r="BA91" t="e">
        <f>AND(#REF!,"AAAAAHePmTQ=")</f>
        <v>#REF!</v>
      </c>
      <c r="BB91" t="e">
        <f>AND(#REF!,"AAAAAHePmTU=")</f>
        <v>#REF!</v>
      </c>
      <c r="BC91" t="e">
        <f>AND(#REF!,"AAAAAHePmTY=")</f>
        <v>#REF!</v>
      </c>
      <c r="BD91" t="e">
        <f>AND(#REF!,"AAAAAHePmTc=")</f>
        <v>#REF!</v>
      </c>
      <c r="BE91" t="e">
        <f>AND(#REF!,"AAAAAHePmTg=")</f>
        <v>#REF!</v>
      </c>
      <c r="BF91" t="e">
        <f>AND(#REF!,"AAAAAHePmTk=")</f>
        <v>#REF!</v>
      </c>
      <c r="BG91" t="e">
        <f>AND(#REF!,"AAAAAHePmTo=")</f>
        <v>#REF!</v>
      </c>
      <c r="BH91" t="e">
        <f>AND(#REF!,"AAAAAHePmTs=")</f>
        <v>#REF!</v>
      </c>
      <c r="BI91" t="e">
        <f>AND(#REF!,"AAAAAHePmTw=")</f>
        <v>#REF!</v>
      </c>
      <c r="BJ91" t="e">
        <f>AND(#REF!,"AAAAAHePmT0=")</f>
        <v>#REF!</v>
      </c>
      <c r="BK91" t="e">
        <f>AND(#REF!,"AAAAAHePmT4=")</f>
        <v>#REF!</v>
      </c>
      <c r="BL91" t="e">
        <f>AND(#REF!,"AAAAAHePmT8=")</f>
        <v>#REF!</v>
      </c>
      <c r="BM91" t="e">
        <f>AND(#REF!,"AAAAAHePmUA=")</f>
        <v>#REF!</v>
      </c>
      <c r="BN91" t="e">
        <f>AND(#REF!,"AAAAAHePmUE=")</f>
        <v>#REF!</v>
      </c>
      <c r="BO91" t="e">
        <f>AND(#REF!,"AAAAAHePmUI=")</f>
        <v>#REF!</v>
      </c>
      <c r="BP91" t="e">
        <f>AND(#REF!,"AAAAAHePmUM=")</f>
        <v>#REF!</v>
      </c>
      <c r="BQ91" t="e">
        <f>AND(#REF!,"AAAAAHePmUQ=")</f>
        <v>#REF!</v>
      </c>
      <c r="BR91" t="e">
        <f>AND(#REF!,"AAAAAHePmUU=")</f>
        <v>#REF!</v>
      </c>
      <c r="BS91" t="e">
        <f>AND(#REF!,"AAAAAHePmUY=")</f>
        <v>#REF!</v>
      </c>
      <c r="BT91" t="e">
        <f>AND(#REF!,"AAAAAHePmUc=")</f>
        <v>#REF!</v>
      </c>
      <c r="BU91" t="e">
        <f>AND(#REF!,"AAAAAHePmUg=")</f>
        <v>#REF!</v>
      </c>
      <c r="BV91" t="e">
        <f>AND(#REF!,"AAAAAHePmUk=")</f>
        <v>#REF!</v>
      </c>
      <c r="BW91" t="e">
        <f>AND(#REF!,"AAAAAHePmUo=")</f>
        <v>#REF!</v>
      </c>
      <c r="BX91" t="e">
        <f>AND(#REF!,"AAAAAHePmUs=")</f>
        <v>#REF!</v>
      </c>
      <c r="BY91" t="e">
        <f>AND(#REF!,"AAAAAHePmUw=")</f>
        <v>#REF!</v>
      </c>
      <c r="BZ91" t="e">
        <f>AND(#REF!,"AAAAAHePmU0=")</f>
        <v>#REF!</v>
      </c>
      <c r="CA91" t="e">
        <f>AND(#REF!,"AAAAAHePmU4=")</f>
        <v>#REF!</v>
      </c>
      <c r="CB91" t="e">
        <f>AND(#REF!,"AAAAAHePmU8=")</f>
        <v>#REF!</v>
      </c>
      <c r="CC91" t="e">
        <f>AND(#REF!,"AAAAAHePmVA=")</f>
        <v>#REF!</v>
      </c>
      <c r="CD91" t="e">
        <f>AND(#REF!,"AAAAAHePmVE=")</f>
        <v>#REF!</v>
      </c>
      <c r="CE91" t="e">
        <f>AND(#REF!,"AAAAAHePmVI=")</f>
        <v>#REF!</v>
      </c>
      <c r="CF91" t="e">
        <f>AND(#REF!,"AAAAAHePmVM=")</f>
        <v>#REF!</v>
      </c>
      <c r="CG91" t="e">
        <f>AND(#REF!,"AAAAAHePmVQ=")</f>
        <v>#REF!</v>
      </c>
      <c r="CH91" t="e">
        <f>AND(#REF!,"AAAAAHePmVU=")</f>
        <v>#REF!</v>
      </c>
      <c r="CI91" t="e">
        <f>AND(#REF!,"AAAAAHePmVY=")</f>
        <v>#REF!</v>
      </c>
      <c r="CJ91" t="e">
        <f>AND(#REF!,"AAAAAHePmVc=")</f>
        <v>#REF!</v>
      </c>
      <c r="CK91" t="e">
        <f>AND(#REF!,"AAAAAHePmVg=")</f>
        <v>#REF!</v>
      </c>
      <c r="CL91" t="e">
        <f>AND(#REF!,"AAAAAHePmVk=")</f>
        <v>#REF!</v>
      </c>
      <c r="CM91" t="e">
        <f>AND(#REF!,"AAAAAHePmVo=")</f>
        <v>#REF!</v>
      </c>
      <c r="CN91" t="e">
        <f>AND(#REF!,"AAAAAHePmVs=")</f>
        <v>#REF!</v>
      </c>
      <c r="CO91" t="e">
        <f>AND(#REF!,"AAAAAHePmVw=")</f>
        <v>#REF!</v>
      </c>
      <c r="CP91" t="e">
        <f>AND(#REF!,"AAAAAHePmV0=")</f>
        <v>#REF!</v>
      </c>
      <c r="CQ91" t="e">
        <f>AND(#REF!,"AAAAAHePmV4=")</f>
        <v>#REF!</v>
      </c>
      <c r="CR91" t="e">
        <f>AND(#REF!,"AAAAAHePmV8=")</f>
        <v>#REF!</v>
      </c>
      <c r="CS91" t="e">
        <f>AND(#REF!,"AAAAAHePmWA=")</f>
        <v>#REF!</v>
      </c>
      <c r="CT91" t="e">
        <f>AND(#REF!,"AAAAAHePmWE=")</f>
        <v>#REF!</v>
      </c>
      <c r="CU91" t="e">
        <f>AND(#REF!,"AAAAAHePmWI=")</f>
        <v>#REF!</v>
      </c>
      <c r="CV91" t="e">
        <f>AND(#REF!,"AAAAAHePmWM=")</f>
        <v>#REF!</v>
      </c>
      <c r="CW91" t="e">
        <f>AND(#REF!,"AAAAAHePmWQ=")</f>
        <v>#REF!</v>
      </c>
      <c r="CX91" t="e">
        <f>AND(#REF!,"AAAAAHePmWU=")</f>
        <v>#REF!</v>
      </c>
      <c r="CY91" t="e">
        <f>AND(#REF!,"AAAAAHePmWY=")</f>
        <v>#REF!</v>
      </c>
      <c r="CZ91" t="e">
        <f>AND(#REF!,"AAAAAHePmWc=")</f>
        <v>#REF!</v>
      </c>
      <c r="DA91" t="e">
        <f>AND(#REF!,"AAAAAHePmWg=")</f>
        <v>#REF!</v>
      </c>
      <c r="DB91" t="e">
        <f>AND(#REF!,"AAAAAHePmWk=")</f>
        <v>#REF!</v>
      </c>
      <c r="DC91" t="e">
        <f>AND(#REF!,"AAAAAHePmWo=")</f>
        <v>#REF!</v>
      </c>
      <c r="DD91" t="e">
        <f>AND(#REF!,"AAAAAHePmWs=")</f>
        <v>#REF!</v>
      </c>
      <c r="DE91" t="e">
        <f>AND(#REF!,"AAAAAHePmWw=")</f>
        <v>#REF!</v>
      </c>
      <c r="DF91" t="e">
        <f>AND(#REF!,"AAAAAHePmW0=")</f>
        <v>#REF!</v>
      </c>
      <c r="DG91" t="e">
        <f>AND(#REF!,"AAAAAHePmW4=")</f>
        <v>#REF!</v>
      </c>
      <c r="DH91" t="e">
        <f>AND(#REF!,"AAAAAHePmW8=")</f>
        <v>#REF!</v>
      </c>
      <c r="DI91" t="e">
        <f>AND(#REF!,"AAAAAHePmXA=")</f>
        <v>#REF!</v>
      </c>
      <c r="DJ91" t="e">
        <f>AND(#REF!,"AAAAAHePmXE=")</f>
        <v>#REF!</v>
      </c>
      <c r="DK91" t="e">
        <f>AND(#REF!,"AAAAAHePmXI=")</f>
        <v>#REF!</v>
      </c>
      <c r="DL91" t="e">
        <f>AND(#REF!,"AAAAAHePmXM=")</f>
        <v>#REF!</v>
      </c>
      <c r="DM91" t="e">
        <f>AND(#REF!,"AAAAAHePmXQ=")</f>
        <v>#REF!</v>
      </c>
      <c r="DN91" t="e">
        <f>AND(#REF!,"AAAAAHePmXU=")</f>
        <v>#REF!</v>
      </c>
      <c r="DO91" t="e">
        <f>AND(#REF!,"AAAAAHePmXY=")</f>
        <v>#REF!</v>
      </c>
      <c r="DP91" t="e">
        <f>AND(#REF!,"AAAAAHePmXc=")</f>
        <v>#REF!</v>
      </c>
      <c r="DQ91" t="e">
        <f>AND(#REF!,"AAAAAHePmXg=")</f>
        <v>#REF!</v>
      </c>
      <c r="DR91" t="e">
        <f>AND(#REF!,"AAAAAHePmXk=")</f>
        <v>#REF!</v>
      </c>
      <c r="DS91" t="e">
        <f>AND(#REF!,"AAAAAHePmXo=")</f>
        <v>#REF!</v>
      </c>
      <c r="DT91" t="e">
        <f>AND(#REF!,"AAAAAHePmXs=")</f>
        <v>#REF!</v>
      </c>
      <c r="DU91" t="e">
        <f>AND(#REF!,"AAAAAHePmXw=")</f>
        <v>#REF!</v>
      </c>
      <c r="DV91" t="e">
        <f>AND(#REF!,"AAAAAHePmX0=")</f>
        <v>#REF!</v>
      </c>
      <c r="DW91" t="e">
        <f>AND(#REF!,"AAAAAHePmX4=")</f>
        <v>#REF!</v>
      </c>
      <c r="DX91" t="e">
        <f>AND(#REF!,"AAAAAHePmX8=")</f>
        <v>#REF!</v>
      </c>
      <c r="DY91" t="e">
        <f>IF(#REF!,"AAAAAHePmYA=",0)</f>
        <v>#REF!</v>
      </c>
      <c r="DZ91" t="e">
        <f>AND(#REF!,"AAAAAHePmYE=")</f>
        <v>#REF!</v>
      </c>
      <c r="EA91" t="e">
        <f>AND(#REF!,"AAAAAHePmYI=")</f>
        <v>#REF!</v>
      </c>
      <c r="EB91" t="e">
        <f>AND(#REF!,"AAAAAHePmYM=")</f>
        <v>#REF!</v>
      </c>
      <c r="EC91" t="e">
        <f>AND(#REF!,"AAAAAHePmYQ=")</f>
        <v>#REF!</v>
      </c>
      <c r="ED91" t="e">
        <f>AND(#REF!,"AAAAAHePmYU=")</f>
        <v>#REF!</v>
      </c>
      <c r="EE91" t="e">
        <f>AND(#REF!,"AAAAAHePmYY=")</f>
        <v>#REF!</v>
      </c>
      <c r="EF91" t="e">
        <f>AND(#REF!,"AAAAAHePmYc=")</f>
        <v>#REF!</v>
      </c>
      <c r="EG91" t="e">
        <f>AND(#REF!,"AAAAAHePmYg=")</f>
        <v>#REF!</v>
      </c>
      <c r="EH91" t="e">
        <f>AND(#REF!,"AAAAAHePmYk=")</f>
        <v>#REF!</v>
      </c>
      <c r="EI91" t="e">
        <f>AND(#REF!,"AAAAAHePmYo=")</f>
        <v>#REF!</v>
      </c>
      <c r="EJ91" t="e">
        <f>AND(#REF!,"AAAAAHePmYs=")</f>
        <v>#REF!</v>
      </c>
      <c r="EK91" t="e">
        <f>AND(#REF!,"AAAAAHePmYw=")</f>
        <v>#REF!</v>
      </c>
      <c r="EL91" t="e">
        <f>AND(#REF!,"AAAAAHePmY0=")</f>
        <v>#REF!</v>
      </c>
      <c r="EM91" t="e">
        <f>AND(#REF!,"AAAAAHePmY4=")</f>
        <v>#REF!</v>
      </c>
      <c r="EN91" t="e">
        <f>AND(#REF!,"AAAAAHePmY8=")</f>
        <v>#REF!</v>
      </c>
      <c r="EO91" t="e">
        <f>AND(#REF!,"AAAAAHePmZA=")</f>
        <v>#REF!</v>
      </c>
      <c r="EP91" t="e">
        <f>AND(#REF!,"AAAAAHePmZE=")</f>
        <v>#REF!</v>
      </c>
      <c r="EQ91" t="e">
        <f>AND(#REF!,"AAAAAHePmZI=")</f>
        <v>#REF!</v>
      </c>
      <c r="ER91" t="e">
        <f>AND(#REF!,"AAAAAHePmZM=")</f>
        <v>#REF!</v>
      </c>
      <c r="ES91" t="e">
        <f>AND(#REF!,"AAAAAHePmZQ=")</f>
        <v>#REF!</v>
      </c>
      <c r="ET91" t="e">
        <f>AND(#REF!,"AAAAAHePmZU=")</f>
        <v>#REF!</v>
      </c>
      <c r="EU91" t="e">
        <f>AND(#REF!,"AAAAAHePmZY=")</f>
        <v>#REF!</v>
      </c>
      <c r="EV91" t="e">
        <f>AND(#REF!,"AAAAAHePmZc=")</f>
        <v>#REF!</v>
      </c>
      <c r="EW91" t="e">
        <f>AND(#REF!,"AAAAAHePmZg=")</f>
        <v>#REF!</v>
      </c>
      <c r="EX91" t="e">
        <f>AND(#REF!,"AAAAAHePmZk=")</f>
        <v>#REF!</v>
      </c>
      <c r="EY91" t="e">
        <f>AND(#REF!,"AAAAAHePmZo=")</f>
        <v>#REF!</v>
      </c>
      <c r="EZ91" t="e">
        <f>AND(#REF!,"AAAAAHePmZs=")</f>
        <v>#REF!</v>
      </c>
      <c r="FA91" t="e">
        <f>AND(#REF!,"AAAAAHePmZw=")</f>
        <v>#REF!</v>
      </c>
      <c r="FB91" t="e">
        <f>AND(#REF!,"AAAAAHePmZ0=")</f>
        <v>#REF!</v>
      </c>
      <c r="FC91" t="e">
        <f>AND(#REF!,"AAAAAHePmZ4=")</f>
        <v>#REF!</v>
      </c>
      <c r="FD91" t="e">
        <f>AND(#REF!,"AAAAAHePmZ8=")</f>
        <v>#REF!</v>
      </c>
      <c r="FE91" t="e">
        <f>AND(#REF!,"AAAAAHePmaA=")</f>
        <v>#REF!</v>
      </c>
      <c r="FF91" t="e">
        <f>AND(#REF!,"AAAAAHePmaE=")</f>
        <v>#REF!</v>
      </c>
      <c r="FG91" t="e">
        <f>AND(#REF!,"AAAAAHePmaI=")</f>
        <v>#REF!</v>
      </c>
      <c r="FH91" t="e">
        <f>AND(#REF!,"AAAAAHePmaM=")</f>
        <v>#REF!</v>
      </c>
      <c r="FI91" t="e">
        <f>AND(#REF!,"AAAAAHePmaQ=")</f>
        <v>#REF!</v>
      </c>
      <c r="FJ91" t="e">
        <f>AND(#REF!,"AAAAAHePmaU=")</f>
        <v>#REF!</v>
      </c>
      <c r="FK91" t="e">
        <f>AND(#REF!,"AAAAAHePmaY=")</f>
        <v>#REF!</v>
      </c>
      <c r="FL91" t="e">
        <f>AND(#REF!,"AAAAAHePmac=")</f>
        <v>#REF!</v>
      </c>
      <c r="FM91" t="e">
        <f>AND(#REF!,"AAAAAHePmag=")</f>
        <v>#REF!</v>
      </c>
      <c r="FN91" t="e">
        <f>AND(#REF!,"AAAAAHePmak=")</f>
        <v>#REF!</v>
      </c>
      <c r="FO91" t="e">
        <f>AND(#REF!,"AAAAAHePmao=")</f>
        <v>#REF!</v>
      </c>
      <c r="FP91" t="e">
        <f>AND(#REF!,"AAAAAHePmas=")</f>
        <v>#REF!</v>
      </c>
      <c r="FQ91" t="e">
        <f>AND(#REF!,"AAAAAHePmaw=")</f>
        <v>#REF!</v>
      </c>
      <c r="FR91" t="e">
        <f>AND(#REF!,"AAAAAHePma0=")</f>
        <v>#REF!</v>
      </c>
      <c r="FS91" t="e">
        <f>AND(#REF!,"AAAAAHePma4=")</f>
        <v>#REF!</v>
      </c>
      <c r="FT91" t="e">
        <f>AND(#REF!,"AAAAAHePma8=")</f>
        <v>#REF!</v>
      </c>
      <c r="FU91" t="e">
        <f>AND(#REF!,"AAAAAHePmbA=")</f>
        <v>#REF!</v>
      </c>
      <c r="FV91" t="e">
        <f>AND(#REF!,"AAAAAHePmbE=")</f>
        <v>#REF!</v>
      </c>
      <c r="FW91" t="e">
        <f>AND(#REF!,"AAAAAHePmbI=")</f>
        <v>#REF!</v>
      </c>
      <c r="FX91" t="e">
        <f>AND(#REF!,"AAAAAHePmbM=")</f>
        <v>#REF!</v>
      </c>
      <c r="FY91" t="e">
        <f>AND(#REF!,"AAAAAHePmbQ=")</f>
        <v>#REF!</v>
      </c>
      <c r="FZ91" t="e">
        <f>AND(#REF!,"AAAAAHePmbU=")</f>
        <v>#REF!</v>
      </c>
      <c r="GA91" t="e">
        <f>AND(#REF!,"AAAAAHePmbY=")</f>
        <v>#REF!</v>
      </c>
      <c r="GB91" t="e">
        <f>AND(#REF!,"AAAAAHePmbc=")</f>
        <v>#REF!</v>
      </c>
      <c r="GC91" t="e">
        <f>AND(#REF!,"AAAAAHePmbg=")</f>
        <v>#REF!</v>
      </c>
      <c r="GD91" t="e">
        <f>AND(#REF!,"AAAAAHePmbk=")</f>
        <v>#REF!</v>
      </c>
      <c r="GE91" t="e">
        <f>AND(#REF!,"AAAAAHePmbo=")</f>
        <v>#REF!</v>
      </c>
      <c r="GF91" t="e">
        <f>AND(#REF!,"AAAAAHePmbs=")</f>
        <v>#REF!</v>
      </c>
      <c r="GG91" t="e">
        <f>AND(#REF!,"AAAAAHePmbw=")</f>
        <v>#REF!</v>
      </c>
      <c r="GH91" t="e">
        <f>AND(#REF!,"AAAAAHePmb0=")</f>
        <v>#REF!</v>
      </c>
      <c r="GI91" t="e">
        <f>AND(#REF!,"AAAAAHePmb4=")</f>
        <v>#REF!</v>
      </c>
      <c r="GJ91" t="e">
        <f>AND(#REF!,"AAAAAHePmb8=")</f>
        <v>#REF!</v>
      </c>
      <c r="GK91" t="e">
        <f>AND(#REF!,"AAAAAHePmcA=")</f>
        <v>#REF!</v>
      </c>
      <c r="GL91" t="e">
        <f>AND(#REF!,"AAAAAHePmcE=")</f>
        <v>#REF!</v>
      </c>
      <c r="GM91" t="e">
        <f>AND(#REF!,"AAAAAHePmcI=")</f>
        <v>#REF!</v>
      </c>
      <c r="GN91" t="e">
        <f>AND(#REF!,"AAAAAHePmcM=")</f>
        <v>#REF!</v>
      </c>
      <c r="GO91" t="e">
        <f>AND(#REF!,"AAAAAHePmcQ=")</f>
        <v>#REF!</v>
      </c>
      <c r="GP91" t="e">
        <f>AND(#REF!,"AAAAAHePmcU=")</f>
        <v>#REF!</v>
      </c>
      <c r="GQ91" t="e">
        <f>AND(#REF!,"AAAAAHePmcY=")</f>
        <v>#REF!</v>
      </c>
      <c r="GR91" t="e">
        <f>AND(#REF!,"AAAAAHePmcc=")</f>
        <v>#REF!</v>
      </c>
      <c r="GS91" t="e">
        <f>AND(#REF!,"AAAAAHePmcg=")</f>
        <v>#REF!</v>
      </c>
      <c r="GT91" t="e">
        <f>AND(#REF!,"AAAAAHePmck=")</f>
        <v>#REF!</v>
      </c>
      <c r="GU91" t="e">
        <f>AND(#REF!,"AAAAAHePmco=")</f>
        <v>#REF!</v>
      </c>
      <c r="GV91" t="e">
        <f>AND(#REF!,"AAAAAHePmcs=")</f>
        <v>#REF!</v>
      </c>
      <c r="GW91" t="e">
        <f>AND(#REF!,"AAAAAHePmcw=")</f>
        <v>#REF!</v>
      </c>
      <c r="GX91" t="e">
        <f>AND(#REF!,"AAAAAHePmc0=")</f>
        <v>#REF!</v>
      </c>
      <c r="GY91" t="e">
        <f>AND(#REF!,"AAAAAHePmc4=")</f>
        <v>#REF!</v>
      </c>
      <c r="GZ91" t="e">
        <f>AND(#REF!,"AAAAAHePmc8=")</f>
        <v>#REF!</v>
      </c>
      <c r="HA91" t="e">
        <f>AND(#REF!,"AAAAAHePmdA=")</f>
        <v>#REF!</v>
      </c>
      <c r="HB91" t="e">
        <f>AND(#REF!,"AAAAAHePmdE=")</f>
        <v>#REF!</v>
      </c>
      <c r="HC91" t="e">
        <f>AND(#REF!,"AAAAAHePmdI=")</f>
        <v>#REF!</v>
      </c>
      <c r="HD91" t="e">
        <f>AND(#REF!,"AAAAAHePmdM=")</f>
        <v>#REF!</v>
      </c>
      <c r="HE91" t="e">
        <f>AND(#REF!,"AAAAAHePmdQ=")</f>
        <v>#REF!</v>
      </c>
      <c r="HF91" t="e">
        <f>AND(#REF!,"AAAAAHePmdU=")</f>
        <v>#REF!</v>
      </c>
      <c r="HG91" t="e">
        <f>AND(#REF!,"AAAAAHePmdY=")</f>
        <v>#REF!</v>
      </c>
      <c r="HH91" t="e">
        <f>AND(#REF!,"AAAAAHePmdc=")</f>
        <v>#REF!</v>
      </c>
      <c r="HI91" t="e">
        <f>AND(#REF!,"AAAAAHePmdg=")</f>
        <v>#REF!</v>
      </c>
      <c r="HJ91" t="e">
        <f>AND(#REF!,"AAAAAHePmdk=")</f>
        <v>#REF!</v>
      </c>
      <c r="HK91" t="e">
        <f>AND(#REF!,"AAAAAHePmdo=")</f>
        <v>#REF!</v>
      </c>
      <c r="HL91" t="e">
        <f>AND(#REF!,"AAAAAHePmds=")</f>
        <v>#REF!</v>
      </c>
      <c r="HM91" t="e">
        <f>AND(#REF!,"AAAAAHePmdw=")</f>
        <v>#REF!</v>
      </c>
      <c r="HN91" t="e">
        <f>AND(#REF!,"AAAAAHePmd0=")</f>
        <v>#REF!</v>
      </c>
      <c r="HO91" t="e">
        <f>AND(#REF!,"AAAAAHePmd4=")</f>
        <v>#REF!</v>
      </c>
      <c r="HP91" t="e">
        <f>AND(#REF!,"AAAAAHePmd8=")</f>
        <v>#REF!</v>
      </c>
      <c r="HQ91" t="e">
        <f>AND(#REF!,"AAAAAHePmeA=")</f>
        <v>#REF!</v>
      </c>
      <c r="HR91" t="e">
        <f>AND(#REF!,"AAAAAHePmeE=")</f>
        <v>#REF!</v>
      </c>
      <c r="HS91" t="e">
        <f>AND(#REF!,"AAAAAHePmeI=")</f>
        <v>#REF!</v>
      </c>
      <c r="HT91" t="e">
        <f>AND(#REF!,"AAAAAHePmeM=")</f>
        <v>#REF!</v>
      </c>
      <c r="HU91" t="e">
        <f>AND(#REF!,"AAAAAHePmeQ=")</f>
        <v>#REF!</v>
      </c>
      <c r="HV91" t="e">
        <f>AND(#REF!,"AAAAAHePmeU=")</f>
        <v>#REF!</v>
      </c>
      <c r="HW91" t="e">
        <f>AND(#REF!,"AAAAAHePmeY=")</f>
        <v>#REF!</v>
      </c>
      <c r="HX91" t="e">
        <f>AND(#REF!,"AAAAAHePmec=")</f>
        <v>#REF!</v>
      </c>
      <c r="HY91" t="e">
        <f>AND(#REF!,"AAAAAHePmeg=")</f>
        <v>#REF!</v>
      </c>
      <c r="HZ91" t="e">
        <f>AND(#REF!,"AAAAAHePmek=")</f>
        <v>#REF!</v>
      </c>
      <c r="IA91" t="e">
        <f>AND(#REF!,"AAAAAHePmeo=")</f>
        <v>#REF!</v>
      </c>
      <c r="IB91" t="e">
        <f>AND(#REF!,"AAAAAHePmes=")</f>
        <v>#REF!</v>
      </c>
      <c r="IC91" t="e">
        <f>AND(#REF!,"AAAAAHePmew=")</f>
        <v>#REF!</v>
      </c>
      <c r="ID91" t="e">
        <f>AND(#REF!,"AAAAAHePme0=")</f>
        <v>#REF!</v>
      </c>
      <c r="IE91" t="e">
        <f>AND(#REF!,"AAAAAHePme4=")</f>
        <v>#REF!</v>
      </c>
      <c r="IF91" t="e">
        <f>AND(#REF!,"AAAAAHePme8=")</f>
        <v>#REF!</v>
      </c>
      <c r="IG91" t="e">
        <f>AND(#REF!,"AAAAAHePmfA=")</f>
        <v>#REF!</v>
      </c>
      <c r="IH91" t="e">
        <f>AND(#REF!,"AAAAAHePmfE=")</f>
        <v>#REF!</v>
      </c>
      <c r="II91" t="e">
        <f>AND(#REF!,"AAAAAHePmfI=")</f>
        <v>#REF!</v>
      </c>
      <c r="IJ91" t="e">
        <f>AND(#REF!,"AAAAAHePmfM=")</f>
        <v>#REF!</v>
      </c>
      <c r="IK91" t="e">
        <f>AND(#REF!,"AAAAAHePmfQ=")</f>
        <v>#REF!</v>
      </c>
      <c r="IL91" t="e">
        <f>AND(#REF!,"AAAAAHePmfU=")</f>
        <v>#REF!</v>
      </c>
      <c r="IM91" t="e">
        <f>AND(#REF!,"AAAAAHePmfY=")</f>
        <v>#REF!</v>
      </c>
      <c r="IN91" t="e">
        <f>AND(#REF!,"AAAAAHePmfc=")</f>
        <v>#REF!</v>
      </c>
      <c r="IO91" t="e">
        <f>AND(#REF!,"AAAAAHePmfg=")</f>
        <v>#REF!</v>
      </c>
      <c r="IP91" t="e">
        <f>AND(#REF!,"AAAAAHePmfk=")</f>
        <v>#REF!</v>
      </c>
      <c r="IQ91" t="e">
        <f>AND(#REF!,"AAAAAHePmfo=")</f>
        <v>#REF!</v>
      </c>
      <c r="IR91" t="e">
        <f>AND(#REF!,"AAAAAHePmfs=")</f>
        <v>#REF!</v>
      </c>
      <c r="IS91" t="e">
        <f>AND(#REF!,"AAAAAHePmfw=")</f>
        <v>#REF!</v>
      </c>
      <c r="IT91" t="e">
        <f>AND(#REF!,"AAAAAHePmf0=")</f>
        <v>#REF!</v>
      </c>
      <c r="IU91" t="e">
        <f>AND(#REF!,"AAAAAHePmf4=")</f>
        <v>#REF!</v>
      </c>
      <c r="IV91" t="e">
        <f>AND(#REF!,"AAAAAHePmf8=")</f>
        <v>#REF!</v>
      </c>
    </row>
    <row r="92" spans="1:256">
      <c r="A92" t="e">
        <f>IF(#REF!,"AAAAAGv/3wA=",0)</f>
        <v>#REF!</v>
      </c>
      <c r="B92" t="e">
        <f>AND(#REF!,"AAAAAGv/3wE=")</f>
        <v>#REF!</v>
      </c>
      <c r="C92" t="e">
        <f>AND(#REF!,"AAAAAGv/3wI=")</f>
        <v>#REF!</v>
      </c>
      <c r="D92" t="e">
        <f>AND(#REF!,"AAAAAGv/3wM=")</f>
        <v>#REF!</v>
      </c>
      <c r="E92" t="e">
        <f>AND(#REF!,"AAAAAGv/3wQ=")</f>
        <v>#REF!</v>
      </c>
      <c r="F92" t="e">
        <f>AND(#REF!,"AAAAAGv/3wU=")</f>
        <v>#REF!</v>
      </c>
      <c r="G92" t="e">
        <f>AND(#REF!,"AAAAAGv/3wY=")</f>
        <v>#REF!</v>
      </c>
      <c r="H92" t="e">
        <f>AND(#REF!,"AAAAAGv/3wc=")</f>
        <v>#REF!</v>
      </c>
      <c r="I92" t="e">
        <f>AND(#REF!,"AAAAAGv/3wg=")</f>
        <v>#REF!</v>
      </c>
      <c r="J92" t="e">
        <f>AND(#REF!,"AAAAAGv/3wk=")</f>
        <v>#REF!</v>
      </c>
      <c r="K92" t="e">
        <f>AND(#REF!,"AAAAAGv/3wo=")</f>
        <v>#REF!</v>
      </c>
      <c r="L92" t="e">
        <f>AND(#REF!,"AAAAAGv/3ws=")</f>
        <v>#REF!</v>
      </c>
      <c r="M92" t="e">
        <f>AND(#REF!,"AAAAAGv/3ww=")</f>
        <v>#REF!</v>
      </c>
      <c r="N92" t="e">
        <f>AND(#REF!,"AAAAAGv/3w0=")</f>
        <v>#REF!</v>
      </c>
      <c r="O92" t="e">
        <f>AND(#REF!,"AAAAAGv/3w4=")</f>
        <v>#REF!</v>
      </c>
      <c r="P92" t="e">
        <f>AND(#REF!,"AAAAAGv/3w8=")</f>
        <v>#REF!</v>
      </c>
      <c r="Q92" t="e">
        <f>AND(#REF!,"AAAAAGv/3xA=")</f>
        <v>#REF!</v>
      </c>
      <c r="R92" t="e">
        <f>AND(#REF!,"AAAAAGv/3xE=")</f>
        <v>#REF!</v>
      </c>
      <c r="S92" t="e">
        <f>AND(#REF!,"AAAAAGv/3xI=")</f>
        <v>#REF!</v>
      </c>
      <c r="T92" t="e">
        <f>AND(#REF!,"AAAAAGv/3xM=")</f>
        <v>#REF!</v>
      </c>
      <c r="U92" t="e">
        <f>AND(#REF!,"AAAAAGv/3xQ=")</f>
        <v>#REF!</v>
      </c>
      <c r="V92" t="e">
        <f>AND(#REF!,"AAAAAGv/3xU=")</f>
        <v>#REF!</v>
      </c>
      <c r="W92" t="e">
        <f>AND(#REF!,"AAAAAGv/3xY=")</f>
        <v>#REF!</v>
      </c>
      <c r="X92" t="e">
        <f>AND(#REF!,"AAAAAGv/3xc=")</f>
        <v>#REF!</v>
      </c>
      <c r="Y92" t="e">
        <f>AND(#REF!,"AAAAAGv/3xg=")</f>
        <v>#REF!</v>
      </c>
      <c r="Z92" t="e">
        <f>AND(#REF!,"AAAAAGv/3xk=")</f>
        <v>#REF!</v>
      </c>
      <c r="AA92" t="e">
        <f>AND(#REF!,"AAAAAGv/3xo=")</f>
        <v>#REF!</v>
      </c>
      <c r="AB92" t="e">
        <f>AND(#REF!,"AAAAAGv/3xs=")</f>
        <v>#REF!</v>
      </c>
      <c r="AC92" t="e">
        <f>AND(#REF!,"AAAAAGv/3xw=")</f>
        <v>#REF!</v>
      </c>
      <c r="AD92" t="e">
        <f>AND(#REF!,"AAAAAGv/3x0=")</f>
        <v>#REF!</v>
      </c>
      <c r="AE92" t="e">
        <f>AND(#REF!,"AAAAAGv/3x4=")</f>
        <v>#REF!</v>
      </c>
      <c r="AF92" t="e">
        <f>AND(#REF!,"AAAAAGv/3x8=")</f>
        <v>#REF!</v>
      </c>
      <c r="AG92" t="e">
        <f>AND(#REF!,"AAAAAGv/3yA=")</f>
        <v>#REF!</v>
      </c>
      <c r="AH92" t="e">
        <f>AND(#REF!,"AAAAAGv/3yE=")</f>
        <v>#REF!</v>
      </c>
      <c r="AI92" t="e">
        <f>AND(#REF!,"AAAAAGv/3yI=")</f>
        <v>#REF!</v>
      </c>
      <c r="AJ92" t="e">
        <f>AND(#REF!,"AAAAAGv/3yM=")</f>
        <v>#REF!</v>
      </c>
      <c r="AK92" t="e">
        <f>AND(#REF!,"AAAAAGv/3yQ=")</f>
        <v>#REF!</v>
      </c>
      <c r="AL92" t="e">
        <f>AND(#REF!,"AAAAAGv/3yU=")</f>
        <v>#REF!</v>
      </c>
      <c r="AM92" t="e">
        <f>AND(#REF!,"AAAAAGv/3yY=")</f>
        <v>#REF!</v>
      </c>
      <c r="AN92" t="e">
        <f>AND(#REF!,"AAAAAGv/3yc=")</f>
        <v>#REF!</v>
      </c>
      <c r="AO92" t="e">
        <f>AND(#REF!,"AAAAAGv/3yg=")</f>
        <v>#REF!</v>
      </c>
      <c r="AP92" t="e">
        <f>AND(#REF!,"AAAAAGv/3yk=")</f>
        <v>#REF!</v>
      </c>
      <c r="AQ92" t="e">
        <f>AND(#REF!,"AAAAAGv/3yo=")</f>
        <v>#REF!</v>
      </c>
      <c r="AR92" t="e">
        <f>AND(#REF!,"AAAAAGv/3ys=")</f>
        <v>#REF!</v>
      </c>
      <c r="AS92" t="e">
        <f>AND(#REF!,"AAAAAGv/3yw=")</f>
        <v>#REF!</v>
      </c>
      <c r="AT92" t="e">
        <f>AND(#REF!,"AAAAAGv/3y0=")</f>
        <v>#REF!</v>
      </c>
      <c r="AU92" t="e">
        <f>AND(#REF!,"AAAAAGv/3y4=")</f>
        <v>#REF!</v>
      </c>
      <c r="AV92" t="e">
        <f>AND(#REF!,"AAAAAGv/3y8=")</f>
        <v>#REF!</v>
      </c>
      <c r="AW92" t="e">
        <f>AND(#REF!,"AAAAAGv/3zA=")</f>
        <v>#REF!</v>
      </c>
      <c r="AX92" t="e">
        <f>AND(#REF!,"AAAAAGv/3zE=")</f>
        <v>#REF!</v>
      </c>
      <c r="AY92" t="e">
        <f>AND(#REF!,"AAAAAGv/3zI=")</f>
        <v>#REF!</v>
      </c>
      <c r="AZ92" t="e">
        <f>AND(#REF!,"AAAAAGv/3zM=")</f>
        <v>#REF!</v>
      </c>
      <c r="BA92" t="e">
        <f>AND(#REF!,"AAAAAGv/3zQ=")</f>
        <v>#REF!</v>
      </c>
      <c r="BB92" t="e">
        <f>AND(#REF!,"AAAAAGv/3zU=")</f>
        <v>#REF!</v>
      </c>
      <c r="BC92" t="e">
        <f>AND(#REF!,"AAAAAGv/3zY=")</f>
        <v>#REF!</v>
      </c>
      <c r="BD92" t="e">
        <f>AND(#REF!,"AAAAAGv/3zc=")</f>
        <v>#REF!</v>
      </c>
      <c r="BE92" t="e">
        <f>AND(#REF!,"AAAAAGv/3zg=")</f>
        <v>#REF!</v>
      </c>
      <c r="BF92" t="e">
        <f>AND(#REF!,"AAAAAGv/3zk=")</f>
        <v>#REF!</v>
      </c>
      <c r="BG92" t="e">
        <f>AND(#REF!,"AAAAAGv/3zo=")</f>
        <v>#REF!</v>
      </c>
      <c r="BH92" t="e">
        <f>AND(#REF!,"AAAAAGv/3zs=")</f>
        <v>#REF!</v>
      </c>
      <c r="BI92" t="e">
        <f>AND(#REF!,"AAAAAGv/3zw=")</f>
        <v>#REF!</v>
      </c>
      <c r="BJ92" t="e">
        <f>AND(#REF!,"AAAAAGv/3z0=")</f>
        <v>#REF!</v>
      </c>
      <c r="BK92" t="e">
        <f>AND(#REF!,"AAAAAGv/3z4=")</f>
        <v>#REF!</v>
      </c>
      <c r="BL92" t="e">
        <f>AND(#REF!,"AAAAAGv/3z8=")</f>
        <v>#REF!</v>
      </c>
      <c r="BM92" t="e">
        <f>AND(#REF!,"AAAAAGv/30A=")</f>
        <v>#REF!</v>
      </c>
      <c r="BN92" t="e">
        <f>AND(#REF!,"AAAAAGv/30E=")</f>
        <v>#REF!</v>
      </c>
      <c r="BO92" t="e">
        <f>AND(#REF!,"AAAAAGv/30I=")</f>
        <v>#REF!</v>
      </c>
      <c r="BP92" t="e">
        <f>AND(#REF!,"AAAAAGv/30M=")</f>
        <v>#REF!</v>
      </c>
      <c r="BQ92" t="e">
        <f>AND(#REF!,"AAAAAGv/30Q=")</f>
        <v>#REF!</v>
      </c>
      <c r="BR92" t="e">
        <f>AND(#REF!,"AAAAAGv/30U=")</f>
        <v>#REF!</v>
      </c>
      <c r="BS92" t="e">
        <f>AND(#REF!,"AAAAAGv/30Y=")</f>
        <v>#REF!</v>
      </c>
      <c r="BT92" t="e">
        <f>AND(#REF!,"AAAAAGv/30c=")</f>
        <v>#REF!</v>
      </c>
      <c r="BU92" t="e">
        <f>AND(#REF!,"AAAAAGv/30g=")</f>
        <v>#REF!</v>
      </c>
      <c r="BV92" t="e">
        <f>AND(#REF!,"AAAAAGv/30k=")</f>
        <v>#REF!</v>
      </c>
      <c r="BW92" t="e">
        <f>AND(#REF!,"AAAAAGv/30o=")</f>
        <v>#REF!</v>
      </c>
      <c r="BX92" t="e">
        <f>AND(#REF!,"AAAAAGv/30s=")</f>
        <v>#REF!</v>
      </c>
      <c r="BY92" t="e">
        <f>AND(#REF!,"AAAAAGv/30w=")</f>
        <v>#REF!</v>
      </c>
      <c r="BZ92" t="e">
        <f>AND(#REF!,"AAAAAGv/300=")</f>
        <v>#REF!</v>
      </c>
      <c r="CA92" t="e">
        <f>AND(#REF!,"AAAAAGv/304=")</f>
        <v>#REF!</v>
      </c>
      <c r="CB92" t="e">
        <f>AND(#REF!,"AAAAAGv/308=")</f>
        <v>#REF!</v>
      </c>
      <c r="CC92" t="e">
        <f>AND(#REF!,"AAAAAGv/31A=")</f>
        <v>#REF!</v>
      </c>
      <c r="CD92" t="e">
        <f>AND(#REF!,"AAAAAGv/31E=")</f>
        <v>#REF!</v>
      </c>
      <c r="CE92" t="e">
        <f>AND(#REF!,"AAAAAGv/31I=")</f>
        <v>#REF!</v>
      </c>
      <c r="CF92" t="e">
        <f>AND(#REF!,"AAAAAGv/31M=")</f>
        <v>#REF!</v>
      </c>
      <c r="CG92" t="e">
        <f>AND(#REF!,"AAAAAGv/31Q=")</f>
        <v>#REF!</v>
      </c>
      <c r="CH92" t="e">
        <f>AND(#REF!,"AAAAAGv/31U=")</f>
        <v>#REF!</v>
      </c>
      <c r="CI92" t="e">
        <f>AND(#REF!,"AAAAAGv/31Y=")</f>
        <v>#REF!</v>
      </c>
      <c r="CJ92" t="e">
        <f>AND(#REF!,"AAAAAGv/31c=")</f>
        <v>#REF!</v>
      </c>
      <c r="CK92" t="e">
        <f>AND(#REF!,"AAAAAGv/31g=")</f>
        <v>#REF!</v>
      </c>
      <c r="CL92" t="e">
        <f>AND(#REF!,"AAAAAGv/31k=")</f>
        <v>#REF!</v>
      </c>
      <c r="CM92" t="e">
        <f>AND(#REF!,"AAAAAGv/31o=")</f>
        <v>#REF!</v>
      </c>
      <c r="CN92" t="e">
        <f>AND(#REF!,"AAAAAGv/31s=")</f>
        <v>#REF!</v>
      </c>
      <c r="CO92" t="e">
        <f>AND(#REF!,"AAAAAGv/31w=")</f>
        <v>#REF!</v>
      </c>
      <c r="CP92" t="e">
        <f>AND(#REF!,"AAAAAGv/310=")</f>
        <v>#REF!</v>
      </c>
      <c r="CQ92" t="e">
        <f>AND(#REF!,"AAAAAGv/314=")</f>
        <v>#REF!</v>
      </c>
      <c r="CR92" t="e">
        <f>AND(#REF!,"AAAAAGv/318=")</f>
        <v>#REF!</v>
      </c>
      <c r="CS92" t="e">
        <f>AND(#REF!,"AAAAAGv/32A=")</f>
        <v>#REF!</v>
      </c>
      <c r="CT92" t="e">
        <f>AND(#REF!,"AAAAAGv/32E=")</f>
        <v>#REF!</v>
      </c>
      <c r="CU92" t="e">
        <f>AND(#REF!,"AAAAAGv/32I=")</f>
        <v>#REF!</v>
      </c>
      <c r="CV92" t="e">
        <f>AND(#REF!,"AAAAAGv/32M=")</f>
        <v>#REF!</v>
      </c>
      <c r="CW92" t="e">
        <f>AND(#REF!,"AAAAAGv/32Q=")</f>
        <v>#REF!</v>
      </c>
      <c r="CX92" t="e">
        <f>AND(#REF!,"AAAAAGv/32U=")</f>
        <v>#REF!</v>
      </c>
      <c r="CY92" t="e">
        <f>AND(#REF!,"AAAAAGv/32Y=")</f>
        <v>#REF!</v>
      </c>
      <c r="CZ92" t="e">
        <f>AND(#REF!,"AAAAAGv/32c=")</f>
        <v>#REF!</v>
      </c>
      <c r="DA92" t="e">
        <f>AND(#REF!,"AAAAAGv/32g=")</f>
        <v>#REF!</v>
      </c>
      <c r="DB92" t="e">
        <f>AND(#REF!,"AAAAAGv/32k=")</f>
        <v>#REF!</v>
      </c>
      <c r="DC92" t="e">
        <f>AND(#REF!,"AAAAAGv/32o=")</f>
        <v>#REF!</v>
      </c>
      <c r="DD92" t="e">
        <f>AND(#REF!,"AAAAAGv/32s=")</f>
        <v>#REF!</v>
      </c>
      <c r="DE92" t="e">
        <f>AND(#REF!,"AAAAAGv/32w=")</f>
        <v>#REF!</v>
      </c>
      <c r="DF92" t="e">
        <f>AND(#REF!,"AAAAAGv/320=")</f>
        <v>#REF!</v>
      </c>
      <c r="DG92" t="e">
        <f>AND(#REF!,"AAAAAGv/324=")</f>
        <v>#REF!</v>
      </c>
      <c r="DH92" t="e">
        <f>AND(#REF!,"AAAAAGv/328=")</f>
        <v>#REF!</v>
      </c>
      <c r="DI92" t="e">
        <f>AND(#REF!,"AAAAAGv/33A=")</f>
        <v>#REF!</v>
      </c>
      <c r="DJ92" t="e">
        <f>AND(#REF!,"AAAAAGv/33E=")</f>
        <v>#REF!</v>
      </c>
      <c r="DK92" t="e">
        <f>AND(#REF!,"AAAAAGv/33I=")</f>
        <v>#REF!</v>
      </c>
      <c r="DL92" t="e">
        <f>AND(#REF!,"AAAAAGv/33M=")</f>
        <v>#REF!</v>
      </c>
      <c r="DM92" t="e">
        <f>AND(#REF!,"AAAAAGv/33Q=")</f>
        <v>#REF!</v>
      </c>
      <c r="DN92" t="e">
        <f>AND(#REF!,"AAAAAGv/33U=")</f>
        <v>#REF!</v>
      </c>
      <c r="DO92" t="e">
        <f>AND(#REF!,"AAAAAGv/33Y=")</f>
        <v>#REF!</v>
      </c>
      <c r="DP92" t="e">
        <f>AND(#REF!,"AAAAAGv/33c=")</f>
        <v>#REF!</v>
      </c>
      <c r="DQ92" t="e">
        <f>AND(#REF!,"AAAAAGv/33g=")</f>
        <v>#REF!</v>
      </c>
      <c r="DR92" t="e">
        <f>AND(#REF!,"AAAAAGv/33k=")</f>
        <v>#REF!</v>
      </c>
      <c r="DS92" t="e">
        <f>AND(#REF!,"AAAAAGv/33o=")</f>
        <v>#REF!</v>
      </c>
      <c r="DT92" t="e">
        <f>AND(#REF!,"AAAAAGv/33s=")</f>
        <v>#REF!</v>
      </c>
      <c r="DU92" t="e">
        <f>AND(#REF!,"AAAAAGv/33w=")</f>
        <v>#REF!</v>
      </c>
      <c r="DV92" t="e">
        <f>AND(#REF!,"AAAAAGv/330=")</f>
        <v>#REF!</v>
      </c>
      <c r="DW92" t="e">
        <f>AND(#REF!,"AAAAAGv/334=")</f>
        <v>#REF!</v>
      </c>
      <c r="DX92" t="e">
        <f>AND(#REF!,"AAAAAGv/338=")</f>
        <v>#REF!</v>
      </c>
      <c r="DY92" t="e">
        <f>IF(#REF!,"AAAAAGv/34A=",0)</f>
        <v>#REF!</v>
      </c>
      <c r="DZ92" t="e">
        <f>AND(#REF!,"AAAAAGv/34E=")</f>
        <v>#REF!</v>
      </c>
      <c r="EA92" t="e">
        <f>AND(#REF!,"AAAAAGv/34I=")</f>
        <v>#REF!</v>
      </c>
      <c r="EB92" t="e">
        <f>AND(#REF!,"AAAAAGv/34M=")</f>
        <v>#REF!</v>
      </c>
      <c r="EC92" t="e">
        <f>AND(#REF!,"AAAAAGv/34Q=")</f>
        <v>#REF!</v>
      </c>
      <c r="ED92" t="e">
        <f>AND(#REF!,"AAAAAGv/34U=")</f>
        <v>#REF!</v>
      </c>
      <c r="EE92" t="e">
        <f>AND(#REF!,"AAAAAGv/34Y=")</f>
        <v>#REF!</v>
      </c>
      <c r="EF92" t="e">
        <f>AND(#REF!,"AAAAAGv/34c=")</f>
        <v>#REF!</v>
      </c>
      <c r="EG92" t="e">
        <f>AND(#REF!,"AAAAAGv/34g=")</f>
        <v>#REF!</v>
      </c>
      <c r="EH92" t="e">
        <f>AND(#REF!,"AAAAAGv/34k=")</f>
        <v>#REF!</v>
      </c>
      <c r="EI92" t="e">
        <f>AND(#REF!,"AAAAAGv/34o=")</f>
        <v>#REF!</v>
      </c>
      <c r="EJ92" t="e">
        <f>AND(#REF!,"AAAAAGv/34s=")</f>
        <v>#REF!</v>
      </c>
      <c r="EK92" t="e">
        <f>AND(#REF!,"AAAAAGv/34w=")</f>
        <v>#REF!</v>
      </c>
      <c r="EL92" t="e">
        <f>AND(#REF!,"AAAAAGv/340=")</f>
        <v>#REF!</v>
      </c>
      <c r="EM92" t="e">
        <f>AND(#REF!,"AAAAAGv/344=")</f>
        <v>#REF!</v>
      </c>
      <c r="EN92" t="e">
        <f>AND(#REF!,"AAAAAGv/348=")</f>
        <v>#REF!</v>
      </c>
      <c r="EO92" t="e">
        <f>AND(#REF!,"AAAAAGv/35A=")</f>
        <v>#REF!</v>
      </c>
      <c r="EP92" t="e">
        <f>AND(#REF!,"AAAAAGv/35E=")</f>
        <v>#REF!</v>
      </c>
      <c r="EQ92" t="e">
        <f>AND(#REF!,"AAAAAGv/35I=")</f>
        <v>#REF!</v>
      </c>
      <c r="ER92" t="e">
        <f>AND(#REF!,"AAAAAGv/35M=")</f>
        <v>#REF!</v>
      </c>
      <c r="ES92" t="e">
        <f>AND(#REF!,"AAAAAGv/35Q=")</f>
        <v>#REF!</v>
      </c>
      <c r="ET92" t="e">
        <f>AND(#REF!,"AAAAAGv/35U=")</f>
        <v>#REF!</v>
      </c>
      <c r="EU92" t="e">
        <f>AND(#REF!,"AAAAAGv/35Y=")</f>
        <v>#REF!</v>
      </c>
      <c r="EV92" t="e">
        <f>AND(#REF!,"AAAAAGv/35c=")</f>
        <v>#REF!</v>
      </c>
      <c r="EW92" t="e">
        <f>AND(#REF!,"AAAAAGv/35g=")</f>
        <v>#REF!</v>
      </c>
      <c r="EX92" t="e">
        <f>AND(#REF!,"AAAAAGv/35k=")</f>
        <v>#REF!</v>
      </c>
      <c r="EY92" t="e">
        <f>AND(#REF!,"AAAAAGv/35o=")</f>
        <v>#REF!</v>
      </c>
      <c r="EZ92" t="e">
        <f>AND(#REF!,"AAAAAGv/35s=")</f>
        <v>#REF!</v>
      </c>
      <c r="FA92" t="e">
        <f>AND(#REF!,"AAAAAGv/35w=")</f>
        <v>#REF!</v>
      </c>
      <c r="FB92" t="e">
        <f>AND(#REF!,"AAAAAGv/350=")</f>
        <v>#REF!</v>
      </c>
      <c r="FC92" t="e">
        <f>AND(#REF!,"AAAAAGv/354=")</f>
        <v>#REF!</v>
      </c>
      <c r="FD92" t="e">
        <f>AND(#REF!,"AAAAAGv/358=")</f>
        <v>#REF!</v>
      </c>
      <c r="FE92" t="e">
        <f>AND(#REF!,"AAAAAGv/36A=")</f>
        <v>#REF!</v>
      </c>
      <c r="FF92" t="e">
        <f>AND(#REF!,"AAAAAGv/36E=")</f>
        <v>#REF!</v>
      </c>
      <c r="FG92" t="e">
        <f>AND(#REF!,"AAAAAGv/36I=")</f>
        <v>#REF!</v>
      </c>
      <c r="FH92" t="e">
        <f>AND(#REF!,"AAAAAGv/36M=")</f>
        <v>#REF!</v>
      </c>
      <c r="FI92" t="e">
        <f>AND(#REF!,"AAAAAGv/36Q=")</f>
        <v>#REF!</v>
      </c>
      <c r="FJ92" t="e">
        <f>AND(#REF!,"AAAAAGv/36U=")</f>
        <v>#REF!</v>
      </c>
      <c r="FK92" t="e">
        <f>AND(#REF!,"AAAAAGv/36Y=")</f>
        <v>#REF!</v>
      </c>
      <c r="FL92" t="e">
        <f>AND(#REF!,"AAAAAGv/36c=")</f>
        <v>#REF!</v>
      </c>
      <c r="FM92" t="e">
        <f>AND(#REF!,"AAAAAGv/36g=")</f>
        <v>#REF!</v>
      </c>
      <c r="FN92" t="e">
        <f>AND(#REF!,"AAAAAGv/36k=")</f>
        <v>#REF!</v>
      </c>
      <c r="FO92" t="e">
        <f>AND(#REF!,"AAAAAGv/36o=")</f>
        <v>#REF!</v>
      </c>
      <c r="FP92" t="e">
        <f>AND(#REF!,"AAAAAGv/36s=")</f>
        <v>#REF!</v>
      </c>
      <c r="FQ92" t="e">
        <f>AND(#REF!,"AAAAAGv/36w=")</f>
        <v>#REF!</v>
      </c>
      <c r="FR92" t="e">
        <f>AND(#REF!,"AAAAAGv/360=")</f>
        <v>#REF!</v>
      </c>
      <c r="FS92" t="e">
        <f>AND(#REF!,"AAAAAGv/364=")</f>
        <v>#REF!</v>
      </c>
      <c r="FT92" t="e">
        <f>AND(#REF!,"AAAAAGv/368=")</f>
        <v>#REF!</v>
      </c>
      <c r="FU92" t="e">
        <f>AND(#REF!,"AAAAAGv/37A=")</f>
        <v>#REF!</v>
      </c>
      <c r="FV92" t="e">
        <f>AND(#REF!,"AAAAAGv/37E=")</f>
        <v>#REF!</v>
      </c>
      <c r="FW92" t="e">
        <f>AND(#REF!,"AAAAAGv/37I=")</f>
        <v>#REF!</v>
      </c>
      <c r="FX92" t="e">
        <f>AND(#REF!,"AAAAAGv/37M=")</f>
        <v>#REF!</v>
      </c>
      <c r="FY92" t="e">
        <f>AND(#REF!,"AAAAAGv/37Q=")</f>
        <v>#REF!</v>
      </c>
      <c r="FZ92" t="e">
        <f>AND(#REF!,"AAAAAGv/37U=")</f>
        <v>#REF!</v>
      </c>
      <c r="GA92" t="e">
        <f>AND(#REF!,"AAAAAGv/37Y=")</f>
        <v>#REF!</v>
      </c>
      <c r="GB92" t="e">
        <f>AND(#REF!,"AAAAAGv/37c=")</f>
        <v>#REF!</v>
      </c>
      <c r="GC92" t="e">
        <f>AND(#REF!,"AAAAAGv/37g=")</f>
        <v>#REF!</v>
      </c>
      <c r="GD92" t="e">
        <f>AND(#REF!,"AAAAAGv/37k=")</f>
        <v>#REF!</v>
      </c>
      <c r="GE92" t="e">
        <f>AND(#REF!,"AAAAAGv/37o=")</f>
        <v>#REF!</v>
      </c>
      <c r="GF92" t="e">
        <f>AND(#REF!,"AAAAAGv/37s=")</f>
        <v>#REF!</v>
      </c>
      <c r="GG92" t="e">
        <f>AND(#REF!,"AAAAAGv/37w=")</f>
        <v>#REF!</v>
      </c>
      <c r="GH92" t="e">
        <f>AND(#REF!,"AAAAAGv/370=")</f>
        <v>#REF!</v>
      </c>
      <c r="GI92" t="e">
        <f>AND(#REF!,"AAAAAGv/374=")</f>
        <v>#REF!</v>
      </c>
      <c r="GJ92" t="e">
        <f>AND(#REF!,"AAAAAGv/378=")</f>
        <v>#REF!</v>
      </c>
      <c r="GK92" t="e">
        <f>AND(#REF!,"AAAAAGv/38A=")</f>
        <v>#REF!</v>
      </c>
      <c r="GL92" t="e">
        <f>AND(#REF!,"AAAAAGv/38E=")</f>
        <v>#REF!</v>
      </c>
      <c r="GM92" t="e">
        <f>AND(#REF!,"AAAAAGv/38I=")</f>
        <v>#REF!</v>
      </c>
      <c r="GN92" t="e">
        <f>AND(#REF!,"AAAAAGv/38M=")</f>
        <v>#REF!</v>
      </c>
      <c r="GO92" t="e">
        <f>AND(#REF!,"AAAAAGv/38Q=")</f>
        <v>#REF!</v>
      </c>
      <c r="GP92" t="e">
        <f>AND(#REF!,"AAAAAGv/38U=")</f>
        <v>#REF!</v>
      </c>
      <c r="GQ92" t="e">
        <f>AND(#REF!,"AAAAAGv/38Y=")</f>
        <v>#REF!</v>
      </c>
      <c r="GR92" t="e">
        <f>AND(#REF!,"AAAAAGv/38c=")</f>
        <v>#REF!</v>
      </c>
      <c r="GS92" t="e">
        <f>AND(#REF!,"AAAAAGv/38g=")</f>
        <v>#REF!</v>
      </c>
      <c r="GT92" t="e">
        <f>AND(#REF!,"AAAAAGv/38k=")</f>
        <v>#REF!</v>
      </c>
      <c r="GU92" t="e">
        <f>AND(#REF!,"AAAAAGv/38o=")</f>
        <v>#REF!</v>
      </c>
      <c r="GV92" t="e">
        <f>AND(#REF!,"AAAAAGv/38s=")</f>
        <v>#REF!</v>
      </c>
      <c r="GW92" t="e">
        <f>AND(#REF!,"AAAAAGv/38w=")</f>
        <v>#REF!</v>
      </c>
      <c r="GX92" t="e">
        <f>AND(#REF!,"AAAAAGv/380=")</f>
        <v>#REF!</v>
      </c>
      <c r="GY92" t="e">
        <f>AND(#REF!,"AAAAAGv/384=")</f>
        <v>#REF!</v>
      </c>
      <c r="GZ92" t="e">
        <f>AND(#REF!,"AAAAAGv/388=")</f>
        <v>#REF!</v>
      </c>
      <c r="HA92" t="e">
        <f>AND(#REF!,"AAAAAGv/39A=")</f>
        <v>#REF!</v>
      </c>
      <c r="HB92" t="e">
        <f>AND(#REF!,"AAAAAGv/39E=")</f>
        <v>#REF!</v>
      </c>
      <c r="HC92" t="e">
        <f>AND(#REF!,"AAAAAGv/39I=")</f>
        <v>#REF!</v>
      </c>
      <c r="HD92" t="e">
        <f>AND(#REF!,"AAAAAGv/39M=")</f>
        <v>#REF!</v>
      </c>
      <c r="HE92" t="e">
        <f>AND(#REF!,"AAAAAGv/39Q=")</f>
        <v>#REF!</v>
      </c>
      <c r="HF92" t="e">
        <f>AND(#REF!,"AAAAAGv/39U=")</f>
        <v>#REF!</v>
      </c>
      <c r="HG92" t="e">
        <f>AND(#REF!,"AAAAAGv/39Y=")</f>
        <v>#REF!</v>
      </c>
      <c r="HH92" t="e">
        <f>AND(#REF!,"AAAAAGv/39c=")</f>
        <v>#REF!</v>
      </c>
      <c r="HI92" t="e">
        <f>AND(#REF!,"AAAAAGv/39g=")</f>
        <v>#REF!</v>
      </c>
      <c r="HJ92" t="e">
        <f>AND(#REF!,"AAAAAGv/39k=")</f>
        <v>#REF!</v>
      </c>
      <c r="HK92" t="e">
        <f>AND(#REF!,"AAAAAGv/39o=")</f>
        <v>#REF!</v>
      </c>
      <c r="HL92" t="e">
        <f>AND(#REF!,"AAAAAGv/39s=")</f>
        <v>#REF!</v>
      </c>
      <c r="HM92" t="e">
        <f>AND(#REF!,"AAAAAGv/39w=")</f>
        <v>#REF!</v>
      </c>
      <c r="HN92" t="e">
        <f>AND(#REF!,"AAAAAGv/390=")</f>
        <v>#REF!</v>
      </c>
      <c r="HO92" t="e">
        <f>AND(#REF!,"AAAAAGv/394=")</f>
        <v>#REF!</v>
      </c>
      <c r="HP92" t="e">
        <f>AND(#REF!,"AAAAAGv/398=")</f>
        <v>#REF!</v>
      </c>
      <c r="HQ92" t="e">
        <f>AND(#REF!,"AAAAAGv/3+A=")</f>
        <v>#REF!</v>
      </c>
      <c r="HR92" t="e">
        <f>AND(#REF!,"AAAAAGv/3+E=")</f>
        <v>#REF!</v>
      </c>
      <c r="HS92" t="e">
        <f>AND(#REF!,"AAAAAGv/3+I=")</f>
        <v>#REF!</v>
      </c>
      <c r="HT92" t="e">
        <f>AND(#REF!,"AAAAAGv/3+M=")</f>
        <v>#REF!</v>
      </c>
      <c r="HU92" t="e">
        <f>AND(#REF!,"AAAAAGv/3+Q=")</f>
        <v>#REF!</v>
      </c>
      <c r="HV92" t="e">
        <f>AND(#REF!,"AAAAAGv/3+U=")</f>
        <v>#REF!</v>
      </c>
      <c r="HW92" t="e">
        <f>AND(#REF!,"AAAAAGv/3+Y=")</f>
        <v>#REF!</v>
      </c>
      <c r="HX92" t="e">
        <f>AND(#REF!,"AAAAAGv/3+c=")</f>
        <v>#REF!</v>
      </c>
      <c r="HY92" t="e">
        <f>AND(#REF!,"AAAAAGv/3+g=")</f>
        <v>#REF!</v>
      </c>
      <c r="HZ92" t="e">
        <f>AND(#REF!,"AAAAAGv/3+k=")</f>
        <v>#REF!</v>
      </c>
      <c r="IA92" t="e">
        <f>AND(#REF!,"AAAAAGv/3+o=")</f>
        <v>#REF!</v>
      </c>
      <c r="IB92" t="e">
        <f>AND(#REF!,"AAAAAGv/3+s=")</f>
        <v>#REF!</v>
      </c>
      <c r="IC92" t="e">
        <f>AND(#REF!,"AAAAAGv/3+w=")</f>
        <v>#REF!</v>
      </c>
      <c r="ID92" t="e">
        <f>AND(#REF!,"AAAAAGv/3+0=")</f>
        <v>#REF!</v>
      </c>
      <c r="IE92" t="e">
        <f>AND(#REF!,"AAAAAGv/3+4=")</f>
        <v>#REF!</v>
      </c>
      <c r="IF92" t="e">
        <f>AND(#REF!,"AAAAAGv/3+8=")</f>
        <v>#REF!</v>
      </c>
      <c r="IG92" t="e">
        <f>AND(#REF!,"AAAAAGv/3/A=")</f>
        <v>#REF!</v>
      </c>
      <c r="IH92" t="e">
        <f>AND(#REF!,"AAAAAGv/3/E=")</f>
        <v>#REF!</v>
      </c>
      <c r="II92" t="e">
        <f>AND(#REF!,"AAAAAGv/3/I=")</f>
        <v>#REF!</v>
      </c>
      <c r="IJ92" t="e">
        <f>AND(#REF!,"AAAAAGv/3/M=")</f>
        <v>#REF!</v>
      </c>
      <c r="IK92" t="e">
        <f>AND(#REF!,"AAAAAGv/3/Q=")</f>
        <v>#REF!</v>
      </c>
      <c r="IL92" t="e">
        <f>AND(#REF!,"AAAAAGv/3/U=")</f>
        <v>#REF!</v>
      </c>
      <c r="IM92" t="e">
        <f>AND(#REF!,"AAAAAGv/3/Y=")</f>
        <v>#REF!</v>
      </c>
      <c r="IN92" t="e">
        <f>AND(#REF!,"AAAAAGv/3/c=")</f>
        <v>#REF!</v>
      </c>
      <c r="IO92" t="e">
        <f>AND(#REF!,"AAAAAGv/3/g=")</f>
        <v>#REF!</v>
      </c>
      <c r="IP92" t="e">
        <f>AND(#REF!,"AAAAAGv/3/k=")</f>
        <v>#REF!</v>
      </c>
      <c r="IQ92" t="e">
        <f>AND(#REF!,"AAAAAGv/3/o=")</f>
        <v>#REF!</v>
      </c>
      <c r="IR92" t="e">
        <f>AND(#REF!,"AAAAAGv/3/s=")</f>
        <v>#REF!</v>
      </c>
      <c r="IS92" t="e">
        <f>AND(#REF!,"AAAAAGv/3/w=")</f>
        <v>#REF!</v>
      </c>
      <c r="IT92" t="e">
        <f>AND(#REF!,"AAAAAGv/3/0=")</f>
        <v>#REF!</v>
      </c>
      <c r="IU92" t="e">
        <f>AND(#REF!,"AAAAAGv/3/4=")</f>
        <v>#REF!</v>
      </c>
      <c r="IV92" t="e">
        <f>AND(#REF!,"AAAAAGv/3/8=")</f>
        <v>#REF!</v>
      </c>
    </row>
    <row r="93" spans="1:256">
      <c r="A93" t="e">
        <f>IF(#REF!,"AAAAAB75/wA=",0)</f>
        <v>#REF!</v>
      </c>
      <c r="B93" t="e">
        <f>AND(#REF!,"AAAAAB75/wE=")</f>
        <v>#REF!</v>
      </c>
      <c r="C93" t="e">
        <f>AND(#REF!,"AAAAAB75/wI=")</f>
        <v>#REF!</v>
      </c>
      <c r="D93" t="e">
        <f>AND(#REF!,"AAAAAB75/wM=")</f>
        <v>#REF!</v>
      </c>
      <c r="E93" t="e">
        <f>AND(#REF!,"AAAAAB75/wQ=")</f>
        <v>#REF!</v>
      </c>
      <c r="F93" t="e">
        <f>AND(#REF!,"AAAAAB75/wU=")</f>
        <v>#REF!</v>
      </c>
      <c r="G93" t="e">
        <f>AND(#REF!,"AAAAAB75/wY=")</f>
        <v>#REF!</v>
      </c>
      <c r="H93" t="e">
        <f>AND(#REF!,"AAAAAB75/wc=")</f>
        <v>#REF!</v>
      </c>
      <c r="I93" t="e">
        <f>AND(#REF!,"AAAAAB75/wg=")</f>
        <v>#REF!</v>
      </c>
      <c r="J93" t="e">
        <f>AND(#REF!,"AAAAAB75/wk=")</f>
        <v>#REF!</v>
      </c>
      <c r="K93" t="e">
        <f>AND(#REF!,"AAAAAB75/wo=")</f>
        <v>#REF!</v>
      </c>
      <c r="L93" t="e">
        <f>AND(#REF!,"AAAAAB75/ws=")</f>
        <v>#REF!</v>
      </c>
      <c r="M93" t="e">
        <f>AND(#REF!,"AAAAAB75/ww=")</f>
        <v>#REF!</v>
      </c>
      <c r="N93" t="e">
        <f>AND(#REF!,"AAAAAB75/w0=")</f>
        <v>#REF!</v>
      </c>
      <c r="O93" t="e">
        <f>AND(#REF!,"AAAAAB75/w4=")</f>
        <v>#REF!</v>
      </c>
      <c r="P93" t="e">
        <f>AND(#REF!,"AAAAAB75/w8=")</f>
        <v>#REF!</v>
      </c>
      <c r="Q93" t="e">
        <f>AND(#REF!,"AAAAAB75/xA=")</f>
        <v>#REF!</v>
      </c>
      <c r="R93" t="e">
        <f>AND(#REF!,"AAAAAB75/xE=")</f>
        <v>#REF!</v>
      </c>
      <c r="S93" t="e">
        <f>AND(#REF!,"AAAAAB75/xI=")</f>
        <v>#REF!</v>
      </c>
      <c r="T93" t="e">
        <f>AND(#REF!,"AAAAAB75/xM=")</f>
        <v>#REF!</v>
      </c>
      <c r="U93" t="e">
        <f>AND(#REF!,"AAAAAB75/xQ=")</f>
        <v>#REF!</v>
      </c>
      <c r="V93" t="e">
        <f>AND(#REF!,"AAAAAB75/xU=")</f>
        <v>#REF!</v>
      </c>
      <c r="W93" t="e">
        <f>AND(#REF!,"AAAAAB75/xY=")</f>
        <v>#REF!</v>
      </c>
      <c r="X93" t="e">
        <f>AND(#REF!,"AAAAAB75/xc=")</f>
        <v>#REF!</v>
      </c>
      <c r="Y93" t="e">
        <f>AND(#REF!,"AAAAAB75/xg=")</f>
        <v>#REF!</v>
      </c>
      <c r="Z93" t="e">
        <f>AND(#REF!,"AAAAAB75/xk=")</f>
        <v>#REF!</v>
      </c>
      <c r="AA93" t="e">
        <f>AND(#REF!,"AAAAAB75/xo=")</f>
        <v>#REF!</v>
      </c>
      <c r="AB93" t="e">
        <f>AND(#REF!,"AAAAAB75/xs=")</f>
        <v>#REF!</v>
      </c>
      <c r="AC93" t="e">
        <f>AND(#REF!,"AAAAAB75/xw=")</f>
        <v>#REF!</v>
      </c>
      <c r="AD93" t="e">
        <f>AND(#REF!,"AAAAAB75/x0=")</f>
        <v>#REF!</v>
      </c>
      <c r="AE93" t="e">
        <f>AND(#REF!,"AAAAAB75/x4=")</f>
        <v>#REF!</v>
      </c>
      <c r="AF93" t="e">
        <f>AND(#REF!,"AAAAAB75/x8=")</f>
        <v>#REF!</v>
      </c>
      <c r="AG93" t="e">
        <f>AND(#REF!,"AAAAAB75/yA=")</f>
        <v>#REF!</v>
      </c>
      <c r="AH93" t="e">
        <f>AND(#REF!,"AAAAAB75/yE=")</f>
        <v>#REF!</v>
      </c>
      <c r="AI93" t="e">
        <f>AND(#REF!,"AAAAAB75/yI=")</f>
        <v>#REF!</v>
      </c>
      <c r="AJ93" t="e">
        <f>AND(#REF!,"AAAAAB75/yM=")</f>
        <v>#REF!</v>
      </c>
      <c r="AK93" t="e">
        <f>AND(#REF!,"AAAAAB75/yQ=")</f>
        <v>#REF!</v>
      </c>
      <c r="AL93" t="e">
        <f>AND(#REF!,"AAAAAB75/yU=")</f>
        <v>#REF!</v>
      </c>
      <c r="AM93" t="e">
        <f>AND(#REF!,"AAAAAB75/yY=")</f>
        <v>#REF!</v>
      </c>
      <c r="AN93" t="e">
        <f>AND(#REF!,"AAAAAB75/yc=")</f>
        <v>#REF!</v>
      </c>
      <c r="AO93" t="e">
        <f>AND(#REF!,"AAAAAB75/yg=")</f>
        <v>#REF!</v>
      </c>
      <c r="AP93" t="e">
        <f>AND(#REF!,"AAAAAB75/yk=")</f>
        <v>#REF!</v>
      </c>
      <c r="AQ93" t="e">
        <f>AND(#REF!,"AAAAAB75/yo=")</f>
        <v>#REF!</v>
      </c>
      <c r="AR93" t="e">
        <f>AND(#REF!,"AAAAAB75/ys=")</f>
        <v>#REF!</v>
      </c>
      <c r="AS93" t="e">
        <f>AND(#REF!,"AAAAAB75/yw=")</f>
        <v>#REF!</v>
      </c>
      <c r="AT93" t="e">
        <f>AND(#REF!,"AAAAAB75/y0=")</f>
        <v>#REF!</v>
      </c>
      <c r="AU93" t="e">
        <f>AND(#REF!,"AAAAAB75/y4=")</f>
        <v>#REF!</v>
      </c>
      <c r="AV93" t="e">
        <f>AND(#REF!,"AAAAAB75/y8=")</f>
        <v>#REF!</v>
      </c>
      <c r="AW93" t="e">
        <f>AND(#REF!,"AAAAAB75/zA=")</f>
        <v>#REF!</v>
      </c>
      <c r="AX93" t="e">
        <f>AND(#REF!,"AAAAAB75/zE=")</f>
        <v>#REF!</v>
      </c>
      <c r="AY93" t="e">
        <f>AND(#REF!,"AAAAAB75/zI=")</f>
        <v>#REF!</v>
      </c>
      <c r="AZ93" t="e">
        <f>AND(#REF!,"AAAAAB75/zM=")</f>
        <v>#REF!</v>
      </c>
      <c r="BA93" t="e">
        <f>AND(#REF!,"AAAAAB75/zQ=")</f>
        <v>#REF!</v>
      </c>
      <c r="BB93" t="e">
        <f>AND(#REF!,"AAAAAB75/zU=")</f>
        <v>#REF!</v>
      </c>
      <c r="BC93" t="e">
        <f>AND(#REF!,"AAAAAB75/zY=")</f>
        <v>#REF!</v>
      </c>
      <c r="BD93" t="e">
        <f>AND(#REF!,"AAAAAB75/zc=")</f>
        <v>#REF!</v>
      </c>
      <c r="BE93" t="e">
        <f>AND(#REF!,"AAAAAB75/zg=")</f>
        <v>#REF!</v>
      </c>
      <c r="BF93" t="e">
        <f>AND(#REF!,"AAAAAB75/zk=")</f>
        <v>#REF!</v>
      </c>
      <c r="BG93" t="e">
        <f>AND(#REF!,"AAAAAB75/zo=")</f>
        <v>#REF!</v>
      </c>
      <c r="BH93" t="e">
        <f>AND(#REF!,"AAAAAB75/zs=")</f>
        <v>#REF!</v>
      </c>
      <c r="BI93" t="e">
        <f>AND(#REF!,"AAAAAB75/zw=")</f>
        <v>#REF!</v>
      </c>
      <c r="BJ93" t="e">
        <f>AND(#REF!,"AAAAAB75/z0=")</f>
        <v>#REF!</v>
      </c>
      <c r="BK93" t="e">
        <f>AND(#REF!,"AAAAAB75/z4=")</f>
        <v>#REF!</v>
      </c>
      <c r="BL93" t="e">
        <f>AND(#REF!,"AAAAAB75/z8=")</f>
        <v>#REF!</v>
      </c>
      <c r="BM93" t="e">
        <f>AND(#REF!,"AAAAAB75/0A=")</f>
        <v>#REF!</v>
      </c>
      <c r="BN93" t="e">
        <f>AND(#REF!,"AAAAAB75/0E=")</f>
        <v>#REF!</v>
      </c>
      <c r="BO93" t="e">
        <f>AND(#REF!,"AAAAAB75/0I=")</f>
        <v>#REF!</v>
      </c>
      <c r="BP93" t="e">
        <f>AND(#REF!,"AAAAAB75/0M=")</f>
        <v>#REF!</v>
      </c>
      <c r="BQ93" t="e">
        <f>AND(#REF!,"AAAAAB75/0Q=")</f>
        <v>#REF!</v>
      </c>
      <c r="BR93" t="e">
        <f>AND(#REF!,"AAAAAB75/0U=")</f>
        <v>#REF!</v>
      </c>
      <c r="BS93" t="e">
        <f>AND(#REF!,"AAAAAB75/0Y=")</f>
        <v>#REF!</v>
      </c>
      <c r="BT93" t="e">
        <f>AND(#REF!,"AAAAAB75/0c=")</f>
        <v>#REF!</v>
      </c>
      <c r="BU93" t="e">
        <f>AND(#REF!,"AAAAAB75/0g=")</f>
        <v>#REF!</v>
      </c>
      <c r="BV93" t="e">
        <f>AND(#REF!,"AAAAAB75/0k=")</f>
        <v>#REF!</v>
      </c>
      <c r="BW93" t="e">
        <f>AND(#REF!,"AAAAAB75/0o=")</f>
        <v>#REF!</v>
      </c>
      <c r="BX93" t="e">
        <f>AND(#REF!,"AAAAAB75/0s=")</f>
        <v>#REF!</v>
      </c>
      <c r="BY93" t="e">
        <f>AND(#REF!,"AAAAAB75/0w=")</f>
        <v>#REF!</v>
      </c>
      <c r="BZ93" t="e">
        <f>AND(#REF!,"AAAAAB75/00=")</f>
        <v>#REF!</v>
      </c>
      <c r="CA93" t="e">
        <f>AND(#REF!,"AAAAAB75/04=")</f>
        <v>#REF!</v>
      </c>
      <c r="CB93" t="e">
        <f>AND(#REF!,"AAAAAB75/08=")</f>
        <v>#REF!</v>
      </c>
      <c r="CC93" t="e">
        <f>AND(#REF!,"AAAAAB75/1A=")</f>
        <v>#REF!</v>
      </c>
      <c r="CD93" t="e">
        <f>AND(#REF!,"AAAAAB75/1E=")</f>
        <v>#REF!</v>
      </c>
      <c r="CE93" t="e">
        <f>AND(#REF!,"AAAAAB75/1I=")</f>
        <v>#REF!</v>
      </c>
      <c r="CF93" t="e">
        <f>AND(#REF!,"AAAAAB75/1M=")</f>
        <v>#REF!</v>
      </c>
      <c r="CG93" t="e">
        <f>AND(#REF!,"AAAAAB75/1Q=")</f>
        <v>#REF!</v>
      </c>
      <c r="CH93" t="e">
        <f>AND(#REF!,"AAAAAB75/1U=")</f>
        <v>#REF!</v>
      </c>
      <c r="CI93" t="e">
        <f>AND(#REF!,"AAAAAB75/1Y=")</f>
        <v>#REF!</v>
      </c>
      <c r="CJ93" t="e">
        <f>AND(#REF!,"AAAAAB75/1c=")</f>
        <v>#REF!</v>
      </c>
      <c r="CK93" t="e">
        <f>AND(#REF!,"AAAAAB75/1g=")</f>
        <v>#REF!</v>
      </c>
      <c r="CL93" t="e">
        <f>AND(#REF!,"AAAAAB75/1k=")</f>
        <v>#REF!</v>
      </c>
      <c r="CM93" t="e">
        <f>AND(#REF!,"AAAAAB75/1o=")</f>
        <v>#REF!</v>
      </c>
      <c r="CN93" t="e">
        <f>AND(#REF!,"AAAAAB75/1s=")</f>
        <v>#REF!</v>
      </c>
      <c r="CO93" t="e">
        <f>AND(#REF!,"AAAAAB75/1w=")</f>
        <v>#REF!</v>
      </c>
      <c r="CP93" t="e">
        <f>AND(#REF!,"AAAAAB75/10=")</f>
        <v>#REF!</v>
      </c>
      <c r="CQ93" t="e">
        <f>AND(#REF!,"AAAAAB75/14=")</f>
        <v>#REF!</v>
      </c>
      <c r="CR93" t="e">
        <f>AND(#REF!,"AAAAAB75/18=")</f>
        <v>#REF!</v>
      </c>
      <c r="CS93" t="e">
        <f>AND(#REF!,"AAAAAB75/2A=")</f>
        <v>#REF!</v>
      </c>
      <c r="CT93" t="e">
        <f>AND(#REF!,"AAAAAB75/2E=")</f>
        <v>#REF!</v>
      </c>
      <c r="CU93" t="e">
        <f>AND(#REF!,"AAAAAB75/2I=")</f>
        <v>#REF!</v>
      </c>
      <c r="CV93" t="e">
        <f>AND(#REF!,"AAAAAB75/2M=")</f>
        <v>#REF!</v>
      </c>
      <c r="CW93" t="e">
        <f>AND(#REF!,"AAAAAB75/2Q=")</f>
        <v>#REF!</v>
      </c>
      <c r="CX93" t="e">
        <f>AND(#REF!,"AAAAAB75/2U=")</f>
        <v>#REF!</v>
      </c>
      <c r="CY93" t="e">
        <f>AND(#REF!,"AAAAAB75/2Y=")</f>
        <v>#REF!</v>
      </c>
      <c r="CZ93" t="e">
        <f>AND(#REF!,"AAAAAB75/2c=")</f>
        <v>#REF!</v>
      </c>
      <c r="DA93" t="e">
        <f>AND(#REF!,"AAAAAB75/2g=")</f>
        <v>#REF!</v>
      </c>
      <c r="DB93" t="e">
        <f>AND(#REF!,"AAAAAB75/2k=")</f>
        <v>#REF!</v>
      </c>
      <c r="DC93" t="e">
        <f>AND(#REF!,"AAAAAB75/2o=")</f>
        <v>#REF!</v>
      </c>
      <c r="DD93" t="e">
        <f>AND(#REF!,"AAAAAB75/2s=")</f>
        <v>#REF!</v>
      </c>
      <c r="DE93" t="e">
        <f>AND(#REF!,"AAAAAB75/2w=")</f>
        <v>#REF!</v>
      </c>
      <c r="DF93" t="e">
        <f>AND(#REF!,"AAAAAB75/20=")</f>
        <v>#REF!</v>
      </c>
      <c r="DG93" t="e">
        <f>AND(#REF!,"AAAAAB75/24=")</f>
        <v>#REF!</v>
      </c>
      <c r="DH93" t="e">
        <f>AND(#REF!,"AAAAAB75/28=")</f>
        <v>#REF!</v>
      </c>
      <c r="DI93" t="e">
        <f>AND(#REF!,"AAAAAB75/3A=")</f>
        <v>#REF!</v>
      </c>
      <c r="DJ93" t="e">
        <f>AND(#REF!,"AAAAAB75/3E=")</f>
        <v>#REF!</v>
      </c>
      <c r="DK93" t="e">
        <f>AND(#REF!,"AAAAAB75/3I=")</f>
        <v>#REF!</v>
      </c>
      <c r="DL93" t="e">
        <f>AND(#REF!,"AAAAAB75/3M=")</f>
        <v>#REF!</v>
      </c>
      <c r="DM93" t="e">
        <f>AND(#REF!,"AAAAAB75/3Q=")</f>
        <v>#REF!</v>
      </c>
      <c r="DN93" t="e">
        <f>AND(#REF!,"AAAAAB75/3U=")</f>
        <v>#REF!</v>
      </c>
      <c r="DO93" t="e">
        <f>AND(#REF!,"AAAAAB75/3Y=")</f>
        <v>#REF!</v>
      </c>
      <c r="DP93" t="e">
        <f>AND(#REF!,"AAAAAB75/3c=")</f>
        <v>#REF!</v>
      </c>
      <c r="DQ93" t="e">
        <f>AND(#REF!,"AAAAAB75/3g=")</f>
        <v>#REF!</v>
      </c>
      <c r="DR93" t="e">
        <f>AND(#REF!,"AAAAAB75/3k=")</f>
        <v>#REF!</v>
      </c>
      <c r="DS93" t="e">
        <f>AND(#REF!,"AAAAAB75/3o=")</f>
        <v>#REF!</v>
      </c>
      <c r="DT93" t="e">
        <f>AND(#REF!,"AAAAAB75/3s=")</f>
        <v>#REF!</v>
      </c>
      <c r="DU93" t="e">
        <f>AND(#REF!,"AAAAAB75/3w=")</f>
        <v>#REF!</v>
      </c>
      <c r="DV93" t="e">
        <f>AND(#REF!,"AAAAAB75/30=")</f>
        <v>#REF!</v>
      </c>
      <c r="DW93" t="e">
        <f>AND(#REF!,"AAAAAB75/34=")</f>
        <v>#REF!</v>
      </c>
      <c r="DX93" t="e">
        <f>AND(#REF!,"AAAAAB75/38=")</f>
        <v>#REF!</v>
      </c>
      <c r="DY93" t="e">
        <f>IF(#REF!,"AAAAAB75/4A=",0)</f>
        <v>#REF!</v>
      </c>
      <c r="DZ93" t="e">
        <f>AND(#REF!,"AAAAAB75/4E=")</f>
        <v>#REF!</v>
      </c>
      <c r="EA93" t="e">
        <f>AND(#REF!,"AAAAAB75/4I=")</f>
        <v>#REF!</v>
      </c>
      <c r="EB93" t="e">
        <f>AND(#REF!,"AAAAAB75/4M=")</f>
        <v>#REF!</v>
      </c>
      <c r="EC93" t="e">
        <f>AND(#REF!,"AAAAAB75/4Q=")</f>
        <v>#REF!</v>
      </c>
      <c r="ED93" t="e">
        <f>AND(#REF!,"AAAAAB75/4U=")</f>
        <v>#REF!</v>
      </c>
      <c r="EE93" t="e">
        <f>AND(#REF!,"AAAAAB75/4Y=")</f>
        <v>#REF!</v>
      </c>
      <c r="EF93" t="e">
        <f>AND(#REF!,"AAAAAB75/4c=")</f>
        <v>#REF!</v>
      </c>
      <c r="EG93" t="e">
        <f>AND(#REF!,"AAAAAB75/4g=")</f>
        <v>#REF!</v>
      </c>
      <c r="EH93" t="e">
        <f>AND(#REF!,"AAAAAB75/4k=")</f>
        <v>#REF!</v>
      </c>
      <c r="EI93" t="e">
        <f>AND(#REF!,"AAAAAB75/4o=")</f>
        <v>#REF!</v>
      </c>
      <c r="EJ93" t="e">
        <f>AND(#REF!,"AAAAAB75/4s=")</f>
        <v>#REF!</v>
      </c>
      <c r="EK93" t="e">
        <f>AND(#REF!,"AAAAAB75/4w=")</f>
        <v>#REF!</v>
      </c>
      <c r="EL93" t="e">
        <f>AND(#REF!,"AAAAAB75/40=")</f>
        <v>#REF!</v>
      </c>
      <c r="EM93" t="e">
        <f>AND(#REF!,"AAAAAB75/44=")</f>
        <v>#REF!</v>
      </c>
      <c r="EN93" t="e">
        <f>AND(#REF!,"AAAAAB75/48=")</f>
        <v>#REF!</v>
      </c>
      <c r="EO93" t="e">
        <f>AND(#REF!,"AAAAAB75/5A=")</f>
        <v>#REF!</v>
      </c>
      <c r="EP93" t="e">
        <f>AND(#REF!,"AAAAAB75/5E=")</f>
        <v>#REF!</v>
      </c>
      <c r="EQ93" t="e">
        <f>AND(#REF!,"AAAAAB75/5I=")</f>
        <v>#REF!</v>
      </c>
      <c r="ER93" t="e">
        <f>AND(#REF!,"AAAAAB75/5M=")</f>
        <v>#REF!</v>
      </c>
      <c r="ES93" t="e">
        <f>AND(#REF!,"AAAAAB75/5Q=")</f>
        <v>#REF!</v>
      </c>
      <c r="ET93" t="e">
        <f>AND(#REF!,"AAAAAB75/5U=")</f>
        <v>#REF!</v>
      </c>
      <c r="EU93" t="e">
        <f>AND(#REF!,"AAAAAB75/5Y=")</f>
        <v>#REF!</v>
      </c>
      <c r="EV93" t="e">
        <f>AND(#REF!,"AAAAAB75/5c=")</f>
        <v>#REF!</v>
      </c>
      <c r="EW93" t="e">
        <f>AND(#REF!,"AAAAAB75/5g=")</f>
        <v>#REF!</v>
      </c>
      <c r="EX93" t="e">
        <f>AND(#REF!,"AAAAAB75/5k=")</f>
        <v>#REF!</v>
      </c>
      <c r="EY93" t="e">
        <f>AND(#REF!,"AAAAAB75/5o=")</f>
        <v>#REF!</v>
      </c>
      <c r="EZ93" t="e">
        <f>AND(#REF!,"AAAAAB75/5s=")</f>
        <v>#REF!</v>
      </c>
      <c r="FA93" t="e">
        <f>AND(#REF!,"AAAAAB75/5w=")</f>
        <v>#REF!</v>
      </c>
      <c r="FB93" t="e">
        <f>AND(#REF!,"AAAAAB75/50=")</f>
        <v>#REF!</v>
      </c>
      <c r="FC93" t="e">
        <f>AND(#REF!,"AAAAAB75/54=")</f>
        <v>#REF!</v>
      </c>
      <c r="FD93" t="e">
        <f>AND(#REF!,"AAAAAB75/58=")</f>
        <v>#REF!</v>
      </c>
      <c r="FE93" t="e">
        <f>AND(#REF!,"AAAAAB75/6A=")</f>
        <v>#REF!</v>
      </c>
      <c r="FF93" t="e">
        <f>AND(#REF!,"AAAAAB75/6E=")</f>
        <v>#REF!</v>
      </c>
      <c r="FG93" t="e">
        <f>AND(#REF!,"AAAAAB75/6I=")</f>
        <v>#REF!</v>
      </c>
      <c r="FH93" t="e">
        <f>AND(#REF!,"AAAAAB75/6M=")</f>
        <v>#REF!</v>
      </c>
      <c r="FI93" t="e">
        <f>AND(#REF!,"AAAAAB75/6Q=")</f>
        <v>#REF!</v>
      </c>
      <c r="FJ93" t="e">
        <f>AND(#REF!,"AAAAAB75/6U=")</f>
        <v>#REF!</v>
      </c>
      <c r="FK93" t="e">
        <f>AND(#REF!,"AAAAAB75/6Y=")</f>
        <v>#REF!</v>
      </c>
      <c r="FL93" t="e">
        <f>AND(#REF!,"AAAAAB75/6c=")</f>
        <v>#REF!</v>
      </c>
      <c r="FM93" t="e">
        <f>AND(#REF!,"AAAAAB75/6g=")</f>
        <v>#REF!</v>
      </c>
      <c r="FN93" t="e">
        <f>AND(#REF!,"AAAAAB75/6k=")</f>
        <v>#REF!</v>
      </c>
      <c r="FO93" t="e">
        <f>AND(#REF!,"AAAAAB75/6o=")</f>
        <v>#REF!</v>
      </c>
      <c r="FP93" t="e">
        <f>AND(#REF!,"AAAAAB75/6s=")</f>
        <v>#REF!</v>
      </c>
      <c r="FQ93" t="e">
        <f>AND(#REF!,"AAAAAB75/6w=")</f>
        <v>#REF!</v>
      </c>
      <c r="FR93" t="e">
        <f>AND(#REF!,"AAAAAB75/60=")</f>
        <v>#REF!</v>
      </c>
      <c r="FS93" t="e">
        <f>AND(#REF!,"AAAAAB75/64=")</f>
        <v>#REF!</v>
      </c>
      <c r="FT93" t="e">
        <f>AND(#REF!,"AAAAAB75/68=")</f>
        <v>#REF!</v>
      </c>
      <c r="FU93" t="e">
        <f>AND(#REF!,"AAAAAB75/7A=")</f>
        <v>#REF!</v>
      </c>
      <c r="FV93" t="e">
        <f>AND(#REF!,"AAAAAB75/7E=")</f>
        <v>#REF!</v>
      </c>
      <c r="FW93" t="e">
        <f>AND(#REF!,"AAAAAB75/7I=")</f>
        <v>#REF!</v>
      </c>
      <c r="FX93" t="e">
        <f>AND(#REF!,"AAAAAB75/7M=")</f>
        <v>#REF!</v>
      </c>
      <c r="FY93" t="e">
        <f>AND(#REF!,"AAAAAB75/7Q=")</f>
        <v>#REF!</v>
      </c>
      <c r="FZ93" t="e">
        <f>AND(#REF!,"AAAAAB75/7U=")</f>
        <v>#REF!</v>
      </c>
      <c r="GA93" t="e">
        <f>AND(#REF!,"AAAAAB75/7Y=")</f>
        <v>#REF!</v>
      </c>
      <c r="GB93" t="e">
        <f>AND(#REF!,"AAAAAB75/7c=")</f>
        <v>#REF!</v>
      </c>
      <c r="GC93" t="e">
        <f>AND(#REF!,"AAAAAB75/7g=")</f>
        <v>#REF!</v>
      </c>
      <c r="GD93" t="e">
        <f>AND(#REF!,"AAAAAB75/7k=")</f>
        <v>#REF!</v>
      </c>
      <c r="GE93" t="e">
        <f>AND(#REF!,"AAAAAB75/7o=")</f>
        <v>#REF!</v>
      </c>
      <c r="GF93" t="e">
        <f>AND(#REF!,"AAAAAB75/7s=")</f>
        <v>#REF!</v>
      </c>
      <c r="GG93" t="e">
        <f>AND(#REF!,"AAAAAB75/7w=")</f>
        <v>#REF!</v>
      </c>
      <c r="GH93" t="e">
        <f>AND(#REF!,"AAAAAB75/70=")</f>
        <v>#REF!</v>
      </c>
      <c r="GI93" t="e">
        <f>AND(#REF!,"AAAAAB75/74=")</f>
        <v>#REF!</v>
      </c>
      <c r="GJ93" t="e">
        <f>AND(#REF!,"AAAAAB75/78=")</f>
        <v>#REF!</v>
      </c>
      <c r="GK93" t="e">
        <f>AND(#REF!,"AAAAAB75/8A=")</f>
        <v>#REF!</v>
      </c>
      <c r="GL93" t="e">
        <f>AND(#REF!,"AAAAAB75/8E=")</f>
        <v>#REF!</v>
      </c>
      <c r="GM93" t="e">
        <f>AND(#REF!,"AAAAAB75/8I=")</f>
        <v>#REF!</v>
      </c>
      <c r="GN93" t="e">
        <f>AND(#REF!,"AAAAAB75/8M=")</f>
        <v>#REF!</v>
      </c>
      <c r="GO93" t="e">
        <f>AND(#REF!,"AAAAAB75/8Q=")</f>
        <v>#REF!</v>
      </c>
      <c r="GP93" t="e">
        <f>AND(#REF!,"AAAAAB75/8U=")</f>
        <v>#REF!</v>
      </c>
      <c r="GQ93" t="e">
        <f>AND(#REF!,"AAAAAB75/8Y=")</f>
        <v>#REF!</v>
      </c>
      <c r="GR93" t="e">
        <f>AND(#REF!,"AAAAAB75/8c=")</f>
        <v>#REF!</v>
      </c>
      <c r="GS93" t="e">
        <f>AND(#REF!,"AAAAAB75/8g=")</f>
        <v>#REF!</v>
      </c>
      <c r="GT93" t="e">
        <f>AND(#REF!,"AAAAAB75/8k=")</f>
        <v>#REF!</v>
      </c>
      <c r="GU93" t="e">
        <f>AND(#REF!,"AAAAAB75/8o=")</f>
        <v>#REF!</v>
      </c>
      <c r="GV93" t="e">
        <f>AND(#REF!,"AAAAAB75/8s=")</f>
        <v>#REF!</v>
      </c>
      <c r="GW93" t="e">
        <f>AND(#REF!,"AAAAAB75/8w=")</f>
        <v>#REF!</v>
      </c>
      <c r="GX93" t="e">
        <f>AND(#REF!,"AAAAAB75/80=")</f>
        <v>#REF!</v>
      </c>
      <c r="GY93" t="e">
        <f>AND(#REF!,"AAAAAB75/84=")</f>
        <v>#REF!</v>
      </c>
      <c r="GZ93" t="e">
        <f>AND(#REF!,"AAAAAB75/88=")</f>
        <v>#REF!</v>
      </c>
      <c r="HA93" t="e">
        <f>AND(#REF!,"AAAAAB75/9A=")</f>
        <v>#REF!</v>
      </c>
      <c r="HB93" t="e">
        <f>AND(#REF!,"AAAAAB75/9E=")</f>
        <v>#REF!</v>
      </c>
      <c r="HC93" t="e">
        <f>AND(#REF!,"AAAAAB75/9I=")</f>
        <v>#REF!</v>
      </c>
      <c r="HD93" t="e">
        <f>AND(#REF!,"AAAAAB75/9M=")</f>
        <v>#REF!</v>
      </c>
      <c r="HE93" t="e">
        <f>AND(#REF!,"AAAAAB75/9Q=")</f>
        <v>#REF!</v>
      </c>
      <c r="HF93" t="e">
        <f>AND(#REF!,"AAAAAB75/9U=")</f>
        <v>#REF!</v>
      </c>
      <c r="HG93" t="e">
        <f>AND(#REF!,"AAAAAB75/9Y=")</f>
        <v>#REF!</v>
      </c>
      <c r="HH93" t="e">
        <f>AND(#REF!,"AAAAAB75/9c=")</f>
        <v>#REF!</v>
      </c>
      <c r="HI93" t="e">
        <f>AND(#REF!,"AAAAAB75/9g=")</f>
        <v>#REF!</v>
      </c>
      <c r="HJ93" t="e">
        <f>AND(#REF!,"AAAAAB75/9k=")</f>
        <v>#REF!</v>
      </c>
      <c r="HK93" t="e">
        <f>AND(#REF!,"AAAAAB75/9o=")</f>
        <v>#REF!</v>
      </c>
      <c r="HL93" t="e">
        <f>AND(#REF!,"AAAAAB75/9s=")</f>
        <v>#REF!</v>
      </c>
      <c r="HM93" t="e">
        <f>AND(#REF!,"AAAAAB75/9w=")</f>
        <v>#REF!</v>
      </c>
      <c r="HN93" t="e">
        <f>AND(#REF!,"AAAAAB75/90=")</f>
        <v>#REF!</v>
      </c>
      <c r="HO93" t="e">
        <f>AND(#REF!,"AAAAAB75/94=")</f>
        <v>#REF!</v>
      </c>
      <c r="HP93" t="e">
        <f>AND(#REF!,"AAAAAB75/98=")</f>
        <v>#REF!</v>
      </c>
      <c r="HQ93" t="e">
        <f>AND(#REF!,"AAAAAB75/+A=")</f>
        <v>#REF!</v>
      </c>
      <c r="HR93" t="e">
        <f>AND(#REF!,"AAAAAB75/+E=")</f>
        <v>#REF!</v>
      </c>
      <c r="HS93" t="e">
        <f>AND(#REF!,"AAAAAB75/+I=")</f>
        <v>#REF!</v>
      </c>
      <c r="HT93" t="e">
        <f>AND(#REF!,"AAAAAB75/+M=")</f>
        <v>#REF!</v>
      </c>
      <c r="HU93" t="e">
        <f>AND(#REF!,"AAAAAB75/+Q=")</f>
        <v>#REF!</v>
      </c>
      <c r="HV93" t="e">
        <f>AND(#REF!,"AAAAAB75/+U=")</f>
        <v>#REF!</v>
      </c>
      <c r="HW93" t="e">
        <f>AND(#REF!,"AAAAAB75/+Y=")</f>
        <v>#REF!</v>
      </c>
      <c r="HX93" t="e">
        <f>AND(#REF!,"AAAAAB75/+c=")</f>
        <v>#REF!</v>
      </c>
      <c r="HY93" t="e">
        <f>AND(#REF!,"AAAAAB75/+g=")</f>
        <v>#REF!</v>
      </c>
      <c r="HZ93" t="e">
        <f>AND(#REF!,"AAAAAB75/+k=")</f>
        <v>#REF!</v>
      </c>
      <c r="IA93" t="e">
        <f>AND(#REF!,"AAAAAB75/+o=")</f>
        <v>#REF!</v>
      </c>
      <c r="IB93" t="e">
        <f>AND(#REF!,"AAAAAB75/+s=")</f>
        <v>#REF!</v>
      </c>
      <c r="IC93" t="e">
        <f>AND(#REF!,"AAAAAB75/+w=")</f>
        <v>#REF!</v>
      </c>
      <c r="ID93" t="e">
        <f>AND(#REF!,"AAAAAB75/+0=")</f>
        <v>#REF!</v>
      </c>
      <c r="IE93" t="e">
        <f>AND(#REF!,"AAAAAB75/+4=")</f>
        <v>#REF!</v>
      </c>
      <c r="IF93" t="e">
        <f>AND(#REF!,"AAAAAB75/+8=")</f>
        <v>#REF!</v>
      </c>
      <c r="IG93" t="e">
        <f>AND(#REF!,"AAAAAB75//A=")</f>
        <v>#REF!</v>
      </c>
      <c r="IH93" t="e">
        <f>AND(#REF!,"AAAAAB75//E=")</f>
        <v>#REF!</v>
      </c>
      <c r="II93" t="e">
        <f>AND(#REF!,"AAAAAB75//I=")</f>
        <v>#REF!</v>
      </c>
      <c r="IJ93" t="e">
        <f>AND(#REF!,"AAAAAB75//M=")</f>
        <v>#REF!</v>
      </c>
      <c r="IK93" t="e">
        <f>AND(#REF!,"AAAAAB75//Q=")</f>
        <v>#REF!</v>
      </c>
      <c r="IL93" t="e">
        <f>AND(#REF!,"AAAAAB75//U=")</f>
        <v>#REF!</v>
      </c>
      <c r="IM93" t="e">
        <f>AND(#REF!,"AAAAAB75//Y=")</f>
        <v>#REF!</v>
      </c>
      <c r="IN93" t="e">
        <f>AND(#REF!,"AAAAAB75//c=")</f>
        <v>#REF!</v>
      </c>
      <c r="IO93" t="e">
        <f>AND(#REF!,"AAAAAB75//g=")</f>
        <v>#REF!</v>
      </c>
      <c r="IP93" t="e">
        <f>AND(#REF!,"AAAAAB75//k=")</f>
        <v>#REF!</v>
      </c>
      <c r="IQ93" t="e">
        <f>AND(#REF!,"AAAAAB75//o=")</f>
        <v>#REF!</v>
      </c>
      <c r="IR93" t="e">
        <f>AND(#REF!,"AAAAAB75//s=")</f>
        <v>#REF!</v>
      </c>
      <c r="IS93" t="e">
        <f>AND(#REF!,"AAAAAB75//w=")</f>
        <v>#REF!</v>
      </c>
      <c r="IT93" t="e">
        <f>AND(#REF!,"AAAAAB75//0=")</f>
        <v>#REF!</v>
      </c>
      <c r="IU93" t="e">
        <f>AND(#REF!,"AAAAAB75//4=")</f>
        <v>#REF!</v>
      </c>
      <c r="IV93" t="e">
        <f>AND(#REF!,"AAAAAB75//8=")</f>
        <v>#REF!</v>
      </c>
    </row>
    <row r="94" spans="1:256">
      <c r="A94" t="e">
        <f>IF(#REF!,"AAAAAG/rfQA=",0)</f>
        <v>#REF!</v>
      </c>
      <c r="B94" t="e">
        <f>AND(#REF!,"AAAAAG/rfQE=")</f>
        <v>#REF!</v>
      </c>
      <c r="C94" t="e">
        <f>AND(#REF!,"AAAAAG/rfQI=")</f>
        <v>#REF!</v>
      </c>
      <c r="D94" t="e">
        <f>AND(#REF!,"AAAAAG/rfQM=")</f>
        <v>#REF!</v>
      </c>
      <c r="E94" t="e">
        <f>AND(#REF!,"AAAAAG/rfQQ=")</f>
        <v>#REF!</v>
      </c>
      <c r="F94" t="e">
        <f>AND(#REF!,"AAAAAG/rfQU=")</f>
        <v>#REF!</v>
      </c>
      <c r="G94" t="e">
        <f>AND(#REF!,"AAAAAG/rfQY=")</f>
        <v>#REF!</v>
      </c>
      <c r="H94" t="e">
        <f>AND(#REF!,"AAAAAG/rfQc=")</f>
        <v>#REF!</v>
      </c>
      <c r="I94" t="e">
        <f>AND(#REF!,"AAAAAG/rfQg=")</f>
        <v>#REF!</v>
      </c>
      <c r="J94" t="e">
        <f>AND(#REF!,"AAAAAG/rfQk=")</f>
        <v>#REF!</v>
      </c>
      <c r="K94" t="e">
        <f>AND(#REF!,"AAAAAG/rfQo=")</f>
        <v>#REF!</v>
      </c>
      <c r="L94" t="e">
        <f>AND(#REF!,"AAAAAG/rfQs=")</f>
        <v>#REF!</v>
      </c>
      <c r="M94" t="e">
        <f>AND(#REF!,"AAAAAG/rfQw=")</f>
        <v>#REF!</v>
      </c>
      <c r="N94" t="e">
        <f>AND(#REF!,"AAAAAG/rfQ0=")</f>
        <v>#REF!</v>
      </c>
      <c r="O94" t="e">
        <f>AND(#REF!,"AAAAAG/rfQ4=")</f>
        <v>#REF!</v>
      </c>
      <c r="P94" t="e">
        <f>AND(#REF!,"AAAAAG/rfQ8=")</f>
        <v>#REF!</v>
      </c>
      <c r="Q94" t="e">
        <f>AND(#REF!,"AAAAAG/rfRA=")</f>
        <v>#REF!</v>
      </c>
      <c r="R94" t="e">
        <f>AND(#REF!,"AAAAAG/rfRE=")</f>
        <v>#REF!</v>
      </c>
      <c r="S94" t="e">
        <f>AND(#REF!,"AAAAAG/rfRI=")</f>
        <v>#REF!</v>
      </c>
      <c r="T94" t="e">
        <f>AND(#REF!,"AAAAAG/rfRM=")</f>
        <v>#REF!</v>
      </c>
      <c r="U94" t="e">
        <f>AND(#REF!,"AAAAAG/rfRQ=")</f>
        <v>#REF!</v>
      </c>
      <c r="V94" t="e">
        <f>AND(#REF!,"AAAAAG/rfRU=")</f>
        <v>#REF!</v>
      </c>
      <c r="W94" t="e">
        <f>AND(#REF!,"AAAAAG/rfRY=")</f>
        <v>#REF!</v>
      </c>
      <c r="X94" t="e">
        <f>AND(#REF!,"AAAAAG/rfRc=")</f>
        <v>#REF!</v>
      </c>
      <c r="Y94" t="e">
        <f>AND(#REF!,"AAAAAG/rfRg=")</f>
        <v>#REF!</v>
      </c>
      <c r="Z94" t="e">
        <f>AND(#REF!,"AAAAAG/rfRk=")</f>
        <v>#REF!</v>
      </c>
      <c r="AA94" t="e">
        <f>AND(#REF!,"AAAAAG/rfRo=")</f>
        <v>#REF!</v>
      </c>
      <c r="AB94" t="e">
        <f>AND(#REF!,"AAAAAG/rfRs=")</f>
        <v>#REF!</v>
      </c>
      <c r="AC94" t="e">
        <f>AND(#REF!,"AAAAAG/rfRw=")</f>
        <v>#REF!</v>
      </c>
      <c r="AD94" t="e">
        <f>AND(#REF!,"AAAAAG/rfR0=")</f>
        <v>#REF!</v>
      </c>
      <c r="AE94" t="e">
        <f>AND(#REF!,"AAAAAG/rfR4=")</f>
        <v>#REF!</v>
      </c>
      <c r="AF94" t="e">
        <f>AND(#REF!,"AAAAAG/rfR8=")</f>
        <v>#REF!</v>
      </c>
      <c r="AG94" t="e">
        <f>AND(#REF!,"AAAAAG/rfSA=")</f>
        <v>#REF!</v>
      </c>
      <c r="AH94" t="e">
        <f>AND(#REF!,"AAAAAG/rfSE=")</f>
        <v>#REF!</v>
      </c>
      <c r="AI94" t="e">
        <f>AND(#REF!,"AAAAAG/rfSI=")</f>
        <v>#REF!</v>
      </c>
      <c r="AJ94" t="e">
        <f>AND(#REF!,"AAAAAG/rfSM=")</f>
        <v>#REF!</v>
      </c>
      <c r="AK94" t="e">
        <f>AND(#REF!,"AAAAAG/rfSQ=")</f>
        <v>#REF!</v>
      </c>
      <c r="AL94" t="e">
        <f>AND(#REF!,"AAAAAG/rfSU=")</f>
        <v>#REF!</v>
      </c>
      <c r="AM94" t="e">
        <f>AND(#REF!,"AAAAAG/rfSY=")</f>
        <v>#REF!</v>
      </c>
      <c r="AN94" t="e">
        <f>AND(#REF!,"AAAAAG/rfSc=")</f>
        <v>#REF!</v>
      </c>
      <c r="AO94" t="e">
        <f>AND(#REF!,"AAAAAG/rfSg=")</f>
        <v>#REF!</v>
      </c>
      <c r="AP94" t="e">
        <f>AND(#REF!,"AAAAAG/rfSk=")</f>
        <v>#REF!</v>
      </c>
      <c r="AQ94" t="e">
        <f>AND(#REF!,"AAAAAG/rfSo=")</f>
        <v>#REF!</v>
      </c>
      <c r="AR94" t="e">
        <f>AND(#REF!,"AAAAAG/rfSs=")</f>
        <v>#REF!</v>
      </c>
      <c r="AS94" t="e">
        <f>AND(#REF!,"AAAAAG/rfSw=")</f>
        <v>#REF!</v>
      </c>
      <c r="AT94" t="e">
        <f>AND(#REF!,"AAAAAG/rfS0=")</f>
        <v>#REF!</v>
      </c>
      <c r="AU94" t="e">
        <f>AND(#REF!,"AAAAAG/rfS4=")</f>
        <v>#REF!</v>
      </c>
      <c r="AV94" t="e">
        <f>AND(#REF!,"AAAAAG/rfS8=")</f>
        <v>#REF!</v>
      </c>
      <c r="AW94" t="e">
        <f>AND(#REF!,"AAAAAG/rfTA=")</f>
        <v>#REF!</v>
      </c>
      <c r="AX94" t="e">
        <f>AND(#REF!,"AAAAAG/rfTE=")</f>
        <v>#REF!</v>
      </c>
      <c r="AY94" t="e">
        <f>AND(#REF!,"AAAAAG/rfTI=")</f>
        <v>#REF!</v>
      </c>
      <c r="AZ94" t="e">
        <f>AND(#REF!,"AAAAAG/rfTM=")</f>
        <v>#REF!</v>
      </c>
      <c r="BA94" t="e">
        <f>AND(#REF!,"AAAAAG/rfTQ=")</f>
        <v>#REF!</v>
      </c>
      <c r="BB94" t="e">
        <f>AND(#REF!,"AAAAAG/rfTU=")</f>
        <v>#REF!</v>
      </c>
      <c r="BC94" t="e">
        <f>AND(#REF!,"AAAAAG/rfTY=")</f>
        <v>#REF!</v>
      </c>
      <c r="BD94" t="e">
        <f>AND(#REF!,"AAAAAG/rfTc=")</f>
        <v>#REF!</v>
      </c>
      <c r="BE94" t="e">
        <f>AND(#REF!,"AAAAAG/rfTg=")</f>
        <v>#REF!</v>
      </c>
      <c r="BF94" t="e">
        <f>AND(#REF!,"AAAAAG/rfTk=")</f>
        <v>#REF!</v>
      </c>
      <c r="BG94" t="e">
        <f>AND(#REF!,"AAAAAG/rfTo=")</f>
        <v>#REF!</v>
      </c>
      <c r="BH94" t="e">
        <f>AND(#REF!,"AAAAAG/rfTs=")</f>
        <v>#REF!</v>
      </c>
      <c r="BI94" t="e">
        <f>AND(#REF!,"AAAAAG/rfTw=")</f>
        <v>#REF!</v>
      </c>
      <c r="BJ94" t="e">
        <f>AND(#REF!,"AAAAAG/rfT0=")</f>
        <v>#REF!</v>
      </c>
      <c r="BK94" t="e">
        <f>AND(#REF!,"AAAAAG/rfT4=")</f>
        <v>#REF!</v>
      </c>
      <c r="BL94" t="e">
        <f>AND(#REF!,"AAAAAG/rfT8=")</f>
        <v>#REF!</v>
      </c>
      <c r="BM94" t="e">
        <f>AND(#REF!,"AAAAAG/rfUA=")</f>
        <v>#REF!</v>
      </c>
      <c r="BN94" t="e">
        <f>AND(#REF!,"AAAAAG/rfUE=")</f>
        <v>#REF!</v>
      </c>
      <c r="BO94" t="e">
        <f>AND(#REF!,"AAAAAG/rfUI=")</f>
        <v>#REF!</v>
      </c>
      <c r="BP94" t="e">
        <f>AND(#REF!,"AAAAAG/rfUM=")</f>
        <v>#REF!</v>
      </c>
      <c r="BQ94" t="e">
        <f>AND(#REF!,"AAAAAG/rfUQ=")</f>
        <v>#REF!</v>
      </c>
      <c r="BR94" t="e">
        <f>AND(#REF!,"AAAAAG/rfUU=")</f>
        <v>#REF!</v>
      </c>
      <c r="BS94" t="e">
        <f>AND(#REF!,"AAAAAG/rfUY=")</f>
        <v>#REF!</v>
      </c>
      <c r="BT94" t="e">
        <f>AND(#REF!,"AAAAAG/rfUc=")</f>
        <v>#REF!</v>
      </c>
      <c r="BU94" t="e">
        <f>AND(#REF!,"AAAAAG/rfUg=")</f>
        <v>#REF!</v>
      </c>
      <c r="BV94" t="e">
        <f>AND(#REF!,"AAAAAG/rfUk=")</f>
        <v>#REF!</v>
      </c>
      <c r="BW94" t="e">
        <f>AND(#REF!,"AAAAAG/rfUo=")</f>
        <v>#REF!</v>
      </c>
      <c r="BX94" t="e">
        <f>AND(#REF!,"AAAAAG/rfUs=")</f>
        <v>#REF!</v>
      </c>
      <c r="BY94" t="e">
        <f>AND(#REF!,"AAAAAG/rfUw=")</f>
        <v>#REF!</v>
      </c>
      <c r="BZ94" t="e">
        <f>AND(#REF!,"AAAAAG/rfU0=")</f>
        <v>#REF!</v>
      </c>
      <c r="CA94" t="e">
        <f>AND(#REF!,"AAAAAG/rfU4=")</f>
        <v>#REF!</v>
      </c>
      <c r="CB94" t="e">
        <f>AND(#REF!,"AAAAAG/rfU8=")</f>
        <v>#REF!</v>
      </c>
      <c r="CC94" t="e">
        <f>AND(#REF!,"AAAAAG/rfVA=")</f>
        <v>#REF!</v>
      </c>
      <c r="CD94" t="e">
        <f>AND(#REF!,"AAAAAG/rfVE=")</f>
        <v>#REF!</v>
      </c>
      <c r="CE94" t="e">
        <f>AND(#REF!,"AAAAAG/rfVI=")</f>
        <v>#REF!</v>
      </c>
      <c r="CF94" t="e">
        <f>AND(#REF!,"AAAAAG/rfVM=")</f>
        <v>#REF!</v>
      </c>
      <c r="CG94" t="e">
        <f>AND(#REF!,"AAAAAG/rfVQ=")</f>
        <v>#REF!</v>
      </c>
      <c r="CH94" t="e">
        <f>AND(#REF!,"AAAAAG/rfVU=")</f>
        <v>#REF!</v>
      </c>
      <c r="CI94" t="e">
        <f>AND(#REF!,"AAAAAG/rfVY=")</f>
        <v>#REF!</v>
      </c>
      <c r="CJ94" t="e">
        <f>AND(#REF!,"AAAAAG/rfVc=")</f>
        <v>#REF!</v>
      </c>
      <c r="CK94" t="e">
        <f>AND(#REF!,"AAAAAG/rfVg=")</f>
        <v>#REF!</v>
      </c>
      <c r="CL94" t="e">
        <f>AND(#REF!,"AAAAAG/rfVk=")</f>
        <v>#REF!</v>
      </c>
      <c r="CM94" t="e">
        <f>AND(#REF!,"AAAAAG/rfVo=")</f>
        <v>#REF!</v>
      </c>
      <c r="CN94" t="e">
        <f>AND(#REF!,"AAAAAG/rfVs=")</f>
        <v>#REF!</v>
      </c>
      <c r="CO94" t="e">
        <f>AND(#REF!,"AAAAAG/rfVw=")</f>
        <v>#REF!</v>
      </c>
      <c r="CP94" t="e">
        <f>AND(#REF!,"AAAAAG/rfV0=")</f>
        <v>#REF!</v>
      </c>
      <c r="CQ94" t="e">
        <f>AND(#REF!,"AAAAAG/rfV4=")</f>
        <v>#REF!</v>
      </c>
      <c r="CR94" t="e">
        <f>AND(#REF!,"AAAAAG/rfV8=")</f>
        <v>#REF!</v>
      </c>
      <c r="CS94" t="e">
        <f>AND(#REF!,"AAAAAG/rfWA=")</f>
        <v>#REF!</v>
      </c>
      <c r="CT94" t="e">
        <f>AND(#REF!,"AAAAAG/rfWE=")</f>
        <v>#REF!</v>
      </c>
      <c r="CU94" t="e">
        <f>AND(#REF!,"AAAAAG/rfWI=")</f>
        <v>#REF!</v>
      </c>
      <c r="CV94" t="e">
        <f>AND(#REF!,"AAAAAG/rfWM=")</f>
        <v>#REF!</v>
      </c>
      <c r="CW94" t="e">
        <f>AND(#REF!,"AAAAAG/rfWQ=")</f>
        <v>#REF!</v>
      </c>
      <c r="CX94" t="e">
        <f>AND(#REF!,"AAAAAG/rfWU=")</f>
        <v>#REF!</v>
      </c>
      <c r="CY94" t="e">
        <f>AND(#REF!,"AAAAAG/rfWY=")</f>
        <v>#REF!</v>
      </c>
      <c r="CZ94" t="e">
        <f>AND(#REF!,"AAAAAG/rfWc=")</f>
        <v>#REF!</v>
      </c>
      <c r="DA94" t="e">
        <f>AND(#REF!,"AAAAAG/rfWg=")</f>
        <v>#REF!</v>
      </c>
      <c r="DB94" t="e">
        <f>AND(#REF!,"AAAAAG/rfWk=")</f>
        <v>#REF!</v>
      </c>
      <c r="DC94" t="e">
        <f>AND(#REF!,"AAAAAG/rfWo=")</f>
        <v>#REF!</v>
      </c>
      <c r="DD94" t="e">
        <f>AND(#REF!,"AAAAAG/rfWs=")</f>
        <v>#REF!</v>
      </c>
      <c r="DE94" t="e">
        <f>AND(#REF!,"AAAAAG/rfWw=")</f>
        <v>#REF!</v>
      </c>
      <c r="DF94" t="e">
        <f>AND(#REF!,"AAAAAG/rfW0=")</f>
        <v>#REF!</v>
      </c>
      <c r="DG94" t="e">
        <f>AND(#REF!,"AAAAAG/rfW4=")</f>
        <v>#REF!</v>
      </c>
      <c r="DH94" t="e">
        <f>AND(#REF!,"AAAAAG/rfW8=")</f>
        <v>#REF!</v>
      </c>
      <c r="DI94" t="e">
        <f>AND(#REF!,"AAAAAG/rfXA=")</f>
        <v>#REF!</v>
      </c>
      <c r="DJ94" t="e">
        <f>AND(#REF!,"AAAAAG/rfXE=")</f>
        <v>#REF!</v>
      </c>
      <c r="DK94" t="e">
        <f>AND(#REF!,"AAAAAG/rfXI=")</f>
        <v>#REF!</v>
      </c>
      <c r="DL94" t="e">
        <f>AND(#REF!,"AAAAAG/rfXM=")</f>
        <v>#REF!</v>
      </c>
      <c r="DM94" t="e">
        <f>AND(#REF!,"AAAAAG/rfXQ=")</f>
        <v>#REF!</v>
      </c>
      <c r="DN94" t="e">
        <f>AND(#REF!,"AAAAAG/rfXU=")</f>
        <v>#REF!</v>
      </c>
      <c r="DO94" t="e">
        <f>AND(#REF!,"AAAAAG/rfXY=")</f>
        <v>#REF!</v>
      </c>
      <c r="DP94" t="e">
        <f>AND(#REF!,"AAAAAG/rfXc=")</f>
        <v>#REF!</v>
      </c>
      <c r="DQ94" t="e">
        <f>AND(#REF!,"AAAAAG/rfXg=")</f>
        <v>#REF!</v>
      </c>
      <c r="DR94" t="e">
        <f>AND(#REF!,"AAAAAG/rfXk=")</f>
        <v>#REF!</v>
      </c>
      <c r="DS94" t="e">
        <f>AND(#REF!,"AAAAAG/rfXo=")</f>
        <v>#REF!</v>
      </c>
      <c r="DT94" t="e">
        <f>AND(#REF!,"AAAAAG/rfXs=")</f>
        <v>#REF!</v>
      </c>
      <c r="DU94" t="e">
        <f>AND(#REF!,"AAAAAG/rfXw=")</f>
        <v>#REF!</v>
      </c>
      <c r="DV94" t="e">
        <f>AND(#REF!,"AAAAAG/rfX0=")</f>
        <v>#REF!</v>
      </c>
      <c r="DW94" t="e">
        <f>AND(#REF!,"AAAAAG/rfX4=")</f>
        <v>#REF!</v>
      </c>
      <c r="DX94" t="e">
        <f>AND(#REF!,"AAAAAG/rfX8=")</f>
        <v>#REF!</v>
      </c>
      <c r="DY94" t="e">
        <f>IF(#REF!,"AAAAAG/rfYA=",0)</f>
        <v>#REF!</v>
      </c>
      <c r="DZ94" t="e">
        <f>AND(#REF!,"AAAAAG/rfYE=")</f>
        <v>#REF!</v>
      </c>
      <c r="EA94" t="e">
        <f>AND(#REF!,"AAAAAG/rfYI=")</f>
        <v>#REF!</v>
      </c>
      <c r="EB94" t="e">
        <f>AND(#REF!,"AAAAAG/rfYM=")</f>
        <v>#REF!</v>
      </c>
      <c r="EC94" t="e">
        <f>AND(#REF!,"AAAAAG/rfYQ=")</f>
        <v>#REF!</v>
      </c>
      <c r="ED94" t="e">
        <f>AND(#REF!,"AAAAAG/rfYU=")</f>
        <v>#REF!</v>
      </c>
      <c r="EE94" t="e">
        <f>AND(#REF!,"AAAAAG/rfYY=")</f>
        <v>#REF!</v>
      </c>
      <c r="EF94" t="e">
        <f>AND(#REF!,"AAAAAG/rfYc=")</f>
        <v>#REF!</v>
      </c>
      <c r="EG94" t="e">
        <f>AND(#REF!,"AAAAAG/rfYg=")</f>
        <v>#REF!</v>
      </c>
      <c r="EH94" t="e">
        <f>AND(#REF!,"AAAAAG/rfYk=")</f>
        <v>#REF!</v>
      </c>
      <c r="EI94" t="e">
        <f>AND(#REF!,"AAAAAG/rfYo=")</f>
        <v>#REF!</v>
      </c>
      <c r="EJ94" t="e">
        <f>AND(#REF!,"AAAAAG/rfYs=")</f>
        <v>#REF!</v>
      </c>
      <c r="EK94" t="e">
        <f>AND(#REF!,"AAAAAG/rfYw=")</f>
        <v>#REF!</v>
      </c>
      <c r="EL94" t="e">
        <f>AND(#REF!,"AAAAAG/rfY0=")</f>
        <v>#REF!</v>
      </c>
      <c r="EM94" t="e">
        <f>AND(#REF!,"AAAAAG/rfY4=")</f>
        <v>#REF!</v>
      </c>
      <c r="EN94" t="e">
        <f>AND(#REF!,"AAAAAG/rfY8=")</f>
        <v>#REF!</v>
      </c>
      <c r="EO94" t="e">
        <f>AND(#REF!,"AAAAAG/rfZA=")</f>
        <v>#REF!</v>
      </c>
      <c r="EP94" t="e">
        <f>AND(#REF!,"AAAAAG/rfZE=")</f>
        <v>#REF!</v>
      </c>
      <c r="EQ94" t="e">
        <f>AND(#REF!,"AAAAAG/rfZI=")</f>
        <v>#REF!</v>
      </c>
      <c r="ER94" t="e">
        <f>AND(#REF!,"AAAAAG/rfZM=")</f>
        <v>#REF!</v>
      </c>
      <c r="ES94" t="e">
        <f>AND(#REF!,"AAAAAG/rfZQ=")</f>
        <v>#REF!</v>
      </c>
      <c r="ET94" t="e">
        <f>AND(#REF!,"AAAAAG/rfZU=")</f>
        <v>#REF!</v>
      </c>
      <c r="EU94" t="e">
        <f>AND(#REF!,"AAAAAG/rfZY=")</f>
        <v>#REF!</v>
      </c>
      <c r="EV94" t="e">
        <f>AND(#REF!,"AAAAAG/rfZc=")</f>
        <v>#REF!</v>
      </c>
      <c r="EW94" t="e">
        <f>AND(#REF!,"AAAAAG/rfZg=")</f>
        <v>#REF!</v>
      </c>
      <c r="EX94" t="e">
        <f>AND(#REF!,"AAAAAG/rfZk=")</f>
        <v>#REF!</v>
      </c>
      <c r="EY94" t="e">
        <f>AND(#REF!,"AAAAAG/rfZo=")</f>
        <v>#REF!</v>
      </c>
      <c r="EZ94" t="e">
        <f>AND(#REF!,"AAAAAG/rfZs=")</f>
        <v>#REF!</v>
      </c>
      <c r="FA94" t="e">
        <f>AND(#REF!,"AAAAAG/rfZw=")</f>
        <v>#REF!</v>
      </c>
      <c r="FB94" t="e">
        <f>AND(#REF!,"AAAAAG/rfZ0=")</f>
        <v>#REF!</v>
      </c>
      <c r="FC94" t="e">
        <f>AND(#REF!,"AAAAAG/rfZ4=")</f>
        <v>#REF!</v>
      </c>
      <c r="FD94" t="e">
        <f>AND(#REF!,"AAAAAG/rfZ8=")</f>
        <v>#REF!</v>
      </c>
      <c r="FE94" t="e">
        <f>AND(#REF!,"AAAAAG/rfaA=")</f>
        <v>#REF!</v>
      </c>
      <c r="FF94" t="e">
        <f>AND(#REF!,"AAAAAG/rfaE=")</f>
        <v>#REF!</v>
      </c>
      <c r="FG94" t="e">
        <f>AND(#REF!,"AAAAAG/rfaI=")</f>
        <v>#REF!</v>
      </c>
      <c r="FH94" t="e">
        <f>AND(#REF!,"AAAAAG/rfaM=")</f>
        <v>#REF!</v>
      </c>
      <c r="FI94" t="e">
        <f>AND(#REF!,"AAAAAG/rfaQ=")</f>
        <v>#REF!</v>
      </c>
      <c r="FJ94" t="e">
        <f>AND(#REF!,"AAAAAG/rfaU=")</f>
        <v>#REF!</v>
      </c>
      <c r="FK94" t="e">
        <f>AND(#REF!,"AAAAAG/rfaY=")</f>
        <v>#REF!</v>
      </c>
      <c r="FL94" t="e">
        <f>AND(#REF!,"AAAAAG/rfac=")</f>
        <v>#REF!</v>
      </c>
      <c r="FM94" t="e">
        <f>AND(#REF!,"AAAAAG/rfag=")</f>
        <v>#REF!</v>
      </c>
      <c r="FN94" t="e">
        <f>AND(#REF!,"AAAAAG/rfak=")</f>
        <v>#REF!</v>
      </c>
      <c r="FO94" t="e">
        <f>AND(#REF!,"AAAAAG/rfao=")</f>
        <v>#REF!</v>
      </c>
      <c r="FP94" t="e">
        <f>AND(#REF!,"AAAAAG/rfas=")</f>
        <v>#REF!</v>
      </c>
      <c r="FQ94" t="e">
        <f>AND(#REF!,"AAAAAG/rfaw=")</f>
        <v>#REF!</v>
      </c>
      <c r="FR94" t="e">
        <f>AND(#REF!,"AAAAAG/rfa0=")</f>
        <v>#REF!</v>
      </c>
      <c r="FS94" t="e">
        <f>AND(#REF!,"AAAAAG/rfa4=")</f>
        <v>#REF!</v>
      </c>
      <c r="FT94" t="e">
        <f>AND(#REF!,"AAAAAG/rfa8=")</f>
        <v>#REF!</v>
      </c>
      <c r="FU94" t="e">
        <f>AND(#REF!,"AAAAAG/rfbA=")</f>
        <v>#REF!</v>
      </c>
      <c r="FV94" t="e">
        <f>AND(#REF!,"AAAAAG/rfbE=")</f>
        <v>#REF!</v>
      </c>
      <c r="FW94" t="e">
        <f>AND(#REF!,"AAAAAG/rfbI=")</f>
        <v>#REF!</v>
      </c>
      <c r="FX94" t="e">
        <f>AND(#REF!,"AAAAAG/rfbM=")</f>
        <v>#REF!</v>
      </c>
      <c r="FY94" t="e">
        <f>AND(#REF!,"AAAAAG/rfbQ=")</f>
        <v>#REF!</v>
      </c>
      <c r="FZ94" t="e">
        <f>AND(#REF!,"AAAAAG/rfbU=")</f>
        <v>#REF!</v>
      </c>
      <c r="GA94" t="e">
        <f>AND(#REF!,"AAAAAG/rfbY=")</f>
        <v>#REF!</v>
      </c>
      <c r="GB94" t="e">
        <f>AND(#REF!,"AAAAAG/rfbc=")</f>
        <v>#REF!</v>
      </c>
      <c r="GC94" t="e">
        <f>AND(#REF!,"AAAAAG/rfbg=")</f>
        <v>#REF!</v>
      </c>
      <c r="GD94" t="e">
        <f>AND(#REF!,"AAAAAG/rfbk=")</f>
        <v>#REF!</v>
      </c>
      <c r="GE94" t="e">
        <f>AND(#REF!,"AAAAAG/rfbo=")</f>
        <v>#REF!</v>
      </c>
      <c r="GF94" t="e">
        <f>AND(#REF!,"AAAAAG/rfbs=")</f>
        <v>#REF!</v>
      </c>
      <c r="GG94" t="e">
        <f>AND(#REF!,"AAAAAG/rfbw=")</f>
        <v>#REF!</v>
      </c>
      <c r="GH94" t="e">
        <f>AND(#REF!,"AAAAAG/rfb0=")</f>
        <v>#REF!</v>
      </c>
      <c r="GI94" t="e">
        <f>AND(#REF!,"AAAAAG/rfb4=")</f>
        <v>#REF!</v>
      </c>
      <c r="GJ94" t="e">
        <f>AND(#REF!,"AAAAAG/rfb8=")</f>
        <v>#REF!</v>
      </c>
      <c r="GK94" t="e">
        <f>AND(#REF!,"AAAAAG/rfcA=")</f>
        <v>#REF!</v>
      </c>
      <c r="GL94" t="e">
        <f>AND(#REF!,"AAAAAG/rfcE=")</f>
        <v>#REF!</v>
      </c>
      <c r="GM94" t="e">
        <f>AND(#REF!,"AAAAAG/rfcI=")</f>
        <v>#REF!</v>
      </c>
      <c r="GN94" t="e">
        <f>AND(#REF!,"AAAAAG/rfcM=")</f>
        <v>#REF!</v>
      </c>
      <c r="GO94" t="e">
        <f>AND(#REF!,"AAAAAG/rfcQ=")</f>
        <v>#REF!</v>
      </c>
      <c r="GP94" t="e">
        <f>AND(#REF!,"AAAAAG/rfcU=")</f>
        <v>#REF!</v>
      </c>
      <c r="GQ94" t="e">
        <f>AND(#REF!,"AAAAAG/rfcY=")</f>
        <v>#REF!</v>
      </c>
      <c r="GR94" t="e">
        <f>AND(#REF!,"AAAAAG/rfcc=")</f>
        <v>#REF!</v>
      </c>
      <c r="GS94" t="e">
        <f>AND(#REF!,"AAAAAG/rfcg=")</f>
        <v>#REF!</v>
      </c>
      <c r="GT94" t="e">
        <f>AND(#REF!,"AAAAAG/rfck=")</f>
        <v>#REF!</v>
      </c>
      <c r="GU94" t="e">
        <f>AND(#REF!,"AAAAAG/rfco=")</f>
        <v>#REF!</v>
      </c>
      <c r="GV94" t="e">
        <f>AND(#REF!,"AAAAAG/rfcs=")</f>
        <v>#REF!</v>
      </c>
      <c r="GW94" t="e">
        <f>AND(#REF!,"AAAAAG/rfcw=")</f>
        <v>#REF!</v>
      </c>
      <c r="GX94" t="e">
        <f>AND(#REF!,"AAAAAG/rfc0=")</f>
        <v>#REF!</v>
      </c>
      <c r="GY94" t="e">
        <f>AND(#REF!,"AAAAAG/rfc4=")</f>
        <v>#REF!</v>
      </c>
      <c r="GZ94" t="e">
        <f>AND(#REF!,"AAAAAG/rfc8=")</f>
        <v>#REF!</v>
      </c>
      <c r="HA94" t="e">
        <f>AND(#REF!,"AAAAAG/rfdA=")</f>
        <v>#REF!</v>
      </c>
      <c r="HB94" t="e">
        <f>AND(#REF!,"AAAAAG/rfdE=")</f>
        <v>#REF!</v>
      </c>
      <c r="HC94" t="e">
        <f>AND(#REF!,"AAAAAG/rfdI=")</f>
        <v>#REF!</v>
      </c>
      <c r="HD94" t="e">
        <f>AND(#REF!,"AAAAAG/rfdM=")</f>
        <v>#REF!</v>
      </c>
      <c r="HE94" t="e">
        <f>AND(#REF!,"AAAAAG/rfdQ=")</f>
        <v>#REF!</v>
      </c>
      <c r="HF94" t="e">
        <f>AND(#REF!,"AAAAAG/rfdU=")</f>
        <v>#REF!</v>
      </c>
      <c r="HG94" t="e">
        <f>AND(#REF!,"AAAAAG/rfdY=")</f>
        <v>#REF!</v>
      </c>
      <c r="HH94" t="e">
        <f>AND(#REF!,"AAAAAG/rfdc=")</f>
        <v>#REF!</v>
      </c>
      <c r="HI94" t="e">
        <f>AND(#REF!,"AAAAAG/rfdg=")</f>
        <v>#REF!</v>
      </c>
      <c r="HJ94" t="e">
        <f>AND(#REF!,"AAAAAG/rfdk=")</f>
        <v>#REF!</v>
      </c>
      <c r="HK94" t="e">
        <f>AND(#REF!,"AAAAAG/rfdo=")</f>
        <v>#REF!</v>
      </c>
      <c r="HL94" t="e">
        <f>AND(#REF!,"AAAAAG/rfds=")</f>
        <v>#REF!</v>
      </c>
      <c r="HM94" t="e">
        <f>AND(#REF!,"AAAAAG/rfdw=")</f>
        <v>#REF!</v>
      </c>
      <c r="HN94" t="e">
        <f>AND(#REF!,"AAAAAG/rfd0=")</f>
        <v>#REF!</v>
      </c>
      <c r="HO94" t="e">
        <f>AND(#REF!,"AAAAAG/rfd4=")</f>
        <v>#REF!</v>
      </c>
      <c r="HP94" t="e">
        <f>AND(#REF!,"AAAAAG/rfd8=")</f>
        <v>#REF!</v>
      </c>
      <c r="HQ94" t="e">
        <f>AND(#REF!,"AAAAAG/rfeA=")</f>
        <v>#REF!</v>
      </c>
      <c r="HR94" t="e">
        <f>AND(#REF!,"AAAAAG/rfeE=")</f>
        <v>#REF!</v>
      </c>
      <c r="HS94" t="e">
        <f>AND(#REF!,"AAAAAG/rfeI=")</f>
        <v>#REF!</v>
      </c>
      <c r="HT94" t="e">
        <f>AND(#REF!,"AAAAAG/rfeM=")</f>
        <v>#REF!</v>
      </c>
      <c r="HU94" t="e">
        <f>AND(#REF!,"AAAAAG/rfeQ=")</f>
        <v>#REF!</v>
      </c>
      <c r="HV94" t="e">
        <f>AND(#REF!,"AAAAAG/rfeU=")</f>
        <v>#REF!</v>
      </c>
      <c r="HW94" t="e">
        <f>AND(#REF!,"AAAAAG/rfeY=")</f>
        <v>#REF!</v>
      </c>
      <c r="HX94" t="e">
        <f>AND(#REF!,"AAAAAG/rfec=")</f>
        <v>#REF!</v>
      </c>
      <c r="HY94" t="e">
        <f>AND(#REF!,"AAAAAG/rfeg=")</f>
        <v>#REF!</v>
      </c>
      <c r="HZ94" t="e">
        <f>AND(#REF!,"AAAAAG/rfek=")</f>
        <v>#REF!</v>
      </c>
      <c r="IA94" t="e">
        <f>AND(#REF!,"AAAAAG/rfeo=")</f>
        <v>#REF!</v>
      </c>
      <c r="IB94" t="e">
        <f>AND(#REF!,"AAAAAG/rfes=")</f>
        <v>#REF!</v>
      </c>
      <c r="IC94" t="e">
        <f>AND(#REF!,"AAAAAG/rfew=")</f>
        <v>#REF!</v>
      </c>
      <c r="ID94" t="e">
        <f>AND(#REF!,"AAAAAG/rfe0=")</f>
        <v>#REF!</v>
      </c>
      <c r="IE94" t="e">
        <f>AND(#REF!,"AAAAAG/rfe4=")</f>
        <v>#REF!</v>
      </c>
      <c r="IF94" t="e">
        <f>AND(#REF!,"AAAAAG/rfe8=")</f>
        <v>#REF!</v>
      </c>
      <c r="IG94" t="e">
        <f>AND(#REF!,"AAAAAG/rffA=")</f>
        <v>#REF!</v>
      </c>
      <c r="IH94" t="e">
        <f>AND(#REF!,"AAAAAG/rffE=")</f>
        <v>#REF!</v>
      </c>
      <c r="II94" t="e">
        <f>AND(#REF!,"AAAAAG/rffI=")</f>
        <v>#REF!</v>
      </c>
      <c r="IJ94" t="e">
        <f>AND(#REF!,"AAAAAG/rffM=")</f>
        <v>#REF!</v>
      </c>
      <c r="IK94" t="e">
        <f>AND(#REF!,"AAAAAG/rffQ=")</f>
        <v>#REF!</v>
      </c>
      <c r="IL94" t="e">
        <f>AND(#REF!,"AAAAAG/rffU=")</f>
        <v>#REF!</v>
      </c>
      <c r="IM94" t="e">
        <f>AND(#REF!,"AAAAAG/rffY=")</f>
        <v>#REF!</v>
      </c>
      <c r="IN94" t="e">
        <f>AND(#REF!,"AAAAAG/rffc=")</f>
        <v>#REF!</v>
      </c>
      <c r="IO94" t="e">
        <f>AND(#REF!,"AAAAAG/rffg=")</f>
        <v>#REF!</v>
      </c>
      <c r="IP94" t="e">
        <f>AND(#REF!,"AAAAAG/rffk=")</f>
        <v>#REF!</v>
      </c>
      <c r="IQ94" t="e">
        <f>AND(#REF!,"AAAAAG/rffo=")</f>
        <v>#REF!</v>
      </c>
      <c r="IR94" t="e">
        <f>AND(#REF!,"AAAAAG/rffs=")</f>
        <v>#REF!</v>
      </c>
      <c r="IS94" t="e">
        <f>AND(#REF!,"AAAAAG/rffw=")</f>
        <v>#REF!</v>
      </c>
      <c r="IT94" t="e">
        <f>AND(#REF!,"AAAAAG/rff0=")</f>
        <v>#REF!</v>
      </c>
      <c r="IU94" t="e">
        <f>AND(#REF!,"AAAAAG/rff4=")</f>
        <v>#REF!</v>
      </c>
      <c r="IV94" t="e">
        <f>AND(#REF!,"AAAAAG/rff8=")</f>
        <v>#REF!</v>
      </c>
    </row>
    <row r="95" spans="1:256">
      <c r="A95" t="e">
        <f>IF(#REF!,"AAAAAFr29QA=",0)</f>
        <v>#REF!</v>
      </c>
      <c r="B95" t="e">
        <f>AND(#REF!,"AAAAAFr29QE=")</f>
        <v>#REF!</v>
      </c>
      <c r="C95" t="e">
        <f>AND(#REF!,"AAAAAFr29QI=")</f>
        <v>#REF!</v>
      </c>
      <c r="D95" t="e">
        <f>AND(#REF!,"AAAAAFr29QM=")</f>
        <v>#REF!</v>
      </c>
      <c r="E95" t="e">
        <f>AND(#REF!,"AAAAAFr29QQ=")</f>
        <v>#REF!</v>
      </c>
      <c r="F95" t="e">
        <f>AND(#REF!,"AAAAAFr29QU=")</f>
        <v>#REF!</v>
      </c>
      <c r="G95" t="e">
        <f>AND(#REF!,"AAAAAFr29QY=")</f>
        <v>#REF!</v>
      </c>
      <c r="H95" t="e">
        <f>AND(#REF!,"AAAAAFr29Qc=")</f>
        <v>#REF!</v>
      </c>
      <c r="I95" t="e">
        <f>AND(#REF!,"AAAAAFr29Qg=")</f>
        <v>#REF!</v>
      </c>
      <c r="J95" t="e">
        <f>AND(#REF!,"AAAAAFr29Qk=")</f>
        <v>#REF!</v>
      </c>
      <c r="K95" t="e">
        <f>AND(#REF!,"AAAAAFr29Qo=")</f>
        <v>#REF!</v>
      </c>
      <c r="L95" t="e">
        <f>AND(#REF!,"AAAAAFr29Qs=")</f>
        <v>#REF!</v>
      </c>
      <c r="M95" t="e">
        <f>AND(#REF!,"AAAAAFr29Qw=")</f>
        <v>#REF!</v>
      </c>
      <c r="N95" t="e">
        <f>AND(#REF!,"AAAAAFr29Q0=")</f>
        <v>#REF!</v>
      </c>
      <c r="O95" t="e">
        <f>AND(#REF!,"AAAAAFr29Q4=")</f>
        <v>#REF!</v>
      </c>
      <c r="P95" t="e">
        <f>AND(#REF!,"AAAAAFr29Q8=")</f>
        <v>#REF!</v>
      </c>
      <c r="Q95" t="e">
        <f>AND(#REF!,"AAAAAFr29RA=")</f>
        <v>#REF!</v>
      </c>
      <c r="R95" t="e">
        <f>AND(#REF!,"AAAAAFr29RE=")</f>
        <v>#REF!</v>
      </c>
      <c r="S95" t="e">
        <f>AND(#REF!,"AAAAAFr29RI=")</f>
        <v>#REF!</v>
      </c>
      <c r="T95" t="e">
        <f>AND(#REF!,"AAAAAFr29RM=")</f>
        <v>#REF!</v>
      </c>
      <c r="U95" t="e">
        <f>AND(#REF!,"AAAAAFr29RQ=")</f>
        <v>#REF!</v>
      </c>
      <c r="V95" t="e">
        <f>AND(#REF!,"AAAAAFr29RU=")</f>
        <v>#REF!</v>
      </c>
      <c r="W95" t="e">
        <f>AND(#REF!,"AAAAAFr29RY=")</f>
        <v>#REF!</v>
      </c>
      <c r="X95" t="e">
        <f>AND(#REF!,"AAAAAFr29Rc=")</f>
        <v>#REF!</v>
      </c>
      <c r="Y95" t="e">
        <f>AND(#REF!,"AAAAAFr29Rg=")</f>
        <v>#REF!</v>
      </c>
      <c r="Z95" t="e">
        <f>AND(#REF!,"AAAAAFr29Rk=")</f>
        <v>#REF!</v>
      </c>
      <c r="AA95" t="e">
        <f>AND(#REF!,"AAAAAFr29Ro=")</f>
        <v>#REF!</v>
      </c>
      <c r="AB95" t="e">
        <f>AND(#REF!,"AAAAAFr29Rs=")</f>
        <v>#REF!</v>
      </c>
      <c r="AC95" t="e">
        <f>AND(#REF!,"AAAAAFr29Rw=")</f>
        <v>#REF!</v>
      </c>
      <c r="AD95" t="e">
        <f>AND(#REF!,"AAAAAFr29R0=")</f>
        <v>#REF!</v>
      </c>
      <c r="AE95" t="e">
        <f>AND(#REF!,"AAAAAFr29R4=")</f>
        <v>#REF!</v>
      </c>
      <c r="AF95" t="e">
        <f>AND(#REF!,"AAAAAFr29R8=")</f>
        <v>#REF!</v>
      </c>
      <c r="AG95" t="e">
        <f>AND(#REF!,"AAAAAFr29SA=")</f>
        <v>#REF!</v>
      </c>
      <c r="AH95" t="e">
        <f>AND(#REF!,"AAAAAFr29SE=")</f>
        <v>#REF!</v>
      </c>
      <c r="AI95" t="e">
        <f>AND(#REF!,"AAAAAFr29SI=")</f>
        <v>#REF!</v>
      </c>
      <c r="AJ95" t="e">
        <f>AND(#REF!,"AAAAAFr29SM=")</f>
        <v>#REF!</v>
      </c>
      <c r="AK95" t="e">
        <f>AND(#REF!,"AAAAAFr29SQ=")</f>
        <v>#REF!</v>
      </c>
      <c r="AL95" t="e">
        <f>AND(#REF!,"AAAAAFr29SU=")</f>
        <v>#REF!</v>
      </c>
      <c r="AM95" t="e">
        <f>AND(#REF!,"AAAAAFr29SY=")</f>
        <v>#REF!</v>
      </c>
      <c r="AN95" t="e">
        <f>AND(#REF!,"AAAAAFr29Sc=")</f>
        <v>#REF!</v>
      </c>
      <c r="AO95" t="e">
        <f>AND(#REF!,"AAAAAFr29Sg=")</f>
        <v>#REF!</v>
      </c>
      <c r="AP95" t="e">
        <f>AND(#REF!,"AAAAAFr29Sk=")</f>
        <v>#REF!</v>
      </c>
      <c r="AQ95" t="e">
        <f>AND(#REF!,"AAAAAFr29So=")</f>
        <v>#REF!</v>
      </c>
      <c r="AR95" t="e">
        <f>AND(#REF!,"AAAAAFr29Ss=")</f>
        <v>#REF!</v>
      </c>
      <c r="AS95" t="e">
        <f>AND(#REF!,"AAAAAFr29Sw=")</f>
        <v>#REF!</v>
      </c>
      <c r="AT95" t="e">
        <f>AND(#REF!,"AAAAAFr29S0=")</f>
        <v>#REF!</v>
      </c>
      <c r="AU95" t="e">
        <f>AND(#REF!,"AAAAAFr29S4=")</f>
        <v>#REF!</v>
      </c>
      <c r="AV95" t="e">
        <f>AND(#REF!,"AAAAAFr29S8=")</f>
        <v>#REF!</v>
      </c>
      <c r="AW95" t="e">
        <f>AND(#REF!,"AAAAAFr29TA=")</f>
        <v>#REF!</v>
      </c>
      <c r="AX95" t="e">
        <f>AND(#REF!,"AAAAAFr29TE=")</f>
        <v>#REF!</v>
      </c>
      <c r="AY95" t="e">
        <f>AND(#REF!,"AAAAAFr29TI=")</f>
        <v>#REF!</v>
      </c>
      <c r="AZ95" t="e">
        <f>AND(#REF!,"AAAAAFr29TM=")</f>
        <v>#REF!</v>
      </c>
      <c r="BA95" t="e">
        <f>AND(#REF!,"AAAAAFr29TQ=")</f>
        <v>#REF!</v>
      </c>
      <c r="BB95" t="e">
        <f>AND(#REF!,"AAAAAFr29TU=")</f>
        <v>#REF!</v>
      </c>
      <c r="BC95" t="e">
        <f>AND(#REF!,"AAAAAFr29TY=")</f>
        <v>#REF!</v>
      </c>
      <c r="BD95" t="e">
        <f>AND(#REF!,"AAAAAFr29Tc=")</f>
        <v>#REF!</v>
      </c>
      <c r="BE95" t="e">
        <f>AND(#REF!,"AAAAAFr29Tg=")</f>
        <v>#REF!</v>
      </c>
      <c r="BF95" t="e">
        <f>AND(#REF!,"AAAAAFr29Tk=")</f>
        <v>#REF!</v>
      </c>
      <c r="BG95" t="e">
        <f>AND(#REF!,"AAAAAFr29To=")</f>
        <v>#REF!</v>
      </c>
      <c r="BH95" t="e">
        <f>AND(#REF!,"AAAAAFr29Ts=")</f>
        <v>#REF!</v>
      </c>
      <c r="BI95" t="e">
        <f>AND(#REF!,"AAAAAFr29Tw=")</f>
        <v>#REF!</v>
      </c>
      <c r="BJ95" t="e">
        <f>AND(#REF!,"AAAAAFr29T0=")</f>
        <v>#REF!</v>
      </c>
      <c r="BK95" t="e">
        <f>AND(#REF!,"AAAAAFr29T4=")</f>
        <v>#REF!</v>
      </c>
      <c r="BL95" t="e">
        <f>AND(#REF!,"AAAAAFr29T8=")</f>
        <v>#REF!</v>
      </c>
      <c r="BM95" t="e">
        <f>AND(#REF!,"AAAAAFr29UA=")</f>
        <v>#REF!</v>
      </c>
      <c r="BN95" t="e">
        <f>AND(#REF!,"AAAAAFr29UE=")</f>
        <v>#REF!</v>
      </c>
      <c r="BO95" t="e">
        <f>AND(#REF!,"AAAAAFr29UI=")</f>
        <v>#REF!</v>
      </c>
      <c r="BP95" t="e">
        <f>AND(#REF!,"AAAAAFr29UM=")</f>
        <v>#REF!</v>
      </c>
      <c r="BQ95" t="e">
        <f>AND(#REF!,"AAAAAFr29UQ=")</f>
        <v>#REF!</v>
      </c>
      <c r="BR95" t="e">
        <f>AND(#REF!,"AAAAAFr29UU=")</f>
        <v>#REF!</v>
      </c>
      <c r="BS95" t="e">
        <f>AND(#REF!,"AAAAAFr29UY=")</f>
        <v>#REF!</v>
      </c>
      <c r="BT95" t="e">
        <f>AND(#REF!,"AAAAAFr29Uc=")</f>
        <v>#REF!</v>
      </c>
      <c r="BU95" t="e">
        <f>AND(#REF!,"AAAAAFr29Ug=")</f>
        <v>#REF!</v>
      </c>
      <c r="BV95" t="e">
        <f>AND(#REF!,"AAAAAFr29Uk=")</f>
        <v>#REF!</v>
      </c>
      <c r="BW95" t="e">
        <f>AND(#REF!,"AAAAAFr29Uo=")</f>
        <v>#REF!</v>
      </c>
      <c r="BX95" t="e">
        <f>AND(#REF!,"AAAAAFr29Us=")</f>
        <v>#REF!</v>
      </c>
      <c r="BY95" t="e">
        <f>AND(#REF!,"AAAAAFr29Uw=")</f>
        <v>#REF!</v>
      </c>
      <c r="BZ95" t="e">
        <f>AND(#REF!,"AAAAAFr29U0=")</f>
        <v>#REF!</v>
      </c>
      <c r="CA95" t="e">
        <f>AND(#REF!,"AAAAAFr29U4=")</f>
        <v>#REF!</v>
      </c>
      <c r="CB95" t="e">
        <f>AND(#REF!,"AAAAAFr29U8=")</f>
        <v>#REF!</v>
      </c>
      <c r="CC95" t="e">
        <f>AND(#REF!,"AAAAAFr29VA=")</f>
        <v>#REF!</v>
      </c>
      <c r="CD95" t="e">
        <f>AND(#REF!,"AAAAAFr29VE=")</f>
        <v>#REF!</v>
      </c>
      <c r="CE95" t="e">
        <f>AND(#REF!,"AAAAAFr29VI=")</f>
        <v>#REF!</v>
      </c>
      <c r="CF95" t="e">
        <f>AND(#REF!,"AAAAAFr29VM=")</f>
        <v>#REF!</v>
      </c>
      <c r="CG95" t="e">
        <f>AND(#REF!,"AAAAAFr29VQ=")</f>
        <v>#REF!</v>
      </c>
      <c r="CH95" t="e">
        <f>AND(#REF!,"AAAAAFr29VU=")</f>
        <v>#REF!</v>
      </c>
      <c r="CI95" t="e">
        <f>AND(#REF!,"AAAAAFr29VY=")</f>
        <v>#REF!</v>
      </c>
      <c r="CJ95" t="e">
        <f>AND(#REF!,"AAAAAFr29Vc=")</f>
        <v>#REF!</v>
      </c>
      <c r="CK95" t="e">
        <f>AND(#REF!,"AAAAAFr29Vg=")</f>
        <v>#REF!</v>
      </c>
      <c r="CL95" t="e">
        <f>AND(#REF!,"AAAAAFr29Vk=")</f>
        <v>#REF!</v>
      </c>
      <c r="CM95" t="e">
        <f>AND(#REF!,"AAAAAFr29Vo=")</f>
        <v>#REF!</v>
      </c>
      <c r="CN95" t="e">
        <f>AND(#REF!,"AAAAAFr29Vs=")</f>
        <v>#REF!</v>
      </c>
      <c r="CO95" t="e">
        <f>AND(#REF!,"AAAAAFr29Vw=")</f>
        <v>#REF!</v>
      </c>
      <c r="CP95" t="e">
        <f>AND(#REF!,"AAAAAFr29V0=")</f>
        <v>#REF!</v>
      </c>
      <c r="CQ95" t="e">
        <f>AND(#REF!,"AAAAAFr29V4=")</f>
        <v>#REF!</v>
      </c>
      <c r="CR95" t="e">
        <f>AND(#REF!,"AAAAAFr29V8=")</f>
        <v>#REF!</v>
      </c>
      <c r="CS95" t="e">
        <f>AND(#REF!,"AAAAAFr29WA=")</f>
        <v>#REF!</v>
      </c>
      <c r="CT95" t="e">
        <f>AND(#REF!,"AAAAAFr29WE=")</f>
        <v>#REF!</v>
      </c>
      <c r="CU95" t="e">
        <f>AND(#REF!,"AAAAAFr29WI=")</f>
        <v>#REF!</v>
      </c>
      <c r="CV95" t="e">
        <f>AND(#REF!,"AAAAAFr29WM=")</f>
        <v>#REF!</v>
      </c>
      <c r="CW95" t="e">
        <f>AND(#REF!,"AAAAAFr29WQ=")</f>
        <v>#REF!</v>
      </c>
      <c r="CX95" t="e">
        <f>AND(#REF!,"AAAAAFr29WU=")</f>
        <v>#REF!</v>
      </c>
      <c r="CY95" t="e">
        <f>AND(#REF!,"AAAAAFr29WY=")</f>
        <v>#REF!</v>
      </c>
      <c r="CZ95" t="e">
        <f>AND(#REF!,"AAAAAFr29Wc=")</f>
        <v>#REF!</v>
      </c>
      <c r="DA95" t="e">
        <f>AND(#REF!,"AAAAAFr29Wg=")</f>
        <v>#REF!</v>
      </c>
      <c r="DB95" t="e">
        <f>AND(#REF!,"AAAAAFr29Wk=")</f>
        <v>#REF!</v>
      </c>
      <c r="DC95" t="e">
        <f>AND(#REF!,"AAAAAFr29Wo=")</f>
        <v>#REF!</v>
      </c>
      <c r="DD95" t="e">
        <f>AND(#REF!,"AAAAAFr29Ws=")</f>
        <v>#REF!</v>
      </c>
      <c r="DE95" t="e">
        <f>AND(#REF!,"AAAAAFr29Ww=")</f>
        <v>#REF!</v>
      </c>
      <c r="DF95" t="e">
        <f>AND(#REF!,"AAAAAFr29W0=")</f>
        <v>#REF!</v>
      </c>
      <c r="DG95" t="e">
        <f>AND(#REF!,"AAAAAFr29W4=")</f>
        <v>#REF!</v>
      </c>
      <c r="DH95" t="e">
        <f>AND(#REF!,"AAAAAFr29W8=")</f>
        <v>#REF!</v>
      </c>
      <c r="DI95" t="e">
        <f>AND(#REF!,"AAAAAFr29XA=")</f>
        <v>#REF!</v>
      </c>
      <c r="DJ95" t="e">
        <f>AND(#REF!,"AAAAAFr29XE=")</f>
        <v>#REF!</v>
      </c>
      <c r="DK95" t="e">
        <f>AND(#REF!,"AAAAAFr29XI=")</f>
        <v>#REF!</v>
      </c>
      <c r="DL95" t="e">
        <f>AND(#REF!,"AAAAAFr29XM=")</f>
        <v>#REF!</v>
      </c>
      <c r="DM95" t="e">
        <f>AND(#REF!,"AAAAAFr29XQ=")</f>
        <v>#REF!</v>
      </c>
      <c r="DN95" t="e">
        <f>AND(#REF!,"AAAAAFr29XU=")</f>
        <v>#REF!</v>
      </c>
      <c r="DO95" t="e">
        <f>AND(#REF!,"AAAAAFr29XY=")</f>
        <v>#REF!</v>
      </c>
      <c r="DP95" t="e">
        <f>AND(#REF!,"AAAAAFr29Xc=")</f>
        <v>#REF!</v>
      </c>
      <c r="DQ95" t="e">
        <f>AND(#REF!,"AAAAAFr29Xg=")</f>
        <v>#REF!</v>
      </c>
      <c r="DR95" t="e">
        <f>AND(#REF!,"AAAAAFr29Xk=")</f>
        <v>#REF!</v>
      </c>
      <c r="DS95" t="e">
        <f>AND(#REF!,"AAAAAFr29Xo=")</f>
        <v>#REF!</v>
      </c>
      <c r="DT95" t="e">
        <f>AND(#REF!,"AAAAAFr29Xs=")</f>
        <v>#REF!</v>
      </c>
      <c r="DU95" t="e">
        <f>AND(#REF!,"AAAAAFr29Xw=")</f>
        <v>#REF!</v>
      </c>
      <c r="DV95" t="e">
        <f>AND(#REF!,"AAAAAFr29X0=")</f>
        <v>#REF!</v>
      </c>
      <c r="DW95" t="e">
        <f>AND(#REF!,"AAAAAFr29X4=")</f>
        <v>#REF!</v>
      </c>
      <c r="DX95" t="e">
        <f>AND(#REF!,"AAAAAFr29X8=")</f>
        <v>#REF!</v>
      </c>
      <c r="DY95" t="e">
        <f>IF(#REF!,"AAAAAFr29YA=",0)</f>
        <v>#REF!</v>
      </c>
      <c r="DZ95" t="e">
        <f>AND(#REF!,"AAAAAFr29YE=")</f>
        <v>#REF!</v>
      </c>
      <c r="EA95" t="e">
        <f>AND(#REF!,"AAAAAFr29YI=")</f>
        <v>#REF!</v>
      </c>
      <c r="EB95" t="e">
        <f>AND(#REF!,"AAAAAFr29YM=")</f>
        <v>#REF!</v>
      </c>
      <c r="EC95" t="e">
        <f>AND(#REF!,"AAAAAFr29YQ=")</f>
        <v>#REF!</v>
      </c>
      <c r="ED95" t="e">
        <f>AND(#REF!,"AAAAAFr29YU=")</f>
        <v>#REF!</v>
      </c>
      <c r="EE95" t="e">
        <f>AND(#REF!,"AAAAAFr29YY=")</f>
        <v>#REF!</v>
      </c>
      <c r="EF95" t="e">
        <f>AND(#REF!,"AAAAAFr29Yc=")</f>
        <v>#REF!</v>
      </c>
      <c r="EG95" t="e">
        <f>AND(#REF!,"AAAAAFr29Yg=")</f>
        <v>#REF!</v>
      </c>
      <c r="EH95" t="e">
        <f>AND(#REF!,"AAAAAFr29Yk=")</f>
        <v>#REF!</v>
      </c>
      <c r="EI95" t="e">
        <f>AND(#REF!,"AAAAAFr29Yo=")</f>
        <v>#REF!</v>
      </c>
      <c r="EJ95" t="e">
        <f>AND(#REF!,"AAAAAFr29Ys=")</f>
        <v>#REF!</v>
      </c>
      <c r="EK95" t="e">
        <f>AND(#REF!,"AAAAAFr29Yw=")</f>
        <v>#REF!</v>
      </c>
      <c r="EL95" t="e">
        <f>AND(#REF!,"AAAAAFr29Y0=")</f>
        <v>#REF!</v>
      </c>
      <c r="EM95" t="e">
        <f>AND(#REF!,"AAAAAFr29Y4=")</f>
        <v>#REF!</v>
      </c>
      <c r="EN95" t="e">
        <f>AND(#REF!,"AAAAAFr29Y8=")</f>
        <v>#REF!</v>
      </c>
      <c r="EO95" t="e">
        <f>AND(#REF!,"AAAAAFr29ZA=")</f>
        <v>#REF!</v>
      </c>
      <c r="EP95" t="e">
        <f>AND(#REF!,"AAAAAFr29ZE=")</f>
        <v>#REF!</v>
      </c>
      <c r="EQ95" t="e">
        <f>AND(#REF!,"AAAAAFr29ZI=")</f>
        <v>#REF!</v>
      </c>
      <c r="ER95" t="e">
        <f>AND(#REF!,"AAAAAFr29ZM=")</f>
        <v>#REF!</v>
      </c>
      <c r="ES95" t="e">
        <f>AND(#REF!,"AAAAAFr29ZQ=")</f>
        <v>#REF!</v>
      </c>
      <c r="ET95" t="e">
        <f>AND(#REF!,"AAAAAFr29ZU=")</f>
        <v>#REF!</v>
      </c>
      <c r="EU95" t="e">
        <f>AND(#REF!,"AAAAAFr29ZY=")</f>
        <v>#REF!</v>
      </c>
      <c r="EV95" t="e">
        <f>AND(#REF!,"AAAAAFr29Zc=")</f>
        <v>#REF!</v>
      </c>
      <c r="EW95" t="e">
        <f>AND(#REF!,"AAAAAFr29Zg=")</f>
        <v>#REF!</v>
      </c>
      <c r="EX95" t="e">
        <f>AND(#REF!,"AAAAAFr29Zk=")</f>
        <v>#REF!</v>
      </c>
      <c r="EY95" t="e">
        <f>AND(#REF!,"AAAAAFr29Zo=")</f>
        <v>#REF!</v>
      </c>
      <c r="EZ95" t="e">
        <f>AND(#REF!,"AAAAAFr29Zs=")</f>
        <v>#REF!</v>
      </c>
      <c r="FA95" t="e">
        <f>AND(#REF!,"AAAAAFr29Zw=")</f>
        <v>#REF!</v>
      </c>
      <c r="FB95" t="e">
        <f>AND(#REF!,"AAAAAFr29Z0=")</f>
        <v>#REF!</v>
      </c>
      <c r="FC95" t="e">
        <f>AND(#REF!,"AAAAAFr29Z4=")</f>
        <v>#REF!</v>
      </c>
      <c r="FD95" t="e">
        <f>AND(#REF!,"AAAAAFr29Z8=")</f>
        <v>#REF!</v>
      </c>
      <c r="FE95" t="e">
        <f>AND(#REF!,"AAAAAFr29aA=")</f>
        <v>#REF!</v>
      </c>
      <c r="FF95" t="e">
        <f>AND(#REF!,"AAAAAFr29aE=")</f>
        <v>#REF!</v>
      </c>
      <c r="FG95" t="e">
        <f>AND(#REF!,"AAAAAFr29aI=")</f>
        <v>#REF!</v>
      </c>
      <c r="FH95" t="e">
        <f>AND(#REF!,"AAAAAFr29aM=")</f>
        <v>#REF!</v>
      </c>
      <c r="FI95" t="e">
        <f>AND(#REF!,"AAAAAFr29aQ=")</f>
        <v>#REF!</v>
      </c>
      <c r="FJ95" t="e">
        <f>AND(#REF!,"AAAAAFr29aU=")</f>
        <v>#REF!</v>
      </c>
      <c r="FK95" t="e">
        <f>AND(#REF!,"AAAAAFr29aY=")</f>
        <v>#REF!</v>
      </c>
      <c r="FL95" t="e">
        <f>AND(#REF!,"AAAAAFr29ac=")</f>
        <v>#REF!</v>
      </c>
      <c r="FM95" t="e">
        <f>AND(#REF!,"AAAAAFr29ag=")</f>
        <v>#REF!</v>
      </c>
      <c r="FN95" t="e">
        <f>AND(#REF!,"AAAAAFr29ak=")</f>
        <v>#REF!</v>
      </c>
      <c r="FO95" t="e">
        <f>AND(#REF!,"AAAAAFr29ao=")</f>
        <v>#REF!</v>
      </c>
      <c r="FP95" t="e">
        <f>AND(#REF!,"AAAAAFr29as=")</f>
        <v>#REF!</v>
      </c>
      <c r="FQ95" t="e">
        <f>AND(#REF!,"AAAAAFr29aw=")</f>
        <v>#REF!</v>
      </c>
      <c r="FR95" t="e">
        <f>AND(#REF!,"AAAAAFr29a0=")</f>
        <v>#REF!</v>
      </c>
      <c r="FS95" t="e">
        <f>AND(#REF!,"AAAAAFr29a4=")</f>
        <v>#REF!</v>
      </c>
      <c r="FT95" t="e">
        <f>AND(#REF!,"AAAAAFr29a8=")</f>
        <v>#REF!</v>
      </c>
      <c r="FU95" t="e">
        <f>AND(#REF!,"AAAAAFr29bA=")</f>
        <v>#REF!</v>
      </c>
      <c r="FV95" t="e">
        <f>AND(#REF!,"AAAAAFr29bE=")</f>
        <v>#REF!</v>
      </c>
      <c r="FW95" t="e">
        <f>AND(#REF!,"AAAAAFr29bI=")</f>
        <v>#REF!</v>
      </c>
      <c r="FX95" t="e">
        <f>AND(#REF!,"AAAAAFr29bM=")</f>
        <v>#REF!</v>
      </c>
      <c r="FY95" t="e">
        <f>AND(#REF!,"AAAAAFr29bQ=")</f>
        <v>#REF!</v>
      </c>
      <c r="FZ95" t="e">
        <f>AND(#REF!,"AAAAAFr29bU=")</f>
        <v>#REF!</v>
      </c>
      <c r="GA95" t="e">
        <f>AND(#REF!,"AAAAAFr29bY=")</f>
        <v>#REF!</v>
      </c>
      <c r="GB95" t="e">
        <f>AND(#REF!,"AAAAAFr29bc=")</f>
        <v>#REF!</v>
      </c>
      <c r="GC95" t="e">
        <f>AND(#REF!,"AAAAAFr29bg=")</f>
        <v>#REF!</v>
      </c>
      <c r="GD95" t="e">
        <f>AND(#REF!,"AAAAAFr29bk=")</f>
        <v>#REF!</v>
      </c>
      <c r="GE95" t="e">
        <f>AND(#REF!,"AAAAAFr29bo=")</f>
        <v>#REF!</v>
      </c>
      <c r="GF95" t="e">
        <f>AND(#REF!,"AAAAAFr29bs=")</f>
        <v>#REF!</v>
      </c>
      <c r="GG95" t="e">
        <f>AND(#REF!,"AAAAAFr29bw=")</f>
        <v>#REF!</v>
      </c>
      <c r="GH95" t="e">
        <f>AND(#REF!,"AAAAAFr29b0=")</f>
        <v>#REF!</v>
      </c>
      <c r="GI95" t="e">
        <f>AND(#REF!,"AAAAAFr29b4=")</f>
        <v>#REF!</v>
      </c>
      <c r="GJ95" t="e">
        <f>AND(#REF!,"AAAAAFr29b8=")</f>
        <v>#REF!</v>
      </c>
      <c r="GK95" t="e">
        <f>AND(#REF!,"AAAAAFr29cA=")</f>
        <v>#REF!</v>
      </c>
      <c r="GL95" t="e">
        <f>AND(#REF!,"AAAAAFr29cE=")</f>
        <v>#REF!</v>
      </c>
      <c r="GM95" t="e">
        <f>AND(#REF!,"AAAAAFr29cI=")</f>
        <v>#REF!</v>
      </c>
      <c r="GN95" t="e">
        <f>AND(#REF!,"AAAAAFr29cM=")</f>
        <v>#REF!</v>
      </c>
      <c r="GO95" t="e">
        <f>AND(#REF!,"AAAAAFr29cQ=")</f>
        <v>#REF!</v>
      </c>
      <c r="GP95" t="e">
        <f>AND(#REF!,"AAAAAFr29cU=")</f>
        <v>#REF!</v>
      </c>
      <c r="GQ95" t="e">
        <f>AND(#REF!,"AAAAAFr29cY=")</f>
        <v>#REF!</v>
      </c>
      <c r="GR95" t="e">
        <f>AND(#REF!,"AAAAAFr29cc=")</f>
        <v>#REF!</v>
      </c>
      <c r="GS95" t="e">
        <f>AND(#REF!,"AAAAAFr29cg=")</f>
        <v>#REF!</v>
      </c>
      <c r="GT95" t="e">
        <f>AND(#REF!,"AAAAAFr29ck=")</f>
        <v>#REF!</v>
      </c>
      <c r="GU95" t="e">
        <f>AND(#REF!,"AAAAAFr29co=")</f>
        <v>#REF!</v>
      </c>
      <c r="GV95" t="e">
        <f>AND(#REF!,"AAAAAFr29cs=")</f>
        <v>#REF!</v>
      </c>
      <c r="GW95" t="e">
        <f>AND(#REF!,"AAAAAFr29cw=")</f>
        <v>#REF!</v>
      </c>
      <c r="GX95" t="e">
        <f>AND(#REF!,"AAAAAFr29c0=")</f>
        <v>#REF!</v>
      </c>
      <c r="GY95" t="e">
        <f>AND(#REF!,"AAAAAFr29c4=")</f>
        <v>#REF!</v>
      </c>
      <c r="GZ95" t="e">
        <f>AND(#REF!,"AAAAAFr29c8=")</f>
        <v>#REF!</v>
      </c>
      <c r="HA95" t="e">
        <f>AND(#REF!,"AAAAAFr29dA=")</f>
        <v>#REF!</v>
      </c>
      <c r="HB95" t="e">
        <f>AND(#REF!,"AAAAAFr29dE=")</f>
        <v>#REF!</v>
      </c>
      <c r="HC95" t="e">
        <f>AND(#REF!,"AAAAAFr29dI=")</f>
        <v>#REF!</v>
      </c>
      <c r="HD95" t="e">
        <f>AND(#REF!,"AAAAAFr29dM=")</f>
        <v>#REF!</v>
      </c>
      <c r="HE95" t="e">
        <f>AND(#REF!,"AAAAAFr29dQ=")</f>
        <v>#REF!</v>
      </c>
      <c r="HF95" t="e">
        <f>AND(#REF!,"AAAAAFr29dU=")</f>
        <v>#REF!</v>
      </c>
      <c r="HG95" t="e">
        <f>AND(#REF!,"AAAAAFr29dY=")</f>
        <v>#REF!</v>
      </c>
      <c r="HH95" t="e">
        <f>AND(#REF!,"AAAAAFr29dc=")</f>
        <v>#REF!</v>
      </c>
      <c r="HI95" t="e">
        <f>AND(#REF!,"AAAAAFr29dg=")</f>
        <v>#REF!</v>
      </c>
      <c r="HJ95" t="e">
        <f>AND(#REF!,"AAAAAFr29dk=")</f>
        <v>#REF!</v>
      </c>
      <c r="HK95" t="e">
        <f>AND(#REF!,"AAAAAFr29do=")</f>
        <v>#REF!</v>
      </c>
      <c r="HL95" t="e">
        <f>AND(#REF!,"AAAAAFr29ds=")</f>
        <v>#REF!</v>
      </c>
      <c r="HM95" t="e">
        <f>AND(#REF!,"AAAAAFr29dw=")</f>
        <v>#REF!</v>
      </c>
      <c r="HN95" t="e">
        <f>AND(#REF!,"AAAAAFr29d0=")</f>
        <v>#REF!</v>
      </c>
      <c r="HO95" t="e">
        <f>AND(#REF!,"AAAAAFr29d4=")</f>
        <v>#REF!</v>
      </c>
      <c r="HP95" t="e">
        <f>AND(#REF!,"AAAAAFr29d8=")</f>
        <v>#REF!</v>
      </c>
      <c r="HQ95" t="e">
        <f>AND(#REF!,"AAAAAFr29eA=")</f>
        <v>#REF!</v>
      </c>
      <c r="HR95" t="e">
        <f>AND(#REF!,"AAAAAFr29eE=")</f>
        <v>#REF!</v>
      </c>
      <c r="HS95" t="e">
        <f>AND(#REF!,"AAAAAFr29eI=")</f>
        <v>#REF!</v>
      </c>
      <c r="HT95" t="e">
        <f>AND(#REF!,"AAAAAFr29eM=")</f>
        <v>#REF!</v>
      </c>
      <c r="HU95" t="e">
        <f>AND(#REF!,"AAAAAFr29eQ=")</f>
        <v>#REF!</v>
      </c>
      <c r="HV95" t="e">
        <f>AND(#REF!,"AAAAAFr29eU=")</f>
        <v>#REF!</v>
      </c>
      <c r="HW95" t="e">
        <f>AND(#REF!,"AAAAAFr29eY=")</f>
        <v>#REF!</v>
      </c>
      <c r="HX95" t="e">
        <f>AND(#REF!,"AAAAAFr29ec=")</f>
        <v>#REF!</v>
      </c>
      <c r="HY95" t="e">
        <f>AND(#REF!,"AAAAAFr29eg=")</f>
        <v>#REF!</v>
      </c>
      <c r="HZ95" t="e">
        <f>AND(#REF!,"AAAAAFr29ek=")</f>
        <v>#REF!</v>
      </c>
      <c r="IA95" t="e">
        <f>AND(#REF!,"AAAAAFr29eo=")</f>
        <v>#REF!</v>
      </c>
      <c r="IB95" t="e">
        <f>AND(#REF!,"AAAAAFr29es=")</f>
        <v>#REF!</v>
      </c>
      <c r="IC95" t="e">
        <f>AND(#REF!,"AAAAAFr29ew=")</f>
        <v>#REF!</v>
      </c>
      <c r="ID95" t="e">
        <f>AND(#REF!,"AAAAAFr29e0=")</f>
        <v>#REF!</v>
      </c>
      <c r="IE95" t="e">
        <f>AND(#REF!,"AAAAAFr29e4=")</f>
        <v>#REF!</v>
      </c>
      <c r="IF95" t="e">
        <f>AND(#REF!,"AAAAAFr29e8=")</f>
        <v>#REF!</v>
      </c>
      <c r="IG95" t="e">
        <f>AND(#REF!,"AAAAAFr29fA=")</f>
        <v>#REF!</v>
      </c>
      <c r="IH95" t="e">
        <f>AND(#REF!,"AAAAAFr29fE=")</f>
        <v>#REF!</v>
      </c>
      <c r="II95" t="e">
        <f>AND(#REF!,"AAAAAFr29fI=")</f>
        <v>#REF!</v>
      </c>
      <c r="IJ95" t="e">
        <f>AND(#REF!,"AAAAAFr29fM=")</f>
        <v>#REF!</v>
      </c>
      <c r="IK95" t="e">
        <f>AND(#REF!,"AAAAAFr29fQ=")</f>
        <v>#REF!</v>
      </c>
      <c r="IL95" t="e">
        <f>AND(#REF!,"AAAAAFr29fU=")</f>
        <v>#REF!</v>
      </c>
      <c r="IM95" t="e">
        <f>AND(#REF!,"AAAAAFr29fY=")</f>
        <v>#REF!</v>
      </c>
      <c r="IN95" t="e">
        <f>AND(#REF!,"AAAAAFr29fc=")</f>
        <v>#REF!</v>
      </c>
      <c r="IO95" t="e">
        <f>AND(#REF!,"AAAAAFr29fg=")</f>
        <v>#REF!</v>
      </c>
      <c r="IP95" t="e">
        <f>AND(#REF!,"AAAAAFr29fk=")</f>
        <v>#REF!</v>
      </c>
      <c r="IQ95" t="e">
        <f>AND(#REF!,"AAAAAFr29fo=")</f>
        <v>#REF!</v>
      </c>
      <c r="IR95" t="e">
        <f>AND(#REF!,"AAAAAFr29fs=")</f>
        <v>#REF!</v>
      </c>
      <c r="IS95" t="e">
        <f>AND(#REF!,"AAAAAFr29fw=")</f>
        <v>#REF!</v>
      </c>
      <c r="IT95" t="e">
        <f>AND(#REF!,"AAAAAFr29f0=")</f>
        <v>#REF!</v>
      </c>
      <c r="IU95" t="e">
        <f>AND(#REF!,"AAAAAFr29f4=")</f>
        <v>#REF!</v>
      </c>
      <c r="IV95" t="e">
        <f>AND(#REF!,"AAAAAFr29f8=")</f>
        <v>#REF!</v>
      </c>
    </row>
    <row r="96" spans="1:256">
      <c r="A96" t="e">
        <f>AND(#REF!,"AAAAAEf/6wA=")</f>
        <v>#REF!</v>
      </c>
      <c r="B96" t="e">
        <f>AND(#REF!,"AAAAAEf/6wE=")</f>
        <v>#REF!</v>
      </c>
      <c r="C96" t="e">
        <f>AND(#REF!,"AAAAAEf/6wI=")</f>
        <v>#REF!</v>
      </c>
      <c r="D96" t="e">
        <f>AND(#REF!,"AAAAAEf/6wM=")</f>
        <v>#REF!</v>
      </c>
      <c r="E96" t="e">
        <f>AND(#REF!,"AAAAAEf/6wQ=")</f>
        <v>#REF!</v>
      </c>
      <c r="F96" t="e">
        <f>AND(#REF!,"AAAAAEf/6wU=")</f>
        <v>#REF!</v>
      </c>
      <c r="G96" t="e">
        <f>AND(#REF!,"AAAAAEf/6wY=")</f>
        <v>#REF!</v>
      </c>
      <c r="H96" t="e">
        <f>AND(#REF!,"AAAAAEf/6wc=")</f>
        <v>#REF!</v>
      </c>
      <c r="I96" t="e">
        <f>AND(#REF!,"AAAAAEf/6wg=")</f>
        <v>#REF!</v>
      </c>
      <c r="J96" t="e">
        <f>AND(#REF!,"AAAAAEf/6wk=")</f>
        <v>#REF!</v>
      </c>
      <c r="K96" t="e">
        <f>AND(#REF!,"AAAAAEf/6wo=")</f>
        <v>#REF!</v>
      </c>
      <c r="L96" t="e">
        <f>AND(#REF!,"AAAAAEf/6ws=")</f>
        <v>#REF!</v>
      </c>
      <c r="M96" t="e">
        <f>AND(#REF!,"AAAAAEf/6ww=")</f>
        <v>#REF!</v>
      </c>
      <c r="N96" t="e">
        <f>AND(#REF!,"AAAAAEf/6w0=")</f>
        <v>#REF!</v>
      </c>
      <c r="O96" t="e">
        <f>AND(#REF!,"AAAAAEf/6w4=")</f>
        <v>#REF!</v>
      </c>
      <c r="P96" t="e">
        <f>AND(#REF!,"AAAAAEf/6w8=")</f>
        <v>#REF!</v>
      </c>
      <c r="Q96" t="e">
        <f>AND(#REF!,"AAAAAEf/6xA=")</f>
        <v>#REF!</v>
      </c>
      <c r="R96" t="e">
        <f>AND(#REF!,"AAAAAEf/6xE=")</f>
        <v>#REF!</v>
      </c>
      <c r="S96" t="e">
        <f>AND(#REF!,"AAAAAEf/6xI=")</f>
        <v>#REF!</v>
      </c>
      <c r="T96" t="e">
        <f>AND(#REF!,"AAAAAEf/6xM=")</f>
        <v>#REF!</v>
      </c>
      <c r="U96" t="e">
        <f>AND(#REF!,"AAAAAEf/6xQ=")</f>
        <v>#REF!</v>
      </c>
      <c r="V96" t="e">
        <f>AND(#REF!,"AAAAAEf/6xU=")</f>
        <v>#REF!</v>
      </c>
      <c r="W96" t="e">
        <f>AND(#REF!,"AAAAAEf/6xY=")</f>
        <v>#REF!</v>
      </c>
      <c r="X96" t="e">
        <f>AND(#REF!,"AAAAAEf/6xc=")</f>
        <v>#REF!</v>
      </c>
      <c r="Y96" t="e">
        <f>AND(#REF!,"AAAAAEf/6xg=")</f>
        <v>#REF!</v>
      </c>
      <c r="Z96" t="e">
        <f>AND(#REF!,"AAAAAEf/6xk=")</f>
        <v>#REF!</v>
      </c>
      <c r="AA96" t="e">
        <f>AND(#REF!,"AAAAAEf/6xo=")</f>
        <v>#REF!</v>
      </c>
      <c r="AB96" t="e">
        <f>AND(#REF!,"AAAAAEf/6xs=")</f>
        <v>#REF!</v>
      </c>
      <c r="AC96" t="e">
        <f>AND(#REF!,"AAAAAEf/6xw=")</f>
        <v>#REF!</v>
      </c>
      <c r="AD96" t="e">
        <f>AND(#REF!,"AAAAAEf/6x0=")</f>
        <v>#REF!</v>
      </c>
      <c r="AE96" t="e">
        <f>AND(#REF!,"AAAAAEf/6x4=")</f>
        <v>#REF!</v>
      </c>
      <c r="AF96" t="e">
        <f>AND(#REF!,"AAAAAEf/6x8=")</f>
        <v>#REF!</v>
      </c>
      <c r="AG96" t="e">
        <f>AND(#REF!,"AAAAAEf/6yA=")</f>
        <v>#REF!</v>
      </c>
      <c r="AH96" t="e">
        <f>AND(#REF!,"AAAAAEf/6yE=")</f>
        <v>#REF!</v>
      </c>
      <c r="AI96" t="e">
        <f>AND(#REF!,"AAAAAEf/6yI=")</f>
        <v>#REF!</v>
      </c>
      <c r="AJ96" t="e">
        <f>AND(#REF!,"AAAAAEf/6yM=")</f>
        <v>#REF!</v>
      </c>
      <c r="AK96" t="e">
        <f>AND(#REF!,"AAAAAEf/6yQ=")</f>
        <v>#REF!</v>
      </c>
      <c r="AL96" t="e">
        <f>AND(#REF!,"AAAAAEf/6yU=")</f>
        <v>#REF!</v>
      </c>
      <c r="AM96" t="e">
        <f>AND(#REF!,"AAAAAEf/6yY=")</f>
        <v>#REF!</v>
      </c>
      <c r="AN96" t="e">
        <f>AND(#REF!,"AAAAAEf/6yc=")</f>
        <v>#REF!</v>
      </c>
      <c r="AO96" t="e">
        <f>AND(#REF!,"AAAAAEf/6yg=")</f>
        <v>#REF!</v>
      </c>
      <c r="AP96" t="e">
        <f>AND(#REF!,"AAAAAEf/6yk=")</f>
        <v>#REF!</v>
      </c>
      <c r="AQ96" t="e">
        <f>AND(#REF!,"AAAAAEf/6yo=")</f>
        <v>#REF!</v>
      </c>
      <c r="AR96" t="e">
        <f>AND(#REF!,"AAAAAEf/6ys=")</f>
        <v>#REF!</v>
      </c>
      <c r="AS96" t="e">
        <f>AND(#REF!,"AAAAAEf/6yw=")</f>
        <v>#REF!</v>
      </c>
      <c r="AT96" t="e">
        <f>AND(#REF!,"AAAAAEf/6y0=")</f>
        <v>#REF!</v>
      </c>
      <c r="AU96" t="e">
        <f>AND(#REF!,"AAAAAEf/6y4=")</f>
        <v>#REF!</v>
      </c>
      <c r="AV96" t="e">
        <f>AND(#REF!,"AAAAAEf/6y8=")</f>
        <v>#REF!</v>
      </c>
      <c r="AW96" t="e">
        <f>AND(#REF!,"AAAAAEf/6zA=")</f>
        <v>#REF!</v>
      </c>
      <c r="AX96" t="e">
        <f>AND(#REF!,"AAAAAEf/6zE=")</f>
        <v>#REF!</v>
      </c>
      <c r="AY96" t="e">
        <f>AND(#REF!,"AAAAAEf/6zI=")</f>
        <v>#REF!</v>
      </c>
      <c r="AZ96" t="e">
        <f>AND(#REF!,"AAAAAEf/6zM=")</f>
        <v>#REF!</v>
      </c>
      <c r="BA96" t="e">
        <f>AND(#REF!,"AAAAAEf/6zQ=")</f>
        <v>#REF!</v>
      </c>
      <c r="BB96" t="e">
        <f>AND(#REF!,"AAAAAEf/6zU=")</f>
        <v>#REF!</v>
      </c>
      <c r="BC96" t="e">
        <f>AND(#REF!,"AAAAAEf/6zY=")</f>
        <v>#REF!</v>
      </c>
      <c r="BD96" t="e">
        <f>AND(#REF!,"AAAAAEf/6zc=")</f>
        <v>#REF!</v>
      </c>
      <c r="BE96" t="e">
        <f>AND(#REF!,"AAAAAEf/6zg=")</f>
        <v>#REF!</v>
      </c>
      <c r="BF96" t="e">
        <f>AND(#REF!,"AAAAAEf/6zk=")</f>
        <v>#REF!</v>
      </c>
      <c r="BG96" t="e">
        <f>AND(#REF!,"AAAAAEf/6zo=")</f>
        <v>#REF!</v>
      </c>
      <c r="BH96" t="e">
        <f>AND(#REF!,"AAAAAEf/6zs=")</f>
        <v>#REF!</v>
      </c>
      <c r="BI96" t="e">
        <f>AND(#REF!,"AAAAAEf/6zw=")</f>
        <v>#REF!</v>
      </c>
      <c r="BJ96" t="e">
        <f>AND(#REF!,"AAAAAEf/6z0=")</f>
        <v>#REF!</v>
      </c>
      <c r="BK96" t="e">
        <f>AND(#REF!,"AAAAAEf/6z4=")</f>
        <v>#REF!</v>
      </c>
      <c r="BL96" t="e">
        <f>AND(#REF!,"AAAAAEf/6z8=")</f>
        <v>#REF!</v>
      </c>
      <c r="BM96" t="e">
        <f>AND(#REF!,"AAAAAEf/60A=")</f>
        <v>#REF!</v>
      </c>
      <c r="BN96" t="e">
        <f>AND(#REF!,"AAAAAEf/60E=")</f>
        <v>#REF!</v>
      </c>
      <c r="BO96" t="e">
        <f>AND(#REF!,"AAAAAEf/60I=")</f>
        <v>#REF!</v>
      </c>
      <c r="BP96" t="e">
        <f>AND(#REF!,"AAAAAEf/60M=")</f>
        <v>#REF!</v>
      </c>
      <c r="BQ96" t="e">
        <f>AND(#REF!,"AAAAAEf/60Q=")</f>
        <v>#REF!</v>
      </c>
      <c r="BR96" t="e">
        <f>AND(#REF!,"AAAAAEf/60U=")</f>
        <v>#REF!</v>
      </c>
      <c r="BS96" t="e">
        <f>AND(#REF!,"AAAAAEf/60Y=")</f>
        <v>#REF!</v>
      </c>
      <c r="BT96" t="e">
        <f>AND(#REF!,"AAAAAEf/60c=")</f>
        <v>#REF!</v>
      </c>
      <c r="BU96" t="e">
        <f>AND(#REF!,"AAAAAEf/60g=")</f>
        <v>#REF!</v>
      </c>
      <c r="BV96" t="e">
        <f>AND(#REF!,"AAAAAEf/60k=")</f>
        <v>#REF!</v>
      </c>
      <c r="BW96" t="e">
        <f>AND(#REF!,"AAAAAEf/60o=")</f>
        <v>#REF!</v>
      </c>
      <c r="BX96" t="e">
        <f>AND(#REF!,"AAAAAEf/60s=")</f>
        <v>#REF!</v>
      </c>
      <c r="BY96" t="e">
        <f>AND(#REF!,"AAAAAEf/60w=")</f>
        <v>#REF!</v>
      </c>
      <c r="BZ96" t="e">
        <f>AND(#REF!,"AAAAAEf/600=")</f>
        <v>#REF!</v>
      </c>
      <c r="CA96" t="e">
        <f>AND(#REF!,"AAAAAEf/604=")</f>
        <v>#REF!</v>
      </c>
      <c r="CB96" t="e">
        <f>AND(#REF!,"AAAAAEf/608=")</f>
        <v>#REF!</v>
      </c>
      <c r="CC96" t="e">
        <f>AND(#REF!,"AAAAAEf/61A=")</f>
        <v>#REF!</v>
      </c>
      <c r="CD96" t="e">
        <f>AND(#REF!,"AAAAAEf/61E=")</f>
        <v>#REF!</v>
      </c>
      <c r="CE96" t="e">
        <f>AND(#REF!,"AAAAAEf/61I=")</f>
        <v>#REF!</v>
      </c>
      <c r="CF96" t="e">
        <f>AND(#REF!,"AAAAAEf/61M=")</f>
        <v>#REF!</v>
      </c>
      <c r="CG96" t="e">
        <f>AND(#REF!,"AAAAAEf/61Q=")</f>
        <v>#REF!</v>
      </c>
      <c r="CH96" t="e">
        <f>AND(#REF!,"AAAAAEf/61U=")</f>
        <v>#REF!</v>
      </c>
      <c r="CI96" t="e">
        <f>AND(#REF!,"AAAAAEf/61Y=")</f>
        <v>#REF!</v>
      </c>
      <c r="CJ96" t="e">
        <f>AND(#REF!,"AAAAAEf/61c=")</f>
        <v>#REF!</v>
      </c>
      <c r="CK96" t="e">
        <f>AND(#REF!,"AAAAAEf/61g=")</f>
        <v>#REF!</v>
      </c>
      <c r="CL96" t="e">
        <f>AND(#REF!,"AAAAAEf/61k=")</f>
        <v>#REF!</v>
      </c>
      <c r="CM96" t="e">
        <f>AND(#REF!,"AAAAAEf/61o=")</f>
        <v>#REF!</v>
      </c>
      <c r="CN96" t="e">
        <f>AND(#REF!,"AAAAAEf/61s=")</f>
        <v>#REF!</v>
      </c>
      <c r="CO96" t="e">
        <f>AND(#REF!,"AAAAAEf/61w=")</f>
        <v>#REF!</v>
      </c>
      <c r="CP96" t="e">
        <f>AND(#REF!,"AAAAAEf/610=")</f>
        <v>#REF!</v>
      </c>
      <c r="CQ96" t="e">
        <f>AND(#REF!,"AAAAAEf/614=")</f>
        <v>#REF!</v>
      </c>
      <c r="CR96" t="e">
        <f>AND(#REF!,"AAAAAEf/618=")</f>
        <v>#REF!</v>
      </c>
      <c r="CS96" t="e">
        <f>AND(#REF!,"AAAAAEf/62A=")</f>
        <v>#REF!</v>
      </c>
      <c r="CT96" t="e">
        <f>AND(#REF!,"AAAAAEf/62E=")</f>
        <v>#REF!</v>
      </c>
      <c r="CU96" t="e">
        <f>AND(#REF!,"AAAAAEf/62I=")</f>
        <v>#REF!</v>
      </c>
      <c r="CV96" t="e">
        <f>AND(#REF!,"AAAAAEf/62M=")</f>
        <v>#REF!</v>
      </c>
      <c r="CW96" t="e">
        <f>AND(#REF!,"AAAAAEf/62Q=")</f>
        <v>#REF!</v>
      </c>
      <c r="CX96" t="e">
        <f>AND(#REF!,"AAAAAEf/62U=")</f>
        <v>#REF!</v>
      </c>
      <c r="CY96" t="e">
        <f>AND(#REF!,"AAAAAEf/62Y=")</f>
        <v>#REF!</v>
      </c>
      <c r="CZ96" t="e">
        <f>AND(#REF!,"AAAAAEf/62c=")</f>
        <v>#REF!</v>
      </c>
      <c r="DA96" t="e">
        <f>AND(#REF!,"AAAAAEf/62g=")</f>
        <v>#REF!</v>
      </c>
      <c r="DB96" t="e">
        <f>AND(#REF!,"AAAAAEf/62k=")</f>
        <v>#REF!</v>
      </c>
      <c r="DC96" t="e">
        <f>AND(#REF!,"AAAAAEf/62o=")</f>
        <v>#REF!</v>
      </c>
      <c r="DD96" t="e">
        <f>AND(#REF!,"AAAAAEf/62s=")</f>
        <v>#REF!</v>
      </c>
      <c r="DE96" t="e">
        <f>AND(#REF!,"AAAAAEf/62w=")</f>
        <v>#REF!</v>
      </c>
      <c r="DF96" t="e">
        <f>AND(#REF!,"AAAAAEf/620=")</f>
        <v>#REF!</v>
      </c>
      <c r="DG96" t="e">
        <f>AND(#REF!,"AAAAAEf/624=")</f>
        <v>#REF!</v>
      </c>
      <c r="DH96" t="e">
        <f>AND(#REF!,"AAAAAEf/628=")</f>
        <v>#REF!</v>
      </c>
      <c r="DI96" t="e">
        <f>AND(#REF!,"AAAAAEf/63A=")</f>
        <v>#REF!</v>
      </c>
      <c r="DJ96" t="e">
        <f>AND(#REF!,"AAAAAEf/63E=")</f>
        <v>#REF!</v>
      </c>
      <c r="DK96" t="e">
        <f>AND(#REF!,"AAAAAEf/63I=")</f>
        <v>#REF!</v>
      </c>
      <c r="DL96" t="e">
        <f>AND(#REF!,"AAAAAEf/63M=")</f>
        <v>#REF!</v>
      </c>
      <c r="DM96" t="e">
        <f>AND(#REF!,"AAAAAEf/63Q=")</f>
        <v>#REF!</v>
      </c>
      <c r="DN96" t="e">
        <f>AND(#REF!,"AAAAAEf/63U=")</f>
        <v>#REF!</v>
      </c>
      <c r="DO96" t="e">
        <f>AND(#REF!,"AAAAAEf/63Y=")</f>
        <v>#REF!</v>
      </c>
      <c r="DP96" t="e">
        <f>AND(#REF!,"AAAAAEf/63c=")</f>
        <v>#REF!</v>
      </c>
      <c r="DQ96" t="e">
        <f>AND(#REF!,"AAAAAEf/63g=")</f>
        <v>#REF!</v>
      </c>
      <c r="DR96" t="e">
        <f>AND(#REF!,"AAAAAEf/63k=")</f>
        <v>#REF!</v>
      </c>
      <c r="DS96" t="e">
        <f>AND(#REF!,"AAAAAEf/63o=")</f>
        <v>#REF!</v>
      </c>
      <c r="DT96" t="e">
        <f>AND(#REF!,"AAAAAEf/63s=")</f>
        <v>#REF!</v>
      </c>
      <c r="DU96" t="e">
        <f>AND(#REF!,"AAAAAEf/63w=")</f>
        <v>#REF!</v>
      </c>
      <c r="DV96" t="e">
        <f>AND(#REF!,"AAAAAEf/630=")</f>
        <v>#REF!</v>
      </c>
      <c r="DW96" t="e">
        <f>AND(#REF!,"AAAAAEf/634=")</f>
        <v>#REF!</v>
      </c>
      <c r="DX96" t="e">
        <f>AND(#REF!,"AAAAAEf/638=")</f>
        <v>#REF!</v>
      </c>
      <c r="DY96" t="e">
        <f>AND(#REF!,"AAAAAEf/64A=")</f>
        <v>#REF!</v>
      </c>
      <c r="DZ96" t="e">
        <f>AND(#REF!,"AAAAAEf/64E=")</f>
        <v>#REF!</v>
      </c>
      <c r="EA96" t="e">
        <f>AND(#REF!,"AAAAAEf/64I=")</f>
        <v>#REF!</v>
      </c>
      <c r="EB96" t="e">
        <f>AND(#REF!,"AAAAAEf/64M=")</f>
        <v>#REF!</v>
      </c>
      <c r="EC96" t="e">
        <f>AND(#REF!,"AAAAAEf/64Q=")</f>
        <v>#REF!</v>
      </c>
      <c r="ED96" t="e">
        <f>AND(#REF!,"AAAAAEf/64U=")</f>
        <v>#REF!</v>
      </c>
      <c r="EE96" t="e">
        <f>AND(#REF!,"AAAAAEf/64Y=")</f>
        <v>#REF!</v>
      </c>
      <c r="EF96" t="e">
        <f>AND(#REF!,"AAAAAEf/64c=")</f>
        <v>#REF!</v>
      </c>
      <c r="EG96" t="e">
        <f>AND(#REF!,"AAAAAEf/64g=")</f>
        <v>#REF!</v>
      </c>
      <c r="EH96" t="e">
        <f>AND(#REF!,"AAAAAEf/64k=")</f>
        <v>#REF!</v>
      </c>
      <c r="EI96" t="e">
        <f>AND(#REF!,"AAAAAEf/64o=")</f>
        <v>#REF!</v>
      </c>
      <c r="EJ96" t="e">
        <f>AND(#REF!,"AAAAAEf/64s=")</f>
        <v>#REF!</v>
      </c>
      <c r="EK96" t="e">
        <f>AND(#REF!,"AAAAAEf/64w=")</f>
        <v>#REF!</v>
      </c>
      <c r="EL96" t="e">
        <f>AND(#REF!,"AAAAAEf/640=")</f>
        <v>#REF!</v>
      </c>
      <c r="EM96" t="e">
        <f>AND(#REF!,"AAAAAEf/644=")</f>
        <v>#REF!</v>
      </c>
      <c r="EN96" t="e">
        <f>AND(#REF!,"AAAAAEf/648=")</f>
        <v>#REF!</v>
      </c>
      <c r="EO96" t="e">
        <f>AND(#REF!,"AAAAAEf/65A=")</f>
        <v>#REF!</v>
      </c>
      <c r="EP96" t="e">
        <f>AND(#REF!,"AAAAAEf/65E=")</f>
        <v>#REF!</v>
      </c>
      <c r="EQ96" t="e">
        <f>AND(#REF!,"AAAAAEf/65I=")</f>
        <v>#REF!</v>
      </c>
      <c r="ER96" t="e">
        <f>AND(#REF!,"AAAAAEf/65M=")</f>
        <v>#REF!</v>
      </c>
      <c r="ES96" t="e">
        <f>AND(#REF!,"AAAAAEf/65Q=")</f>
        <v>#REF!</v>
      </c>
      <c r="ET96" t="e">
        <f>AND(#REF!,"AAAAAEf/65U=")</f>
        <v>#REF!</v>
      </c>
      <c r="EU96" t="e">
        <f>AND(#REF!,"AAAAAEf/65Y=")</f>
        <v>#REF!</v>
      </c>
      <c r="EV96" t="e">
        <f>AND(#REF!,"AAAAAEf/65c=")</f>
        <v>#REF!</v>
      </c>
      <c r="EW96" t="e">
        <f>AND(#REF!,"AAAAAEf/65g=")</f>
        <v>#REF!</v>
      </c>
      <c r="EX96" t="e">
        <f>AND(#REF!,"AAAAAEf/65k=")</f>
        <v>#REF!</v>
      </c>
      <c r="EY96" t="e">
        <f>AND(#REF!,"AAAAAEf/65o=")</f>
        <v>#REF!</v>
      </c>
      <c r="EZ96" t="e">
        <f>AND(#REF!,"AAAAAEf/65s=")</f>
        <v>#REF!</v>
      </c>
      <c r="FA96" t="e">
        <f>AND(#REF!,"AAAAAEf/65w=")</f>
        <v>#REF!</v>
      </c>
      <c r="FB96" t="e">
        <f>AND(#REF!,"AAAAAEf/650=")</f>
        <v>#REF!</v>
      </c>
      <c r="FC96" t="e">
        <f>AND(#REF!,"AAAAAEf/654=")</f>
        <v>#REF!</v>
      </c>
      <c r="FD96" t="e">
        <f>AND(#REF!,"AAAAAEf/658=")</f>
        <v>#REF!</v>
      </c>
      <c r="FE96" t="e">
        <f>AND(#REF!,"AAAAAEf/66A=")</f>
        <v>#REF!</v>
      </c>
      <c r="FF96" t="e">
        <f>AND(#REF!,"AAAAAEf/66E=")</f>
        <v>#REF!</v>
      </c>
      <c r="FG96" t="e">
        <f>AND(#REF!,"AAAAAEf/66I=")</f>
        <v>#REF!</v>
      </c>
      <c r="FH96" t="e">
        <f>AND(#REF!,"AAAAAEf/66M=")</f>
        <v>#REF!</v>
      </c>
      <c r="FI96" t="e">
        <f>AND(#REF!,"AAAAAEf/66Q=")</f>
        <v>#REF!</v>
      </c>
      <c r="FJ96" t="e">
        <f>AND(#REF!,"AAAAAEf/66U=")</f>
        <v>#REF!</v>
      </c>
      <c r="FK96" t="e">
        <f>AND(#REF!,"AAAAAEf/66Y=")</f>
        <v>#REF!</v>
      </c>
      <c r="FL96" t="e">
        <f>AND(#REF!,"AAAAAEf/66c=")</f>
        <v>#REF!</v>
      </c>
      <c r="FM96" t="e">
        <f>AND(#REF!,"AAAAAEf/66g=")</f>
        <v>#REF!</v>
      </c>
      <c r="FN96" t="e">
        <f>AND(#REF!,"AAAAAEf/66k=")</f>
        <v>#REF!</v>
      </c>
      <c r="FO96" t="e">
        <f>AND(#REF!,"AAAAAEf/66o=")</f>
        <v>#REF!</v>
      </c>
      <c r="FP96" t="e">
        <f>AND(#REF!,"AAAAAEf/66s=")</f>
        <v>#REF!</v>
      </c>
      <c r="FQ96" t="e">
        <f>AND(#REF!,"AAAAAEf/66w=")</f>
        <v>#REF!</v>
      </c>
      <c r="FR96" t="e">
        <f>AND(#REF!,"AAAAAEf/660=")</f>
        <v>#REF!</v>
      </c>
      <c r="FS96" t="e">
        <f>AND(#REF!,"AAAAAEf/664=")</f>
        <v>#REF!</v>
      </c>
      <c r="FT96" t="e">
        <f>AND(#REF!,"AAAAAEf/668=")</f>
        <v>#REF!</v>
      </c>
      <c r="FU96" t="e">
        <f>AND(#REF!,"AAAAAEf/67A=")</f>
        <v>#REF!</v>
      </c>
      <c r="FV96" t="e">
        <f>AND(#REF!,"AAAAAEf/67E=")</f>
        <v>#REF!</v>
      </c>
      <c r="FW96" t="e">
        <f>AND(#REF!,"AAAAAEf/67I=")</f>
        <v>#REF!</v>
      </c>
      <c r="FX96" t="e">
        <f>AND(#REF!,"AAAAAEf/67M=")</f>
        <v>#REF!</v>
      </c>
      <c r="FY96" t="e">
        <f>AND(#REF!,"AAAAAEf/67Q=")</f>
        <v>#REF!</v>
      </c>
      <c r="FZ96" t="e">
        <f>AND(#REF!,"AAAAAEf/67U=")</f>
        <v>#REF!</v>
      </c>
      <c r="GA96" t="e">
        <f>AND(#REF!,"AAAAAEf/67Y=")</f>
        <v>#REF!</v>
      </c>
      <c r="GB96" t="e">
        <f>AND(#REF!,"AAAAAEf/67c=")</f>
        <v>#REF!</v>
      </c>
      <c r="GC96" t="e">
        <f>AND(#REF!,"AAAAAEf/67g=")</f>
        <v>#REF!</v>
      </c>
      <c r="GD96" t="e">
        <f>AND(#REF!,"AAAAAEf/67k=")</f>
        <v>#REF!</v>
      </c>
      <c r="GE96" t="e">
        <f>AND(#REF!,"AAAAAEf/67o=")</f>
        <v>#REF!</v>
      </c>
      <c r="GF96" t="e">
        <f>AND(#REF!,"AAAAAEf/67s=")</f>
        <v>#REF!</v>
      </c>
      <c r="GG96" t="e">
        <f>AND(#REF!,"AAAAAEf/67w=")</f>
        <v>#REF!</v>
      </c>
      <c r="GH96" t="e">
        <f>AND(#REF!,"AAAAAEf/670=")</f>
        <v>#REF!</v>
      </c>
      <c r="GI96" t="e">
        <f>AND(#REF!,"AAAAAEf/674=")</f>
        <v>#REF!</v>
      </c>
      <c r="GJ96" t="e">
        <f>AND(#REF!,"AAAAAEf/678=")</f>
        <v>#REF!</v>
      </c>
      <c r="GK96" t="e">
        <f>AND(#REF!,"AAAAAEf/68A=")</f>
        <v>#REF!</v>
      </c>
      <c r="GL96" t="e">
        <f>AND(#REF!,"AAAAAEf/68E=")</f>
        <v>#REF!</v>
      </c>
      <c r="GM96" t="e">
        <f>AND(#REF!,"AAAAAEf/68I=")</f>
        <v>#REF!</v>
      </c>
      <c r="GN96" t="e">
        <f>AND(#REF!,"AAAAAEf/68M=")</f>
        <v>#REF!</v>
      </c>
      <c r="GO96" t="e">
        <f>AND(#REF!,"AAAAAEf/68Q=")</f>
        <v>#REF!</v>
      </c>
      <c r="GP96" t="e">
        <f>AND(#REF!,"AAAAAEf/68U=")</f>
        <v>#REF!</v>
      </c>
      <c r="GQ96" t="e">
        <f>AND(#REF!,"AAAAAEf/68Y=")</f>
        <v>#REF!</v>
      </c>
      <c r="GR96" t="e">
        <f>AND(#REF!,"AAAAAEf/68c=")</f>
        <v>#REF!</v>
      </c>
      <c r="GS96" t="e">
        <f>AND(#REF!,"AAAAAEf/68g=")</f>
        <v>#REF!</v>
      </c>
      <c r="GT96" t="e">
        <f>AND(#REF!,"AAAAAEf/68k=")</f>
        <v>#REF!</v>
      </c>
      <c r="GU96" t="e">
        <f>AND(#REF!,"AAAAAEf/68o=")</f>
        <v>#REF!</v>
      </c>
      <c r="GV96" t="e">
        <f>AND(#REF!,"AAAAAEf/68s=")</f>
        <v>#REF!</v>
      </c>
      <c r="GW96" t="e">
        <f>AND(#REF!,"AAAAAEf/68w=")</f>
        <v>#REF!</v>
      </c>
      <c r="GX96" t="e">
        <f>AND(#REF!,"AAAAAEf/680=")</f>
        <v>#REF!</v>
      </c>
      <c r="GY96" t="e">
        <f>AND(#REF!,"AAAAAEf/684=")</f>
        <v>#REF!</v>
      </c>
      <c r="GZ96" t="e">
        <f>AND(#REF!,"AAAAAEf/688=")</f>
        <v>#REF!</v>
      </c>
      <c r="HA96" t="e">
        <f>AND(#REF!,"AAAAAEf/69A=")</f>
        <v>#REF!</v>
      </c>
      <c r="HB96" t="e">
        <f>AND(#REF!,"AAAAAEf/69E=")</f>
        <v>#REF!</v>
      </c>
      <c r="HC96" t="e">
        <f>AND(#REF!,"AAAAAEf/69I=")</f>
        <v>#REF!</v>
      </c>
      <c r="HD96" t="e">
        <f>AND(#REF!,"AAAAAEf/69M=")</f>
        <v>#REF!</v>
      </c>
      <c r="HE96" t="e">
        <f>AND(#REF!,"AAAAAEf/69Q=")</f>
        <v>#REF!</v>
      </c>
      <c r="HF96" t="e">
        <f>AND(#REF!,"AAAAAEf/69U=")</f>
        <v>#REF!</v>
      </c>
      <c r="HG96" t="e">
        <f>AND(#REF!,"AAAAAEf/69Y=")</f>
        <v>#REF!</v>
      </c>
      <c r="HH96" t="e">
        <f>AND(#REF!,"AAAAAEf/69c=")</f>
        <v>#REF!</v>
      </c>
      <c r="HI96" t="e">
        <f>AND(#REF!,"AAAAAEf/69g=")</f>
        <v>#REF!</v>
      </c>
      <c r="HJ96" t="e">
        <f>AND(#REF!,"AAAAAEf/69k=")</f>
        <v>#REF!</v>
      </c>
      <c r="HK96" t="e">
        <f>AND(#REF!,"AAAAAEf/69o=")</f>
        <v>#REF!</v>
      </c>
      <c r="HL96" t="e">
        <f>AND(#REF!,"AAAAAEf/69s=")</f>
        <v>#REF!</v>
      </c>
      <c r="HM96" t="e">
        <f>AND(#REF!,"AAAAAEf/69w=")</f>
        <v>#REF!</v>
      </c>
      <c r="HN96" t="e">
        <f>AND(#REF!,"AAAAAEf/690=")</f>
        <v>#REF!</v>
      </c>
      <c r="HO96" t="e">
        <f>AND(#REF!,"AAAAAEf/694=")</f>
        <v>#REF!</v>
      </c>
      <c r="HP96" t="e">
        <f>AND(#REF!,"AAAAAEf/698=")</f>
        <v>#REF!</v>
      </c>
      <c r="HQ96" t="e">
        <f>AND(#REF!,"AAAAAEf/6+A=")</f>
        <v>#REF!</v>
      </c>
      <c r="HR96" t="e">
        <f>AND(#REF!,"AAAAAEf/6+E=")</f>
        <v>#REF!</v>
      </c>
      <c r="HS96" t="e">
        <f>AND(#REF!,"AAAAAEf/6+I=")</f>
        <v>#REF!</v>
      </c>
      <c r="HT96" t="e">
        <f>AND(#REF!,"AAAAAEf/6+M=")</f>
        <v>#REF!</v>
      </c>
      <c r="HU96" t="e">
        <f>AND(#REF!,"AAAAAEf/6+Q=")</f>
        <v>#REF!</v>
      </c>
      <c r="HV96" t="e">
        <f>AND(#REF!,"AAAAAEf/6+U=")</f>
        <v>#REF!</v>
      </c>
      <c r="HW96" t="e">
        <f>AND(#REF!,"AAAAAEf/6+Y=")</f>
        <v>#REF!</v>
      </c>
      <c r="HX96" t="e">
        <f>AND(#REF!,"AAAAAEf/6+c=")</f>
        <v>#REF!</v>
      </c>
      <c r="HY96" t="e">
        <f>AND(#REF!,"AAAAAEf/6+g=")</f>
        <v>#REF!</v>
      </c>
      <c r="HZ96" t="e">
        <f>AND(#REF!,"AAAAAEf/6+k=")</f>
        <v>#REF!</v>
      </c>
      <c r="IA96" t="e">
        <f>AND(#REF!,"AAAAAEf/6+o=")</f>
        <v>#REF!</v>
      </c>
      <c r="IB96" t="e">
        <f>AND(#REF!,"AAAAAEf/6+s=")</f>
        <v>#REF!</v>
      </c>
      <c r="IC96" t="e">
        <f>AND(#REF!,"AAAAAEf/6+w=")</f>
        <v>#REF!</v>
      </c>
      <c r="ID96" t="e">
        <f>AND(#REF!,"AAAAAEf/6+0=")</f>
        <v>#REF!</v>
      </c>
      <c r="IE96" t="e">
        <f>AND(#REF!,"AAAAAEf/6+4=")</f>
        <v>#REF!</v>
      </c>
      <c r="IF96" t="e">
        <f>AND(#REF!,"AAAAAEf/6+8=")</f>
        <v>#REF!</v>
      </c>
      <c r="IG96" t="e">
        <f>AND(#REF!,"AAAAAEf/6/A=")</f>
        <v>#REF!</v>
      </c>
      <c r="IH96" t="e">
        <f>AND(#REF!,"AAAAAEf/6/E=")</f>
        <v>#REF!</v>
      </c>
      <c r="II96" t="e">
        <f>AND(#REF!,"AAAAAEf/6/I=")</f>
        <v>#REF!</v>
      </c>
      <c r="IJ96" t="e">
        <f>AND(#REF!,"AAAAAEf/6/M=")</f>
        <v>#REF!</v>
      </c>
      <c r="IK96" t="e">
        <f>AND(#REF!,"AAAAAEf/6/Q=")</f>
        <v>#REF!</v>
      </c>
      <c r="IL96" t="e">
        <f>AND(#REF!,"AAAAAEf/6/U=")</f>
        <v>#REF!</v>
      </c>
      <c r="IM96" t="e">
        <f>AND(#REF!,"AAAAAEf/6/Y=")</f>
        <v>#REF!</v>
      </c>
      <c r="IN96" t="e">
        <f>AND(#REF!,"AAAAAEf/6/c=")</f>
        <v>#REF!</v>
      </c>
      <c r="IO96" t="e">
        <f>AND(#REF!,"AAAAAEf/6/g=")</f>
        <v>#REF!</v>
      </c>
      <c r="IP96" t="e">
        <f>AND(#REF!,"AAAAAEf/6/k=")</f>
        <v>#REF!</v>
      </c>
      <c r="IQ96" t="e">
        <f>AND(#REF!,"AAAAAEf/6/o=")</f>
        <v>#REF!</v>
      </c>
      <c r="IR96" t="e">
        <f>AND(#REF!,"AAAAAEf/6/s=")</f>
        <v>#REF!</v>
      </c>
      <c r="IS96" t="e">
        <f>AND(#REF!,"AAAAAEf/6/w=")</f>
        <v>#REF!</v>
      </c>
      <c r="IT96" t="e">
        <f>AND(#REF!,"AAAAAEf/6/0=")</f>
        <v>#REF!</v>
      </c>
      <c r="IU96" t="e">
        <f>AND(#REF!,"AAAAAEf/6/4=")</f>
        <v>#REF!</v>
      </c>
      <c r="IV96" t="e">
        <f>AND(#REF!,"AAAAAEf/6/8=")</f>
        <v>#REF!</v>
      </c>
    </row>
    <row r="97" spans="1:256">
      <c r="A97" t="e">
        <f>AND(#REF!,"AAAAAH7pHwA=")</f>
        <v>#REF!</v>
      </c>
      <c r="B97" t="e">
        <f>AND(#REF!,"AAAAAH7pHwE=")</f>
        <v>#REF!</v>
      </c>
      <c r="C97" t="e">
        <f>AND(#REF!,"AAAAAH7pHwI=")</f>
        <v>#REF!</v>
      </c>
      <c r="D97" t="e">
        <f>AND(#REF!,"AAAAAH7pHwM=")</f>
        <v>#REF!</v>
      </c>
      <c r="E97" t="e">
        <f>AND(#REF!,"AAAAAH7pHwQ=")</f>
        <v>#REF!</v>
      </c>
      <c r="F97" t="e">
        <f>AND(#REF!,"AAAAAH7pHwU=")</f>
        <v>#REF!</v>
      </c>
      <c r="G97" t="e">
        <f>AND(#REF!,"AAAAAH7pHwY=")</f>
        <v>#REF!</v>
      </c>
      <c r="H97" t="e">
        <f>AND(#REF!,"AAAAAH7pHwc=")</f>
        <v>#REF!</v>
      </c>
      <c r="I97" t="e">
        <f>AND(#REF!,"AAAAAH7pHwg=")</f>
        <v>#REF!</v>
      </c>
      <c r="J97" t="e">
        <f>AND(#REF!,"AAAAAH7pHwk=")</f>
        <v>#REF!</v>
      </c>
      <c r="K97" t="e">
        <f>AND(#REF!,"AAAAAH7pHwo=")</f>
        <v>#REF!</v>
      </c>
      <c r="L97" t="e">
        <f>AND(#REF!,"AAAAAH7pHws=")</f>
        <v>#REF!</v>
      </c>
      <c r="M97" t="e">
        <f>AND(#REF!,"AAAAAH7pHww=")</f>
        <v>#REF!</v>
      </c>
      <c r="N97" t="e">
        <f>AND(#REF!,"AAAAAH7pHw0=")</f>
        <v>#REF!</v>
      </c>
      <c r="O97" t="e">
        <f>AND(#REF!,"AAAAAH7pHw4=")</f>
        <v>#REF!</v>
      </c>
      <c r="P97" t="e">
        <f>AND(#REF!,"AAAAAH7pHw8=")</f>
        <v>#REF!</v>
      </c>
      <c r="Q97" t="e">
        <f>AND(#REF!,"AAAAAH7pHxA=")</f>
        <v>#REF!</v>
      </c>
      <c r="R97" t="e">
        <f>AND(#REF!,"AAAAAH7pHxE=")</f>
        <v>#REF!</v>
      </c>
      <c r="S97" t="e">
        <f>AND(#REF!,"AAAAAH7pHxI=")</f>
        <v>#REF!</v>
      </c>
      <c r="T97" t="e">
        <f>AND(#REF!,"AAAAAH7pHxM=")</f>
        <v>#REF!</v>
      </c>
      <c r="U97" t="e">
        <f>AND(#REF!,"AAAAAH7pHxQ=")</f>
        <v>#REF!</v>
      </c>
      <c r="V97" t="e">
        <f>AND(#REF!,"AAAAAH7pHxU=")</f>
        <v>#REF!</v>
      </c>
      <c r="W97" t="e">
        <f>AND(#REF!,"AAAAAH7pHxY=")</f>
        <v>#REF!</v>
      </c>
      <c r="X97" t="e">
        <f>AND(#REF!,"AAAAAH7pHxc=")</f>
        <v>#REF!</v>
      </c>
      <c r="Y97" t="e">
        <f>AND(#REF!,"AAAAAH7pHxg=")</f>
        <v>#REF!</v>
      </c>
      <c r="Z97" t="e">
        <f>AND(#REF!,"AAAAAH7pHxk=")</f>
        <v>#REF!</v>
      </c>
      <c r="AA97" t="e">
        <f>AND(#REF!,"AAAAAH7pHxo=")</f>
        <v>#REF!</v>
      </c>
      <c r="AB97" t="e">
        <f>AND(#REF!,"AAAAAH7pHxs=")</f>
        <v>#REF!</v>
      </c>
      <c r="AC97" t="e">
        <f>AND(#REF!,"AAAAAH7pHxw=")</f>
        <v>#REF!</v>
      </c>
      <c r="AD97" t="e">
        <f>AND(#REF!,"AAAAAH7pHx0=")</f>
        <v>#REF!</v>
      </c>
      <c r="AE97" t="e">
        <f>AND(#REF!,"AAAAAH7pHx4=")</f>
        <v>#REF!</v>
      </c>
      <c r="AF97" t="e">
        <f>AND(#REF!,"AAAAAH7pHx8=")</f>
        <v>#REF!</v>
      </c>
      <c r="AG97" t="e">
        <f>AND(#REF!,"AAAAAH7pHyA=")</f>
        <v>#REF!</v>
      </c>
      <c r="AH97" t="e">
        <f>AND(#REF!,"AAAAAH7pHyE=")</f>
        <v>#REF!</v>
      </c>
      <c r="AI97" t="e">
        <f>AND(#REF!,"AAAAAH7pHyI=")</f>
        <v>#REF!</v>
      </c>
      <c r="AJ97" t="e">
        <f>AND(#REF!,"AAAAAH7pHyM=")</f>
        <v>#REF!</v>
      </c>
      <c r="AK97" t="e">
        <f>AND(#REF!,"AAAAAH7pHyQ=")</f>
        <v>#REF!</v>
      </c>
      <c r="AL97" t="e">
        <f>AND(#REF!,"AAAAAH7pHyU=")</f>
        <v>#REF!</v>
      </c>
      <c r="AM97" t="e">
        <f>AND(#REF!,"AAAAAH7pHyY=")</f>
        <v>#REF!</v>
      </c>
      <c r="AN97" t="e">
        <f>AND(#REF!,"AAAAAH7pHyc=")</f>
        <v>#REF!</v>
      </c>
      <c r="AO97" t="e">
        <f>AND(#REF!,"AAAAAH7pHyg=")</f>
        <v>#REF!</v>
      </c>
      <c r="AP97" t="e">
        <f>AND(#REF!,"AAAAAH7pHyk=")</f>
        <v>#REF!</v>
      </c>
      <c r="AQ97" t="e">
        <f>AND(#REF!,"AAAAAH7pHyo=")</f>
        <v>#REF!</v>
      </c>
      <c r="AR97" t="e">
        <f>AND(#REF!,"AAAAAH7pHys=")</f>
        <v>#REF!</v>
      </c>
      <c r="AS97" t="e">
        <f>AND(#REF!,"AAAAAH7pHyw=")</f>
        <v>#REF!</v>
      </c>
      <c r="AT97" t="e">
        <f>AND(#REF!,"AAAAAH7pHy0=")</f>
        <v>#REF!</v>
      </c>
      <c r="AU97" t="e">
        <f>AND(#REF!,"AAAAAH7pHy4=")</f>
        <v>#REF!</v>
      </c>
      <c r="AV97" t="e">
        <f>AND(#REF!,"AAAAAH7pHy8=")</f>
        <v>#REF!</v>
      </c>
      <c r="AW97" t="e">
        <f>AND(#REF!,"AAAAAH7pHzA=")</f>
        <v>#REF!</v>
      </c>
      <c r="AX97" t="e">
        <f>AND(#REF!,"AAAAAH7pHzE=")</f>
        <v>#REF!</v>
      </c>
      <c r="AY97" t="e">
        <f>AND(#REF!,"AAAAAH7pHzI=")</f>
        <v>#REF!</v>
      </c>
      <c r="AZ97" t="e">
        <f>AND(#REF!,"AAAAAH7pHzM=")</f>
        <v>#REF!</v>
      </c>
      <c r="BA97" t="e">
        <f>AND(#REF!,"AAAAAH7pHzQ=")</f>
        <v>#REF!</v>
      </c>
      <c r="BB97" t="e">
        <f>AND(#REF!,"AAAAAH7pHzU=")</f>
        <v>#REF!</v>
      </c>
      <c r="BC97" t="e">
        <f>AND(#REF!,"AAAAAH7pHzY=")</f>
        <v>#REF!</v>
      </c>
      <c r="BD97" t="e">
        <f>AND(#REF!,"AAAAAH7pHzc=")</f>
        <v>#REF!</v>
      </c>
      <c r="BE97" t="e">
        <f>AND(#REF!,"AAAAAH7pHzg=")</f>
        <v>#REF!</v>
      </c>
      <c r="BF97" t="e">
        <f>AND(#REF!,"AAAAAH7pHzk=")</f>
        <v>#REF!</v>
      </c>
      <c r="BG97" t="e">
        <f>AND(#REF!,"AAAAAH7pHzo=")</f>
        <v>#REF!</v>
      </c>
      <c r="BH97" t="e">
        <f>AND(#REF!,"AAAAAH7pHzs=")</f>
        <v>#REF!</v>
      </c>
      <c r="BI97" t="e">
        <f>AND(#REF!,"AAAAAH7pHzw=")</f>
        <v>#REF!</v>
      </c>
      <c r="BJ97" t="e">
        <f>AND(#REF!,"AAAAAH7pHz0=")</f>
        <v>#REF!</v>
      </c>
      <c r="BK97" t="e">
        <f>AND(#REF!,"AAAAAH7pHz4=")</f>
        <v>#REF!</v>
      </c>
      <c r="BL97" t="e">
        <f>AND(#REF!,"AAAAAH7pHz8=")</f>
        <v>#REF!</v>
      </c>
      <c r="BM97" t="e">
        <f>AND(#REF!,"AAAAAH7pH0A=")</f>
        <v>#REF!</v>
      </c>
      <c r="BN97" t="e">
        <f>AND(#REF!,"AAAAAH7pH0E=")</f>
        <v>#REF!</v>
      </c>
      <c r="BO97" t="e">
        <f>AND(#REF!,"AAAAAH7pH0I=")</f>
        <v>#REF!</v>
      </c>
      <c r="BP97" t="e">
        <f>AND(#REF!,"AAAAAH7pH0M=")</f>
        <v>#REF!</v>
      </c>
      <c r="BQ97" t="e">
        <f>AND(#REF!,"AAAAAH7pH0Q=")</f>
        <v>#REF!</v>
      </c>
      <c r="BR97" t="e">
        <f>AND(#REF!,"AAAAAH7pH0U=")</f>
        <v>#REF!</v>
      </c>
      <c r="BS97" t="e">
        <f>AND(#REF!,"AAAAAH7pH0Y=")</f>
        <v>#REF!</v>
      </c>
      <c r="BT97" t="e">
        <f>AND(#REF!,"AAAAAH7pH0c=")</f>
        <v>#REF!</v>
      </c>
      <c r="BU97" t="e">
        <f>AND(#REF!,"AAAAAH7pH0g=")</f>
        <v>#REF!</v>
      </c>
      <c r="BV97" t="e">
        <f>AND(#REF!,"AAAAAH7pH0k=")</f>
        <v>#REF!</v>
      </c>
      <c r="BW97" t="e">
        <f>AND(#REF!,"AAAAAH7pH0o=")</f>
        <v>#REF!</v>
      </c>
      <c r="BX97" t="e">
        <f>AND(#REF!,"AAAAAH7pH0s=")</f>
        <v>#REF!</v>
      </c>
      <c r="BY97" t="e">
        <f>AND(#REF!,"AAAAAH7pH0w=")</f>
        <v>#REF!</v>
      </c>
      <c r="BZ97" t="e">
        <f>AND(#REF!,"AAAAAH7pH00=")</f>
        <v>#REF!</v>
      </c>
      <c r="CA97" t="e">
        <f>AND(#REF!,"AAAAAH7pH04=")</f>
        <v>#REF!</v>
      </c>
      <c r="CB97" t="e">
        <f>AND(#REF!,"AAAAAH7pH08=")</f>
        <v>#REF!</v>
      </c>
      <c r="CC97" t="e">
        <f>AND(#REF!,"AAAAAH7pH1A=")</f>
        <v>#REF!</v>
      </c>
      <c r="CD97" t="e">
        <f>AND(#REF!,"AAAAAH7pH1E=")</f>
        <v>#REF!</v>
      </c>
      <c r="CE97" t="e">
        <f>AND(#REF!,"AAAAAH7pH1I=")</f>
        <v>#REF!</v>
      </c>
      <c r="CF97" t="e">
        <f>AND(#REF!,"AAAAAH7pH1M=")</f>
        <v>#REF!</v>
      </c>
      <c r="CG97" t="e">
        <f>AND(#REF!,"AAAAAH7pH1Q=")</f>
        <v>#REF!</v>
      </c>
      <c r="CH97" t="e">
        <f>AND(#REF!,"AAAAAH7pH1U=")</f>
        <v>#REF!</v>
      </c>
      <c r="CI97" t="e">
        <f>AND(#REF!,"AAAAAH7pH1Y=")</f>
        <v>#REF!</v>
      </c>
      <c r="CJ97" t="e">
        <f>AND(#REF!,"AAAAAH7pH1c=")</f>
        <v>#REF!</v>
      </c>
      <c r="CK97" t="e">
        <f>AND(#REF!,"AAAAAH7pH1g=")</f>
        <v>#REF!</v>
      </c>
      <c r="CL97" t="e">
        <f>AND(#REF!,"AAAAAH7pH1k=")</f>
        <v>#REF!</v>
      </c>
      <c r="CM97" t="e">
        <f>AND(#REF!,"AAAAAH7pH1o=")</f>
        <v>#REF!</v>
      </c>
      <c r="CN97" t="e">
        <f>AND(#REF!,"AAAAAH7pH1s=")</f>
        <v>#REF!</v>
      </c>
      <c r="CO97" t="e">
        <f>AND(#REF!,"AAAAAH7pH1w=")</f>
        <v>#REF!</v>
      </c>
      <c r="CP97" t="e">
        <f>AND(#REF!,"AAAAAH7pH10=")</f>
        <v>#REF!</v>
      </c>
      <c r="CQ97" t="e">
        <f>AND(#REF!,"AAAAAH7pH14=")</f>
        <v>#REF!</v>
      </c>
      <c r="CR97" t="e">
        <f>AND(#REF!,"AAAAAH7pH18=")</f>
        <v>#REF!</v>
      </c>
      <c r="CS97" t="e">
        <f>AND(#REF!,"AAAAAH7pH2A=")</f>
        <v>#REF!</v>
      </c>
      <c r="CT97" t="e">
        <f>AND(#REF!,"AAAAAH7pH2E=")</f>
        <v>#REF!</v>
      </c>
      <c r="CU97" t="e">
        <f>AND(#REF!,"AAAAAH7pH2I=")</f>
        <v>#REF!</v>
      </c>
      <c r="CV97" t="e">
        <f>AND(#REF!,"AAAAAH7pH2M=")</f>
        <v>#REF!</v>
      </c>
      <c r="CW97" t="e">
        <f>AND(#REF!,"AAAAAH7pH2Q=")</f>
        <v>#REF!</v>
      </c>
      <c r="CX97" t="e">
        <f>AND(#REF!,"AAAAAH7pH2U=")</f>
        <v>#REF!</v>
      </c>
      <c r="CY97" t="e">
        <f>AND(#REF!,"AAAAAH7pH2Y=")</f>
        <v>#REF!</v>
      </c>
      <c r="CZ97" t="e">
        <f>AND(#REF!,"AAAAAH7pH2c=")</f>
        <v>#REF!</v>
      </c>
      <c r="DA97" t="e">
        <f>AND(#REF!,"AAAAAH7pH2g=")</f>
        <v>#REF!</v>
      </c>
      <c r="DB97" t="e">
        <f>AND(#REF!,"AAAAAH7pH2k=")</f>
        <v>#REF!</v>
      </c>
      <c r="DC97" t="e">
        <f>AND(#REF!,"AAAAAH7pH2o=")</f>
        <v>#REF!</v>
      </c>
      <c r="DD97" t="e">
        <f>AND(#REF!,"AAAAAH7pH2s=")</f>
        <v>#REF!</v>
      </c>
      <c r="DE97" t="e">
        <f>AND(#REF!,"AAAAAH7pH2w=")</f>
        <v>#REF!</v>
      </c>
      <c r="DF97" t="e">
        <f>AND(#REF!,"AAAAAH7pH20=")</f>
        <v>#REF!</v>
      </c>
      <c r="DG97" t="e">
        <f>AND(#REF!,"AAAAAH7pH24=")</f>
        <v>#REF!</v>
      </c>
      <c r="DH97" t="e">
        <f>AND(#REF!,"AAAAAH7pH28=")</f>
        <v>#REF!</v>
      </c>
      <c r="DI97" t="e">
        <f>AND(#REF!,"AAAAAH7pH3A=")</f>
        <v>#REF!</v>
      </c>
      <c r="DJ97" t="e">
        <f>AND(#REF!,"AAAAAH7pH3E=")</f>
        <v>#REF!</v>
      </c>
      <c r="DK97" t="e">
        <f>AND(#REF!,"AAAAAH7pH3I=")</f>
        <v>#REF!</v>
      </c>
      <c r="DL97" t="e">
        <f>AND(#REF!,"AAAAAH7pH3M=")</f>
        <v>#REF!</v>
      </c>
      <c r="DM97" t="e">
        <f>AND(#REF!,"AAAAAH7pH3Q=")</f>
        <v>#REF!</v>
      </c>
      <c r="DN97" t="e">
        <f>AND(#REF!,"AAAAAH7pH3U=")</f>
        <v>#REF!</v>
      </c>
      <c r="DO97" t="e">
        <f>AND(#REF!,"AAAAAH7pH3Y=")</f>
        <v>#REF!</v>
      </c>
      <c r="DP97" t="e">
        <f>AND(#REF!,"AAAAAH7pH3c=")</f>
        <v>#REF!</v>
      </c>
      <c r="DQ97" t="e">
        <f>AND(#REF!,"AAAAAH7pH3g=")</f>
        <v>#REF!</v>
      </c>
      <c r="DR97" t="e">
        <f>AND(#REF!,"AAAAAH7pH3k=")</f>
        <v>#REF!</v>
      </c>
      <c r="DS97" t="e">
        <f>AND(#REF!,"AAAAAH7pH3o=")</f>
        <v>#REF!</v>
      </c>
      <c r="DT97" t="e">
        <f>AND(#REF!,"AAAAAH7pH3s=")</f>
        <v>#REF!</v>
      </c>
      <c r="DU97" t="e">
        <f>AND(#REF!,"AAAAAH7pH3w=")</f>
        <v>#REF!</v>
      </c>
      <c r="DV97" t="e">
        <f>AND(#REF!,"AAAAAH7pH30=")</f>
        <v>#REF!</v>
      </c>
      <c r="DW97" t="e">
        <f>AND(#REF!,"AAAAAH7pH34=")</f>
        <v>#REF!</v>
      </c>
      <c r="DX97" t="e">
        <f>AND(#REF!,"AAAAAH7pH38=")</f>
        <v>#REF!</v>
      </c>
      <c r="DY97" t="e">
        <f>AND(#REF!,"AAAAAH7pH4A=")</f>
        <v>#REF!</v>
      </c>
      <c r="DZ97" t="e">
        <f>AND(#REF!,"AAAAAH7pH4E=")</f>
        <v>#REF!</v>
      </c>
      <c r="EA97" t="e">
        <f>AND(#REF!,"AAAAAH7pH4I=")</f>
        <v>#REF!</v>
      </c>
      <c r="EB97" t="e">
        <f>AND(#REF!,"AAAAAH7pH4M=")</f>
        <v>#REF!</v>
      </c>
      <c r="EC97" t="e">
        <f>AND(#REF!,"AAAAAH7pH4Q=")</f>
        <v>#REF!</v>
      </c>
      <c r="ED97" t="e">
        <f>AND(#REF!,"AAAAAH7pH4U=")</f>
        <v>#REF!</v>
      </c>
      <c r="EE97" t="e">
        <f>AND(#REF!,"AAAAAH7pH4Y=")</f>
        <v>#REF!</v>
      </c>
      <c r="EF97" t="e">
        <f>AND(#REF!,"AAAAAH7pH4c=")</f>
        <v>#REF!</v>
      </c>
      <c r="EG97" t="e">
        <f>AND(#REF!,"AAAAAH7pH4g=")</f>
        <v>#REF!</v>
      </c>
      <c r="EH97" t="e">
        <f>AND(#REF!,"AAAAAH7pH4k=")</f>
        <v>#REF!</v>
      </c>
      <c r="EI97" t="e">
        <f>AND(#REF!,"AAAAAH7pH4o=")</f>
        <v>#REF!</v>
      </c>
      <c r="EJ97" t="e">
        <f>AND(#REF!,"AAAAAH7pH4s=")</f>
        <v>#REF!</v>
      </c>
      <c r="EK97" t="e">
        <f>AND(#REF!,"AAAAAH7pH4w=")</f>
        <v>#REF!</v>
      </c>
      <c r="EL97" t="e">
        <f>AND(#REF!,"AAAAAH7pH40=")</f>
        <v>#REF!</v>
      </c>
      <c r="EM97" t="e">
        <f>AND(#REF!,"AAAAAH7pH44=")</f>
        <v>#REF!</v>
      </c>
      <c r="EN97" t="e">
        <f>AND(#REF!,"AAAAAH7pH48=")</f>
        <v>#REF!</v>
      </c>
      <c r="EO97" t="e">
        <f>AND(#REF!,"AAAAAH7pH5A=")</f>
        <v>#REF!</v>
      </c>
      <c r="EP97" t="e">
        <f>AND(#REF!,"AAAAAH7pH5E=")</f>
        <v>#REF!</v>
      </c>
      <c r="EQ97" t="e">
        <f>AND(#REF!,"AAAAAH7pH5I=")</f>
        <v>#REF!</v>
      </c>
      <c r="ER97" t="e">
        <f>AND(#REF!,"AAAAAH7pH5M=")</f>
        <v>#REF!</v>
      </c>
      <c r="ES97" t="e">
        <f>AND(#REF!,"AAAAAH7pH5Q=")</f>
        <v>#REF!</v>
      </c>
      <c r="ET97" t="e">
        <f>AND(#REF!,"AAAAAH7pH5U=")</f>
        <v>#REF!</v>
      </c>
      <c r="EU97" t="e">
        <f>AND(#REF!,"AAAAAH7pH5Y=")</f>
        <v>#REF!</v>
      </c>
      <c r="EV97" t="e">
        <f>AND(#REF!,"AAAAAH7pH5c=")</f>
        <v>#REF!</v>
      </c>
      <c r="EW97" t="e">
        <f>AND(#REF!,"AAAAAH7pH5g=")</f>
        <v>#REF!</v>
      </c>
      <c r="EX97" t="e">
        <f>AND(#REF!,"AAAAAH7pH5k=")</f>
        <v>#REF!</v>
      </c>
      <c r="EY97" t="e">
        <f>AND(#REF!,"AAAAAH7pH5o=")</f>
        <v>#REF!</v>
      </c>
      <c r="EZ97" t="e">
        <f>AND(#REF!,"AAAAAH7pH5s=")</f>
        <v>#REF!</v>
      </c>
      <c r="FA97" t="e">
        <f>AND(#REF!,"AAAAAH7pH5w=")</f>
        <v>#REF!</v>
      </c>
      <c r="FB97" t="e">
        <f>AND(#REF!,"AAAAAH7pH50=")</f>
        <v>#REF!</v>
      </c>
      <c r="FC97" t="e">
        <f>AND(#REF!,"AAAAAH7pH54=")</f>
        <v>#REF!</v>
      </c>
      <c r="FD97" t="e">
        <f>AND(#REF!,"AAAAAH7pH58=")</f>
        <v>#REF!</v>
      </c>
      <c r="FE97" t="e">
        <f>AND(#REF!,"AAAAAH7pH6A=")</f>
        <v>#REF!</v>
      </c>
      <c r="FF97" t="e">
        <f>AND(#REF!,"AAAAAH7pH6E=")</f>
        <v>#REF!</v>
      </c>
      <c r="FG97" t="e">
        <f>AND(#REF!,"AAAAAH7pH6I=")</f>
        <v>#REF!</v>
      </c>
      <c r="FH97" t="e">
        <f>AND(#REF!,"AAAAAH7pH6M=")</f>
        <v>#REF!</v>
      </c>
      <c r="FI97" t="e">
        <f>AND(#REF!,"AAAAAH7pH6Q=")</f>
        <v>#REF!</v>
      </c>
      <c r="FJ97" t="e">
        <f>AND(#REF!,"AAAAAH7pH6U=")</f>
        <v>#REF!</v>
      </c>
      <c r="FK97" t="e">
        <f>AND(#REF!,"AAAAAH7pH6Y=")</f>
        <v>#REF!</v>
      </c>
      <c r="FL97" t="e">
        <f>AND(#REF!,"AAAAAH7pH6c=")</f>
        <v>#REF!</v>
      </c>
      <c r="FM97" t="e">
        <f>AND(#REF!,"AAAAAH7pH6g=")</f>
        <v>#REF!</v>
      </c>
      <c r="FN97" t="e">
        <f>AND(#REF!,"AAAAAH7pH6k=")</f>
        <v>#REF!</v>
      </c>
      <c r="FO97" t="e">
        <f>AND(#REF!,"AAAAAH7pH6o=")</f>
        <v>#REF!</v>
      </c>
      <c r="FP97" t="e">
        <f>AND(#REF!,"AAAAAH7pH6s=")</f>
        <v>#REF!</v>
      </c>
      <c r="FQ97" t="e">
        <f>AND(#REF!,"AAAAAH7pH6w=")</f>
        <v>#REF!</v>
      </c>
      <c r="FR97" t="e">
        <f>AND(#REF!,"AAAAAH7pH60=")</f>
        <v>#REF!</v>
      </c>
      <c r="FS97" t="e">
        <f>AND(#REF!,"AAAAAH7pH64=")</f>
        <v>#REF!</v>
      </c>
      <c r="FT97" t="e">
        <f>AND(#REF!,"AAAAAH7pH68=")</f>
        <v>#REF!</v>
      </c>
      <c r="FU97" t="e">
        <f>AND(#REF!,"AAAAAH7pH7A=")</f>
        <v>#REF!</v>
      </c>
      <c r="FV97" t="e">
        <f>AND(#REF!,"AAAAAH7pH7E=")</f>
        <v>#REF!</v>
      </c>
      <c r="FW97" t="e">
        <f>AND(#REF!,"AAAAAH7pH7I=")</f>
        <v>#REF!</v>
      </c>
      <c r="FX97" t="e">
        <f>AND(#REF!,"AAAAAH7pH7M=")</f>
        <v>#REF!</v>
      </c>
      <c r="FY97" t="e">
        <f>AND(#REF!,"AAAAAH7pH7Q=")</f>
        <v>#REF!</v>
      </c>
      <c r="FZ97" t="e">
        <f>AND(#REF!,"AAAAAH7pH7U=")</f>
        <v>#REF!</v>
      </c>
      <c r="GA97" t="e">
        <f>AND(#REF!,"AAAAAH7pH7Y=")</f>
        <v>#REF!</v>
      </c>
      <c r="GB97" t="e">
        <f>AND(#REF!,"AAAAAH7pH7c=")</f>
        <v>#REF!</v>
      </c>
      <c r="GC97" t="e">
        <f>AND(#REF!,"AAAAAH7pH7g=")</f>
        <v>#REF!</v>
      </c>
      <c r="GD97" t="e">
        <f>AND(#REF!,"AAAAAH7pH7k=")</f>
        <v>#REF!</v>
      </c>
      <c r="GE97" t="e">
        <f>AND(#REF!,"AAAAAH7pH7o=")</f>
        <v>#REF!</v>
      </c>
      <c r="GF97" t="e">
        <f>AND(#REF!,"AAAAAH7pH7s=")</f>
        <v>#REF!</v>
      </c>
      <c r="GG97" t="e">
        <f>AND(#REF!,"AAAAAH7pH7w=")</f>
        <v>#REF!</v>
      </c>
      <c r="GH97" t="e">
        <f>AND(#REF!,"AAAAAH7pH70=")</f>
        <v>#REF!</v>
      </c>
      <c r="GI97" t="e">
        <f>AND(#REF!,"AAAAAH7pH74=")</f>
        <v>#REF!</v>
      </c>
      <c r="GJ97" t="e">
        <f>AND(#REF!,"AAAAAH7pH78=")</f>
        <v>#REF!</v>
      </c>
      <c r="GK97" t="e">
        <f>AND(#REF!,"AAAAAH7pH8A=")</f>
        <v>#REF!</v>
      </c>
      <c r="GL97" t="e">
        <f>AND(#REF!,"AAAAAH7pH8E=")</f>
        <v>#REF!</v>
      </c>
      <c r="GM97" t="e">
        <f>AND(#REF!,"AAAAAH7pH8I=")</f>
        <v>#REF!</v>
      </c>
      <c r="GN97" t="e">
        <f>AND(#REF!,"AAAAAH7pH8M=")</f>
        <v>#REF!</v>
      </c>
      <c r="GO97" t="e">
        <f>AND(#REF!,"AAAAAH7pH8Q=")</f>
        <v>#REF!</v>
      </c>
      <c r="GP97" t="e">
        <f>AND(#REF!,"AAAAAH7pH8U=")</f>
        <v>#REF!</v>
      </c>
      <c r="GQ97" t="e">
        <f>AND(#REF!,"AAAAAH7pH8Y=")</f>
        <v>#REF!</v>
      </c>
      <c r="GR97" t="e">
        <f>AND(#REF!,"AAAAAH7pH8c=")</f>
        <v>#REF!</v>
      </c>
      <c r="GS97" t="e">
        <f>AND(#REF!,"AAAAAH7pH8g=")</f>
        <v>#REF!</v>
      </c>
      <c r="GT97" t="e">
        <f>AND(#REF!,"AAAAAH7pH8k=")</f>
        <v>#REF!</v>
      </c>
      <c r="GU97" t="e">
        <f>AND(#REF!,"AAAAAH7pH8o=")</f>
        <v>#REF!</v>
      </c>
      <c r="GV97" t="e">
        <f>AND(#REF!,"AAAAAH7pH8s=")</f>
        <v>#REF!</v>
      </c>
      <c r="GW97" t="e">
        <f>AND(#REF!,"AAAAAH7pH8w=")</f>
        <v>#REF!</v>
      </c>
      <c r="GX97" t="e">
        <f>AND(#REF!,"AAAAAH7pH80=")</f>
        <v>#REF!</v>
      </c>
      <c r="GY97" t="e">
        <f>AND(#REF!,"AAAAAH7pH84=")</f>
        <v>#REF!</v>
      </c>
      <c r="GZ97" t="e">
        <f>AND(#REF!,"AAAAAH7pH88=")</f>
        <v>#REF!</v>
      </c>
      <c r="HA97" t="e">
        <f>AND(#REF!,"AAAAAH7pH9A=")</f>
        <v>#REF!</v>
      </c>
      <c r="HB97" t="e">
        <f>AND(#REF!,"AAAAAH7pH9E=")</f>
        <v>#REF!</v>
      </c>
      <c r="HC97" t="e">
        <f>AND(#REF!,"AAAAAH7pH9I=")</f>
        <v>#REF!</v>
      </c>
      <c r="HD97" t="e">
        <f>AND(#REF!,"AAAAAH7pH9M=")</f>
        <v>#REF!</v>
      </c>
      <c r="HE97" t="e">
        <f>AND(#REF!,"AAAAAH7pH9Q=")</f>
        <v>#REF!</v>
      </c>
      <c r="HF97" t="e">
        <f>AND(#REF!,"AAAAAH7pH9U=")</f>
        <v>#REF!</v>
      </c>
      <c r="HG97" t="e">
        <f>AND(#REF!,"AAAAAH7pH9Y=")</f>
        <v>#REF!</v>
      </c>
      <c r="HH97" t="e">
        <f>AND(#REF!,"AAAAAH7pH9c=")</f>
        <v>#REF!</v>
      </c>
      <c r="HI97" t="e">
        <f>AND(#REF!,"AAAAAH7pH9g=")</f>
        <v>#REF!</v>
      </c>
      <c r="HJ97" t="e">
        <f>AND(#REF!,"AAAAAH7pH9k=")</f>
        <v>#REF!</v>
      </c>
      <c r="HK97" t="e">
        <f>AND(#REF!,"AAAAAH7pH9o=")</f>
        <v>#REF!</v>
      </c>
      <c r="HL97" t="e">
        <f>AND(#REF!,"AAAAAH7pH9s=")</f>
        <v>#REF!</v>
      </c>
      <c r="HM97" t="e">
        <f>AND(#REF!,"AAAAAH7pH9w=")</f>
        <v>#REF!</v>
      </c>
      <c r="HN97" t="e">
        <f>AND(#REF!,"AAAAAH7pH90=")</f>
        <v>#REF!</v>
      </c>
      <c r="HO97" t="e">
        <f>AND(#REF!,"AAAAAH7pH94=")</f>
        <v>#REF!</v>
      </c>
      <c r="HP97" t="e">
        <f>AND(#REF!,"AAAAAH7pH98=")</f>
        <v>#REF!</v>
      </c>
      <c r="HQ97" t="e">
        <f>AND(#REF!,"AAAAAH7pH+A=")</f>
        <v>#REF!</v>
      </c>
      <c r="HR97" t="e">
        <f>AND(#REF!,"AAAAAH7pH+E=")</f>
        <v>#REF!</v>
      </c>
      <c r="HS97" t="e">
        <f>AND(#REF!,"AAAAAH7pH+I=")</f>
        <v>#REF!</v>
      </c>
      <c r="HT97" t="e">
        <f>AND(#REF!,"AAAAAH7pH+M=")</f>
        <v>#REF!</v>
      </c>
      <c r="HU97" t="e">
        <f>AND(#REF!,"AAAAAH7pH+Q=")</f>
        <v>#REF!</v>
      </c>
      <c r="HV97" t="e">
        <f>AND(#REF!,"AAAAAH7pH+U=")</f>
        <v>#REF!</v>
      </c>
      <c r="HW97" t="e">
        <f>AND(#REF!,"AAAAAH7pH+Y=")</f>
        <v>#REF!</v>
      </c>
      <c r="HX97" t="e">
        <f>AND(#REF!,"AAAAAH7pH+c=")</f>
        <v>#REF!</v>
      </c>
      <c r="HY97" t="e">
        <f>AND(#REF!,"AAAAAH7pH+g=")</f>
        <v>#REF!</v>
      </c>
      <c r="HZ97" t="e">
        <f>AND(#REF!,"AAAAAH7pH+k=")</f>
        <v>#REF!</v>
      </c>
      <c r="IA97" t="e">
        <f>AND(#REF!,"AAAAAH7pH+o=")</f>
        <v>#REF!</v>
      </c>
      <c r="IB97" t="e">
        <f>AND(#REF!,"AAAAAH7pH+s=")</f>
        <v>#REF!</v>
      </c>
      <c r="IC97" t="e">
        <f>AND(#REF!,"AAAAAH7pH+w=")</f>
        <v>#REF!</v>
      </c>
      <c r="ID97" t="e">
        <f>AND(#REF!,"AAAAAH7pH+0=")</f>
        <v>#REF!</v>
      </c>
      <c r="IE97" t="e">
        <f>AND(#REF!,"AAAAAH7pH+4=")</f>
        <v>#REF!</v>
      </c>
      <c r="IF97" t="e">
        <f>AND(#REF!,"AAAAAH7pH+8=")</f>
        <v>#REF!</v>
      </c>
      <c r="IG97" t="e">
        <f>AND(#REF!,"AAAAAH7pH/A=")</f>
        <v>#REF!</v>
      </c>
      <c r="IH97" t="e">
        <f>AND(#REF!,"AAAAAH7pH/E=")</f>
        <v>#REF!</v>
      </c>
      <c r="II97" t="e">
        <f>AND(#REF!,"AAAAAH7pH/I=")</f>
        <v>#REF!</v>
      </c>
      <c r="IJ97" t="e">
        <f>AND(#REF!,"AAAAAH7pH/M=")</f>
        <v>#REF!</v>
      </c>
      <c r="IK97" t="e">
        <f>AND(#REF!,"AAAAAH7pH/Q=")</f>
        <v>#REF!</v>
      </c>
      <c r="IL97" t="e">
        <f>AND(#REF!,"AAAAAH7pH/U=")</f>
        <v>#REF!</v>
      </c>
      <c r="IM97" t="e">
        <f>AND(#REF!,"AAAAAH7pH/Y=")</f>
        <v>#REF!</v>
      </c>
      <c r="IN97" t="e">
        <f>AND(#REF!,"AAAAAH7pH/c=")</f>
        <v>#REF!</v>
      </c>
      <c r="IO97" t="e">
        <f>AND(#REF!,"AAAAAH7pH/g=")</f>
        <v>#REF!</v>
      </c>
      <c r="IP97" t="e">
        <f>AND(#REF!,"AAAAAH7pH/k=")</f>
        <v>#REF!</v>
      </c>
      <c r="IQ97" t="e">
        <f>AND(#REF!,"AAAAAH7pH/o=")</f>
        <v>#REF!</v>
      </c>
      <c r="IR97" t="e">
        <f>AND(#REF!,"AAAAAH7pH/s=")</f>
        <v>#REF!</v>
      </c>
      <c r="IS97" t="e">
        <f>AND(#REF!,"AAAAAH7pH/w=")</f>
        <v>#REF!</v>
      </c>
      <c r="IT97" t="e">
        <f>AND(#REF!,"AAAAAH7pH/0=")</f>
        <v>#REF!</v>
      </c>
      <c r="IU97" t="e">
        <f>AND(#REF!,"AAAAAH7pH/4=")</f>
        <v>#REF!</v>
      </c>
      <c r="IV97" t="e">
        <f>AND(#REF!,"AAAAAH7pH/8=")</f>
        <v>#REF!</v>
      </c>
    </row>
    <row r="98" spans="1:256">
      <c r="A98" t="e">
        <f>AND(#REF!,"AAAAAHfrLAA=")</f>
        <v>#REF!</v>
      </c>
      <c r="B98" t="e">
        <f>AND(#REF!,"AAAAAHfrLAE=")</f>
        <v>#REF!</v>
      </c>
      <c r="C98" t="e">
        <f>AND(#REF!,"AAAAAHfrLAI=")</f>
        <v>#REF!</v>
      </c>
      <c r="D98" t="e">
        <f>AND(#REF!,"AAAAAHfrLAM=")</f>
        <v>#REF!</v>
      </c>
      <c r="E98" t="e">
        <f>AND(#REF!,"AAAAAHfrLAQ=")</f>
        <v>#REF!</v>
      </c>
      <c r="F98" t="e">
        <f>AND(#REF!,"AAAAAHfrLAU=")</f>
        <v>#REF!</v>
      </c>
      <c r="G98" t="e">
        <f>AND(#REF!,"AAAAAHfrLAY=")</f>
        <v>#REF!</v>
      </c>
      <c r="H98" t="e">
        <f>AND(#REF!,"AAAAAHfrLAc=")</f>
        <v>#REF!</v>
      </c>
      <c r="I98" t="e">
        <f>AND(#REF!,"AAAAAHfrLAg=")</f>
        <v>#REF!</v>
      </c>
      <c r="J98" t="e">
        <f>AND(#REF!,"AAAAAHfrLAk=")</f>
        <v>#REF!</v>
      </c>
      <c r="K98" t="e">
        <f>AND(#REF!,"AAAAAHfrLAo=")</f>
        <v>#REF!</v>
      </c>
      <c r="L98" t="e">
        <f>AND(#REF!,"AAAAAHfrLAs=")</f>
        <v>#REF!</v>
      </c>
      <c r="M98" t="e">
        <f>AND(#REF!,"AAAAAHfrLAw=")</f>
        <v>#REF!</v>
      </c>
      <c r="N98" t="e">
        <f>AND(#REF!,"AAAAAHfrLA0=")</f>
        <v>#REF!</v>
      </c>
      <c r="O98" t="e">
        <f>AND(#REF!,"AAAAAHfrLA4=")</f>
        <v>#REF!</v>
      </c>
      <c r="P98" t="e">
        <f>AND(#REF!,"AAAAAHfrLA8=")</f>
        <v>#REF!</v>
      </c>
      <c r="Q98" t="e">
        <f>AND(#REF!,"AAAAAHfrLBA=")</f>
        <v>#REF!</v>
      </c>
      <c r="R98" t="e">
        <f>AND(#REF!,"AAAAAHfrLBE=")</f>
        <v>#REF!</v>
      </c>
      <c r="S98" t="e">
        <f>AND(#REF!,"AAAAAHfrLBI=")</f>
        <v>#REF!</v>
      </c>
      <c r="T98" t="e">
        <f>AND(#REF!,"AAAAAHfrLBM=")</f>
        <v>#REF!</v>
      </c>
      <c r="U98" t="e">
        <f>AND(#REF!,"AAAAAHfrLBQ=")</f>
        <v>#REF!</v>
      </c>
      <c r="V98" t="e">
        <f>AND(#REF!,"AAAAAHfrLBU=")</f>
        <v>#REF!</v>
      </c>
      <c r="W98" t="e">
        <f>AND(#REF!,"AAAAAHfrLBY=")</f>
        <v>#REF!</v>
      </c>
      <c r="X98" t="e">
        <f>AND(#REF!,"AAAAAHfrLBc=")</f>
        <v>#REF!</v>
      </c>
      <c r="Y98" t="e">
        <f>AND(#REF!,"AAAAAHfrLBg=")</f>
        <v>#REF!</v>
      </c>
      <c r="Z98" t="e">
        <f>AND(#REF!,"AAAAAHfrLBk=")</f>
        <v>#REF!</v>
      </c>
      <c r="AA98" t="e">
        <f>AND(#REF!,"AAAAAHfrLBo=")</f>
        <v>#REF!</v>
      </c>
      <c r="AB98" t="e">
        <f>AND(#REF!,"AAAAAHfrLBs=")</f>
        <v>#REF!</v>
      </c>
      <c r="AC98" t="e">
        <f>AND(#REF!,"AAAAAHfrLBw=")</f>
        <v>#REF!</v>
      </c>
      <c r="AD98" t="e">
        <f>AND(#REF!,"AAAAAHfrLB0=")</f>
        <v>#REF!</v>
      </c>
      <c r="AE98" t="e">
        <f>AND(#REF!,"AAAAAHfrLB4=")</f>
        <v>#REF!</v>
      </c>
      <c r="AF98" t="e">
        <f>AND(#REF!,"AAAAAHfrLB8=")</f>
        <v>#REF!</v>
      </c>
      <c r="AG98" t="e">
        <f>AND(#REF!,"AAAAAHfrLCA=")</f>
        <v>#REF!</v>
      </c>
      <c r="AH98" t="e">
        <f>AND(#REF!,"AAAAAHfrLCE=")</f>
        <v>#REF!</v>
      </c>
      <c r="AI98" t="e">
        <f>AND(#REF!,"AAAAAHfrLCI=")</f>
        <v>#REF!</v>
      </c>
      <c r="AJ98" t="e">
        <f>AND(#REF!,"AAAAAHfrLCM=")</f>
        <v>#REF!</v>
      </c>
      <c r="AK98" t="e">
        <f>AND(#REF!,"AAAAAHfrLCQ=")</f>
        <v>#REF!</v>
      </c>
      <c r="AL98" t="e">
        <f>AND(#REF!,"AAAAAHfrLCU=")</f>
        <v>#REF!</v>
      </c>
      <c r="AM98" t="e">
        <f>AND(#REF!,"AAAAAHfrLCY=")</f>
        <v>#REF!</v>
      </c>
      <c r="AN98" t="e">
        <f>AND(#REF!,"AAAAAHfrLCc=")</f>
        <v>#REF!</v>
      </c>
      <c r="AO98" t="e">
        <f>AND(#REF!,"AAAAAHfrLCg=")</f>
        <v>#REF!</v>
      </c>
      <c r="AP98" t="e">
        <f>AND(#REF!,"AAAAAHfrLCk=")</f>
        <v>#REF!</v>
      </c>
      <c r="AQ98" t="e">
        <f>AND(#REF!,"AAAAAHfrLCo=")</f>
        <v>#REF!</v>
      </c>
      <c r="AR98" t="e">
        <f>AND(#REF!,"AAAAAHfrLCs=")</f>
        <v>#REF!</v>
      </c>
      <c r="AS98" t="e">
        <f>AND(#REF!,"AAAAAHfrLCw=")</f>
        <v>#REF!</v>
      </c>
      <c r="AT98" t="e">
        <f>AND(#REF!,"AAAAAHfrLC0=")</f>
        <v>#REF!</v>
      </c>
      <c r="AU98" t="e">
        <f>AND(#REF!,"AAAAAHfrLC4=")</f>
        <v>#REF!</v>
      </c>
      <c r="AV98" t="e">
        <f>AND(#REF!,"AAAAAHfrLC8=")</f>
        <v>#REF!</v>
      </c>
      <c r="AW98" t="e">
        <f>AND(#REF!,"AAAAAHfrLDA=")</f>
        <v>#REF!</v>
      </c>
      <c r="AX98" t="e">
        <f>AND(#REF!,"AAAAAHfrLDE=")</f>
        <v>#REF!</v>
      </c>
      <c r="AY98" t="e">
        <f>AND(#REF!,"AAAAAHfrLDI=")</f>
        <v>#REF!</v>
      </c>
      <c r="AZ98" t="e">
        <f>AND(#REF!,"AAAAAHfrLDM=")</f>
        <v>#REF!</v>
      </c>
      <c r="BA98" t="e">
        <f>AND(#REF!,"AAAAAHfrLDQ=")</f>
        <v>#REF!</v>
      </c>
      <c r="BB98" t="e">
        <f>AND(#REF!,"AAAAAHfrLDU=")</f>
        <v>#REF!</v>
      </c>
      <c r="BC98" t="e">
        <f>AND(#REF!,"AAAAAHfrLDY=")</f>
        <v>#REF!</v>
      </c>
      <c r="BD98" t="e">
        <f>AND(#REF!,"AAAAAHfrLDc=")</f>
        <v>#REF!</v>
      </c>
      <c r="BE98" t="e">
        <f>AND(#REF!,"AAAAAHfrLDg=")</f>
        <v>#REF!</v>
      </c>
      <c r="BF98" t="e">
        <f>AND(#REF!,"AAAAAHfrLDk=")</f>
        <v>#REF!</v>
      </c>
      <c r="BG98" t="e">
        <f>AND(#REF!,"AAAAAHfrLDo=")</f>
        <v>#REF!</v>
      </c>
      <c r="BH98" t="e">
        <f>AND(#REF!,"AAAAAHfrLDs=")</f>
        <v>#REF!</v>
      </c>
      <c r="BI98" t="e">
        <f>AND(#REF!,"AAAAAHfrLDw=")</f>
        <v>#REF!</v>
      </c>
      <c r="BJ98" t="e">
        <f>AND(#REF!,"AAAAAHfrLD0=")</f>
        <v>#REF!</v>
      </c>
      <c r="BK98" t="e">
        <f>AND(#REF!,"AAAAAHfrLD4=")</f>
        <v>#REF!</v>
      </c>
      <c r="BL98" t="e">
        <f>AND(#REF!,"AAAAAHfrLD8=")</f>
        <v>#REF!</v>
      </c>
      <c r="BM98" t="e">
        <f>AND(#REF!,"AAAAAHfrLEA=")</f>
        <v>#REF!</v>
      </c>
      <c r="BN98" t="e">
        <f>AND(#REF!,"AAAAAHfrLEE=")</f>
        <v>#REF!</v>
      </c>
      <c r="BO98" t="e">
        <f>AND(#REF!,"AAAAAHfrLEI=")</f>
        <v>#REF!</v>
      </c>
      <c r="BP98" t="e">
        <f>AND(#REF!,"AAAAAHfrLEM=")</f>
        <v>#REF!</v>
      </c>
      <c r="BQ98" t="e">
        <f>AND(#REF!,"AAAAAHfrLEQ=")</f>
        <v>#REF!</v>
      </c>
      <c r="BR98" t="e">
        <f>AND(#REF!,"AAAAAHfrLEU=")</f>
        <v>#REF!</v>
      </c>
      <c r="BS98" t="e">
        <f>AND(#REF!,"AAAAAHfrLEY=")</f>
        <v>#REF!</v>
      </c>
      <c r="BT98" t="e">
        <f>AND(#REF!,"AAAAAHfrLEc=")</f>
        <v>#REF!</v>
      </c>
      <c r="BU98" t="e">
        <f>AND(#REF!,"AAAAAHfrLEg=")</f>
        <v>#REF!</v>
      </c>
      <c r="BV98" t="e">
        <f>AND(#REF!,"AAAAAHfrLEk=")</f>
        <v>#REF!</v>
      </c>
      <c r="BW98" t="e">
        <f>AND(#REF!,"AAAAAHfrLEo=")</f>
        <v>#REF!</v>
      </c>
      <c r="BX98" t="e">
        <f>AND(#REF!,"AAAAAHfrLEs=")</f>
        <v>#REF!</v>
      </c>
      <c r="BY98" t="e">
        <f>AND(#REF!,"AAAAAHfrLEw=")</f>
        <v>#REF!</v>
      </c>
      <c r="BZ98" t="e">
        <f>AND(#REF!,"AAAAAHfrLE0=")</f>
        <v>#REF!</v>
      </c>
      <c r="CA98" t="e">
        <f>AND(#REF!,"AAAAAHfrLE4=")</f>
        <v>#REF!</v>
      </c>
      <c r="CB98" t="e">
        <f>AND(#REF!,"AAAAAHfrLE8=")</f>
        <v>#REF!</v>
      </c>
      <c r="CC98" t="e">
        <f>AND(#REF!,"AAAAAHfrLFA=")</f>
        <v>#REF!</v>
      </c>
      <c r="CD98" t="e">
        <f>AND(#REF!,"AAAAAHfrLFE=")</f>
        <v>#REF!</v>
      </c>
      <c r="CE98" t="e">
        <f>AND(#REF!,"AAAAAHfrLFI=")</f>
        <v>#REF!</v>
      </c>
      <c r="CF98" t="e">
        <f>AND(#REF!,"AAAAAHfrLFM=")</f>
        <v>#REF!</v>
      </c>
      <c r="CG98" t="e">
        <f>AND(#REF!,"AAAAAHfrLFQ=")</f>
        <v>#REF!</v>
      </c>
      <c r="CH98" t="e">
        <f>AND(#REF!,"AAAAAHfrLFU=")</f>
        <v>#REF!</v>
      </c>
      <c r="CI98" t="e">
        <f>AND(#REF!,"AAAAAHfrLFY=")</f>
        <v>#REF!</v>
      </c>
      <c r="CJ98" t="e">
        <f>AND(#REF!,"AAAAAHfrLFc=")</f>
        <v>#REF!</v>
      </c>
      <c r="CK98" t="e">
        <f>AND(#REF!,"AAAAAHfrLFg=")</f>
        <v>#REF!</v>
      </c>
      <c r="CL98" t="e">
        <f>AND(#REF!,"AAAAAHfrLFk=")</f>
        <v>#REF!</v>
      </c>
      <c r="CM98" t="e">
        <f>AND(#REF!,"AAAAAHfrLFo=")</f>
        <v>#REF!</v>
      </c>
      <c r="CN98" t="e">
        <f>AND(#REF!,"AAAAAHfrLFs=")</f>
        <v>#REF!</v>
      </c>
      <c r="CO98" t="e">
        <f>AND(#REF!,"AAAAAHfrLFw=")</f>
        <v>#REF!</v>
      </c>
      <c r="CP98" t="e">
        <f>AND(#REF!,"AAAAAHfrLF0=")</f>
        <v>#REF!</v>
      </c>
      <c r="CQ98" t="e">
        <f>AND(#REF!,"AAAAAHfrLF4=")</f>
        <v>#REF!</v>
      </c>
      <c r="CR98" t="e">
        <f>AND(#REF!,"AAAAAHfrLF8=")</f>
        <v>#REF!</v>
      </c>
      <c r="CS98" t="e">
        <f>AND(#REF!,"AAAAAHfrLGA=")</f>
        <v>#REF!</v>
      </c>
      <c r="CT98" t="e">
        <f>AND(#REF!,"AAAAAHfrLGE=")</f>
        <v>#REF!</v>
      </c>
      <c r="CU98" t="e">
        <f>AND(#REF!,"AAAAAHfrLGI=")</f>
        <v>#REF!</v>
      </c>
      <c r="CV98" t="e">
        <f>AND(#REF!,"AAAAAHfrLGM=")</f>
        <v>#REF!</v>
      </c>
      <c r="CW98" t="e">
        <f>AND(#REF!,"AAAAAHfrLGQ=")</f>
        <v>#REF!</v>
      </c>
      <c r="CX98" t="e">
        <f>AND(#REF!,"AAAAAHfrLGU=")</f>
        <v>#REF!</v>
      </c>
      <c r="CY98" t="e">
        <f>AND(#REF!,"AAAAAHfrLGY=")</f>
        <v>#REF!</v>
      </c>
      <c r="CZ98" t="e">
        <f>AND(#REF!,"AAAAAHfrLGc=")</f>
        <v>#REF!</v>
      </c>
      <c r="DA98" t="e">
        <f>AND(#REF!,"AAAAAHfrLGg=")</f>
        <v>#REF!</v>
      </c>
      <c r="DB98" t="e">
        <f>AND(#REF!,"AAAAAHfrLGk=")</f>
        <v>#REF!</v>
      </c>
      <c r="DC98" t="e">
        <f>AND(#REF!,"AAAAAHfrLGo=")</f>
        <v>#REF!</v>
      </c>
      <c r="DD98" t="e">
        <f>AND(#REF!,"AAAAAHfrLGs=")</f>
        <v>#REF!</v>
      </c>
      <c r="DE98" t="e">
        <f>AND(#REF!,"AAAAAHfrLGw=")</f>
        <v>#REF!</v>
      </c>
      <c r="DF98" t="e">
        <f>AND(#REF!,"AAAAAHfrLG0=")</f>
        <v>#REF!</v>
      </c>
      <c r="DG98" t="e">
        <f>AND(#REF!,"AAAAAHfrLG4=")</f>
        <v>#REF!</v>
      </c>
      <c r="DH98" t="e">
        <f>AND(#REF!,"AAAAAHfrLG8=")</f>
        <v>#REF!</v>
      </c>
      <c r="DI98" t="e">
        <f>AND(#REF!,"AAAAAHfrLHA=")</f>
        <v>#REF!</v>
      </c>
      <c r="DJ98" t="e">
        <f>AND(#REF!,"AAAAAHfrLHE=")</f>
        <v>#REF!</v>
      </c>
      <c r="DK98" t="e">
        <f>AND(#REF!,"AAAAAHfrLHI=")</f>
        <v>#REF!</v>
      </c>
      <c r="DL98" t="e">
        <f>AND(#REF!,"AAAAAHfrLHM=")</f>
        <v>#REF!</v>
      </c>
      <c r="DM98" t="e">
        <f>AND(#REF!,"AAAAAHfrLHQ=")</f>
        <v>#REF!</v>
      </c>
      <c r="DN98" t="e">
        <f>AND(#REF!,"AAAAAHfrLHU=")</f>
        <v>#REF!</v>
      </c>
      <c r="DO98" t="e">
        <f>AND(#REF!,"AAAAAHfrLHY=")</f>
        <v>#REF!</v>
      </c>
      <c r="DP98" t="e">
        <f>AND(#REF!,"AAAAAHfrLHc=")</f>
        <v>#REF!</v>
      </c>
      <c r="DQ98" t="e">
        <f>AND(#REF!,"AAAAAHfrLHg=")</f>
        <v>#REF!</v>
      </c>
      <c r="DR98" t="e">
        <f>AND(#REF!,"AAAAAHfrLHk=")</f>
        <v>#REF!</v>
      </c>
      <c r="DS98" t="e">
        <f>AND(#REF!,"AAAAAHfrLHo=")</f>
        <v>#REF!</v>
      </c>
      <c r="DT98" t="e">
        <f>AND(#REF!,"AAAAAHfrLHs=")</f>
        <v>#REF!</v>
      </c>
      <c r="DU98" t="e">
        <f>AND(#REF!,"AAAAAHfrLHw=")</f>
        <v>#REF!</v>
      </c>
      <c r="DV98" t="e">
        <f>AND(#REF!,"AAAAAHfrLH0=")</f>
        <v>#REF!</v>
      </c>
      <c r="DW98" t="e">
        <f>AND(#REF!,"AAAAAHfrLH4=")</f>
        <v>#REF!</v>
      </c>
      <c r="DX98" t="e">
        <f>AND(#REF!,"AAAAAHfrLH8=")</f>
        <v>#REF!</v>
      </c>
      <c r="DY98" t="e">
        <f>AND(#REF!,"AAAAAHfrLIA=")</f>
        <v>#REF!</v>
      </c>
      <c r="DZ98" t="e">
        <f>AND(#REF!,"AAAAAHfrLIE=")</f>
        <v>#REF!</v>
      </c>
      <c r="EA98" t="e">
        <f>AND(#REF!,"AAAAAHfrLII=")</f>
        <v>#REF!</v>
      </c>
      <c r="EB98" t="e">
        <f>AND(#REF!,"AAAAAHfrLIM=")</f>
        <v>#REF!</v>
      </c>
      <c r="EC98" t="e">
        <f>AND(#REF!,"AAAAAHfrLIQ=")</f>
        <v>#REF!</v>
      </c>
      <c r="ED98" t="e">
        <f>AND(#REF!,"AAAAAHfrLIU=")</f>
        <v>#REF!</v>
      </c>
      <c r="EE98" t="e">
        <f>AND(#REF!,"AAAAAHfrLIY=")</f>
        <v>#REF!</v>
      </c>
      <c r="EF98" t="e">
        <f>AND(#REF!,"AAAAAHfrLIc=")</f>
        <v>#REF!</v>
      </c>
      <c r="EG98" t="e">
        <f>AND(#REF!,"AAAAAHfrLIg=")</f>
        <v>#REF!</v>
      </c>
      <c r="EH98" t="e">
        <f>AND(#REF!,"AAAAAHfrLIk=")</f>
        <v>#REF!</v>
      </c>
      <c r="EI98" t="e">
        <f>AND(#REF!,"AAAAAHfrLIo=")</f>
        <v>#REF!</v>
      </c>
      <c r="EJ98" t="e">
        <f>AND(#REF!,"AAAAAHfrLIs=")</f>
        <v>#REF!</v>
      </c>
      <c r="EK98" t="e">
        <f>AND(#REF!,"AAAAAHfrLIw=")</f>
        <v>#REF!</v>
      </c>
      <c r="EL98" t="e">
        <f>AND(#REF!,"AAAAAHfrLI0=")</f>
        <v>#REF!</v>
      </c>
      <c r="EM98" t="e">
        <f>AND(#REF!,"AAAAAHfrLI4=")</f>
        <v>#REF!</v>
      </c>
      <c r="EN98" t="e">
        <f>AND(#REF!,"AAAAAHfrLI8=")</f>
        <v>#REF!</v>
      </c>
      <c r="EO98" t="e">
        <f>AND(#REF!,"AAAAAHfrLJA=")</f>
        <v>#REF!</v>
      </c>
      <c r="EP98" t="e">
        <f>AND(#REF!,"AAAAAHfrLJE=")</f>
        <v>#REF!</v>
      </c>
      <c r="EQ98" t="e">
        <f>AND(#REF!,"AAAAAHfrLJI=")</f>
        <v>#REF!</v>
      </c>
      <c r="ER98" t="e">
        <f>AND(#REF!,"AAAAAHfrLJM=")</f>
        <v>#REF!</v>
      </c>
      <c r="ES98" t="e">
        <f>AND(#REF!,"AAAAAHfrLJQ=")</f>
        <v>#REF!</v>
      </c>
      <c r="ET98" t="e">
        <f>AND(#REF!,"AAAAAHfrLJU=")</f>
        <v>#REF!</v>
      </c>
      <c r="EU98" t="e">
        <f>AND(#REF!,"AAAAAHfrLJY=")</f>
        <v>#REF!</v>
      </c>
      <c r="EV98" t="e">
        <f>AND(#REF!,"AAAAAHfrLJc=")</f>
        <v>#REF!</v>
      </c>
      <c r="EW98" t="e">
        <f>AND(#REF!,"AAAAAHfrLJg=")</f>
        <v>#REF!</v>
      </c>
      <c r="EX98" t="e">
        <f>AND(#REF!,"AAAAAHfrLJk=")</f>
        <v>#REF!</v>
      </c>
      <c r="EY98" t="e">
        <f>AND(#REF!,"AAAAAHfrLJo=")</f>
        <v>#REF!</v>
      </c>
      <c r="EZ98" t="e">
        <f>AND(#REF!,"AAAAAHfrLJs=")</f>
        <v>#REF!</v>
      </c>
      <c r="FA98" t="e">
        <f>AND(#REF!,"AAAAAHfrLJw=")</f>
        <v>#REF!</v>
      </c>
      <c r="FB98" t="e">
        <f>AND(#REF!,"AAAAAHfrLJ0=")</f>
        <v>#REF!</v>
      </c>
      <c r="FC98" t="e">
        <f>AND(#REF!,"AAAAAHfrLJ4=")</f>
        <v>#REF!</v>
      </c>
      <c r="FD98" t="e">
        <f>AND(#REF!,"AAAAAHfrLJ8=")</f>
        <v>#REF!</v>
      </c>
      <c r="FE98" t="e">
        <f>AND(#REF!,"AAAAAHfrLKA=")</f>
        <v>#REF!</v>
      </c>
      <c r="FF98" t="e">
        <f>AND(#REF!,"AAAAAHfrLKE=")</f>
        <v>#REF!</v>
      </c>
      <c r="FG98" t="e">
        <f>AND(#REF!,"AAAAAHfrLKI=")</f>
        <v>#REF!</v>
      </c>
      <c r="FH98" t="e">
        <f>AND(#REF!,"AAAAAHfrLKM=")</f>
        <v>#REF!</v>
      </c>
      <c r="FI98" t="e">
        <f>AND(#REF!,"AAAAAHfrLKQ=")</f>
        <v>#REF!</v>
      </c>
      <c r="FJ98" t="e">
        <f>AND(#REF!,"AAAAAHfrLKU=")</f>
        <v>#REF!</v>
      </c>
      <c r="FK98" t="e">
        <f>AND(#REF!,"AAAAAHfrLKY=")</f>
        <v>#REF!</v>
      </c>
      <c r="FL98" t="e">
        <f>AND(#REF!,"AAAAAHfrLKc=")</f>
        <v>#REF!</v>
      </c>
      <c r="FM98" t="e">
        <f>AND(#REF!,"AAAAAHfrLKg=")</f>
        <v>#REF!</v>
      </c>
      <c r="FN98" t="e">
        <f>AND(#REF!,"AAAAAHfrLKk=")</f>
        <v>#REF!</v>
      </c>
      <c r="FO98" t="e">
        <f>AND(#REF!,"AAAAAHfrLKo=")</f>
        <v>#REF!</v>
      </c>
      <c r="FP98" t="e">
        <f>AND(#REF!,"AAAAAHfrLKs=")</f>
        <v>#REF!</v>
      </c>
      <c r="FQ98" t="e">
        <f>AND(#REF!,"AAAAAHfrLKw=")</f>
        <v>#REF!</v>
      </c>
      <c r="FR98" t="e">
        <f>AND(#REF!,"AAAAAHfrLK0=")</f>
        <v>#REF!</v>
      </c>
      <c r="FS98" t="e">
        <f>AND(#REF!,"AAAAAHfrLK4=")</f>
        <v>#REF!</v>
      </c>
      <c r="FT98" t="e">
        <f>AND(#REF!,"AAAAAHfrLK8=")</f>
        <v>#REF!</v>
      </c>
      <c r="FU98" t="e">
        <f>AND(#REF!,"AAAAAHfrLLA=")</f>
        <v>#REF!</v>
      </c>
      <c r="FV98" t="e">
        <f>AND(#REF!,"AAAAAHfrLLE=")</f>
        <v>#REF!</v>
      </c>
      <c r="FW98" t="e">
        <f>AND(#REF!,"AAAAAHfrLLI=")</f>
        <v>#REF!</v>
      </c>
      <c r="FX98" t="e">
        <f>AND(#REF!,"AAAAAHfrLLM=")</f>
        <v>#REF!</v>
      </c>
      <c r="FY98" t="e">
        <f>AND(#REF!,"AAAAAHfrLLQ=")</f>
        <v>#REF!</v>
      </c>
      <c r="FZ98" t="e">
        <f>AND(#REF!,"AAAAAHfrLLU=")</f>
        <v>#REF!</v>
      </c>
      <c r="GA98" t="e">
        <f>AND(#REF!,"AAAAAHfrLLY=")</f>
        <v>#REF!</v>
      </c>
      <c r="GB98" t="e">
        <f>AND(#REF!,"AAAAAHfrLLc=")</f>
        <v>#REF!</v>
      </c>
      <c r="GC98" t="e">
        <f>AND(#REF!,"AAAAAHfrLLg=")</f>
        <v>#REF!</v>
      </c>
      <c r="GD98" t="e">
        <f>AND(#REF!,"AAAAAHfrLLk=")</f>
        <v>#REF!</v>
      </c>
      <c r="GE98" t="e">
        <f>AND(#REF!,"AAAAAHfrLLo=")</f>
        <v>#REF!</v>
      </c>
      <c r="GF98" t="e">
        <f>AND(#REF!,"AAAAAHfrLLs=")</f>
        <v>#REF!</v>
      </c>
      <c r="GG98" t="e">
        <f>AND(#REF!,"AAAAAHfrLLw=")</f>
        <v>#REF!</v>
      </c>
      <c r="GH98" t="e">
        <f>AND(#REF!,"AAAAAHfrLL0=")</f>
        <v>#REF!</v>
      </c>
      <c r="GI98" t="e">
        <f>AND(#REF!,"AAAAAHfrLL4=")</f>
        <v>#REF!</v>
      </c>
      <c r="GJ98" t="e">
        <f>AND(#REF!,"AAAAAHfrLL8=")</f>
        <v>#REF!</v>
      </c>
      <c r="GK98" t="e">
        <f>AND(#REF!,"AAAAAHfrLMA=")</f>
        <v>#REF!</v>
      </c>
      <c r="GL98" t="e">
        <f>AND(#REF!,"AAAAAHfrLME=")</f>
        <v>#REF!</v>
      </c>
      <c r="GM98" t="e">
        <f>AND(#REF!,"AAAAAHfrLMI=")</f>
        <v>#REF!</v>
      </c>
      <c r="GN98" t="e">
        <f>AND(#REF!,"AAAAAHfrLMM=")</f>
        <v>#REF!</v>
      </c>
      <c r="GO98" t="e">
        <f>AND(#REF!,"AAAAAHfrLMQ=")</f>
        <v>#REF!</v>
      </c>
      <c r="GP98" t="e">
        <f>AND(#REF!,"AAAAAHfrLMU=")</f>
        <v>#REF!</v>
      </c>
      <c r="GQ98" t="e">
        <f>AND(#REF!,"AAAAAHfrLMY=")</f>
        <v>#REF!</v>
      </c>
      <c r="GR98" t="e">
        <f>AND(#REF!,"AAAAAHfrLMc=")</f>
        <v>#REF!</v>
      </c>
      <c r="GS98" t="e">
        <f>AND(#REF!,"AAAAAHfrLMg=")</f>
        <v>#REF!</v>
      </c>
      <c r="GT98" t="e">
        <f>AND(#REF!,"AAAAAHfrLMk=")</f>
        <v>#REF!</v>
      </c>
      <c r="GU98" t="e">
        <f>AND(#REF!,"AAAAAHfrLMo=")</f>
        <v>#REF!</v>
      </c>
      <c r="GV98" t="e">
        <f>AND(#REF!,"AAAAAHfrLMs=")</f>
        <v>#REF!</v>
      </c>
      <c r="GW98" t="e">
        <f>AND(#REF!,"AAAAAHfrLMw=")</f>
        <v>#REF!</v>
      </c>
      <c r="GX98" t="e">
        <f>AND(#REF!,"AAAAAHfrLM0=")</f>
        <v>#REF!</v>
      </c>
      <c r="GY98" t="e">
        <f>AND(#REF!,"AAAAAHfrLM4=")</f>
        <v>#REF!</v>
      </c>
      <c r="GZ98" t="e">
        <f>AND(#REF!,"AAAAAHfrLM8=")</f>
        <v>#REF!</v>
      </c>
      <c r="HA98" t="e">
        <f>AND(#REF!,"AAAAAHfrLNA=")</f>
        <v>#REF!</v>
      </c>
      <c r="HB98" t="e">
        <f>AND(#REF!,"AAAAAHfrLNE=")</f>
        <v>#REF!</v>
      </c>
      <c r="HC98" t="e">
        <f>AND(#REF!,"AAAAAHfrLNI=")</f>
        <v>#REF!</v>
      </c>
      <c r="HD98" t="e">
        <f>AND(#REF!,"AAAAAHfrLNM=")</f>
        <v>#REF!</v>
      </c>
      <c r="HE98" t="e">
        <f>AND(#REF!,"AAAAAHfrLNQ=")</f>
        <v>#REF!</v>
      </c>
      <c r="HF98" t="e">
        <f>AND(#REF!,"AAAAAHfrLNU=")</f>
        <v>#REF!</v>
      </c>
      <c r="HG98" t="e">
        <f>AND(#REF!,"AAAAAHfrLNY=")</f>
        <v>#REF!</v>
      </c>
      <c r="HH98" t="e">
        <f>AND(#REF!,"AAAAAHfrLNc=")</f>
        <v>#REF!</v>
      </c>
      <c r="HI98" t="e">
        <f>AND(#REF!,"AAAAAHfrLNg=")</f>
        <v>#REF!</v>
      </c>
      <c r="HJ98" t="e">
        <f>AND(#REF!,"AAAAAHfrLNk=")</f>
        <v>#REF!</v>
      </c>
      <c r="HK98" t="e">
        <f>AND(#REF!,"AAAAAHfrLNo=")</f>
        <v>#REF!</v>
      </c>
      <c r="HL98" t="e">
        <f>AND(#REF!,"AAAAAHfrLNs=")</f>
        <v>#REF!</v>
      </c>
      <c r="HM98" t="e">
        <f>AND(#REF!,"AAAAAHfrLNw=")</f>
        <v>#REF!</v>
      </c>
      <c r="HN98" t="e">
        <f>AND(#REF!,"AAAAAHfrLN0=")</f>
        <v>#REF!</v>
      </c>
      <c r="HO98" t="e">
        <f>AND(#REF!,"AAAAAHfrLN4=")</f>
        <v>#REF!</v>
      </c>
      <c r="HP98" t="e">
        <f>AND(#REF!,"AAAAAHfrLN8=")</f>
        <v>#REF!</v>
      </c>
      <c r="HQ98" t="e">
        <f>AND(#REF!,"AAAAAHfrLOA=")</f>
        <v>#REF!</v>
      </c>
      <c r="HR98" t="e">
        <f>AND(#REF!,"AAAAAHfrLOE=")</f>
        <v>#REF!</v>
      </c>
      <c r="HS98" t="e">
        <f>AND(#REF!,"AAAAAHfrLOI=")</f>
        <v>#REF!</v>
      </c>
      <c r="HT98" t="e">
        <f>AND(#REF!,"AAAAAHfrLOM=")</f>
        <v>#REF!</v>
      </c>
      <c r="HU98" t="e">
        <f>AND(#REF!,"AAAAAHfrLOQ=")</f>
        <v>#REF!</v>
      </c>
      <c r="HV98" t="e">
        <f>AND(#REF!,"AAAAAHfrLOU=")</f>
        <v>#REF!</v>
      </c>
      <c r="HW98" t="e">
        <f>AND(#REF!,"AAAAAHfrLOY=")</f>
        <v>#REF!</v>
      </c>
      <c r="HX98" t="e">
        <f>AND(#REF!,"AAAAAHfrLOc=")</f>
        <v>#REF!</v>
      </c>
      <c r="HY98" t="e">
        <f>AND(#REF!,"AAAAAHfrLOg=")</f>
        <v>#REF!</v>
      </c>
      <c r="HZ98" t="e">
        <f>AND(#REF!,"AAAAAHfrLOk=")</f>
        <v>#REF!</v>
      </c>
      <c r="IA98" t="e">
        <f>AND(#REF!,"AAAAAHfrLOo=")</f>
        <v>#REF!</v>
      </c>
      <c r="IB98" t="e">
        <f>AND(#REF!,"AAAAAHfrLOs=")</f>
        <v>#REF!</v>
      </c>
      <c r="IC98" t="e">
        <f>AND(#REF!,"AAAAAHfrLOw=")</f>
        <v>#REF!</v>
      </c>
      <c r="ID98" t="e">
        <f>AND(#REF!,"AAAAAHfrLO0=")</f>
        <v>#REF!</v>
      </c>
      <c r="IE98" t="e">
        <f>AND(#REF!,"AAAAAHfrLO4=")</f>
        <v>#REF!</v>
      </c>
      <c r="IF98" t="e">
        <f>AND(#REF!,"AAAAAHfrLO8=")</f>
        <v>#REF!</v>
      </c>
      <c r="IG98" t="e">
        <f>AND(#REF!,"AAAAAHfrLPA=")</f>
        <v>#REF!</v>
      </c>
      <c r="IH98" t="e">
        <f>AND(#REF!,"AAAAAHfrLPE=")</f>
        <v>#REF!</v>
      </c>
      <c r="II98" t="e">
        <f>AND(#REF!,"AAAAAHfrLPI=")</f>
        <v>#REF!</v>
      </c>
      <c r="IJ98" t="e">
        <f>AND(#REF!,"AAAAAHfrLPM=")</f>
        <v>#REF!</v>
      </c>
      <c r="IK98" t="e">
        <f>AND(#REF!,"AAAAAHfrLPQ=")</f>
        <v>#REF!</v>
      </c>
      <c r="IL98" t="e">
        <f>AND(#REF!,"AAAAAHfrLPU=")</f>
        <v>#REF!</v>
      </c>
      <c r="IM98" t="e">
        <f>AND(#REF!,"AAAAAHfrLPY=")</f>
        <v>#REF!</v>
      </c>
      <c r="IN98" t="e">
        <f>AND(#REF!,"AAAAAHfrLPc=")</f>
        <v>#REF!</v>
      </c>
      <c r="IO98" t="e">
        <f>AND(#REF!,"AAAAAHfrLPg=")</f>
        <v>#REF!</v>
      </c>
      <c r="IP98" t="e">
        <f>AND(#REF!,"AAAAAHfrLPk=")</f>
        <v>#REF!</v>
      </c>
      <c r="IQ98" t="e">
        <f>AND(#REF!,"AAAAAHfrLPo=")</f>
        <v>#REF!</v>
      </c>
      <c r="IR98" t="e">
        <f>AND(#REF!,"AAAAAHfrLPs=")</f>
        <v>#REF!</v>
      </c>
      <c r="IS98" t="e">
        <f>AND(#REF!,"AAAAAHfrLPw=")</f>
        <v>#REF!</v>
      </c>
      <c r="IT98" t="e">
        <f>AND(#REF!,"AAAAAHfrLP0=")</f>
        <v>#REF!</v>
      </c>
      <c r="IU98" t="e">
        <f>AND(#REF!,"AAAAAHfrLP4=")</f>
        <v>#REF!</v>
      </c>
      <c r="IV98" t="e">
        <f>AND(#REF!,"AAAAAHfrLP8=")</f>
        <v>#REF!</v>
      </c>
    </row>
    <row r="99" spans="1:256">
      <c r="A99" t="e">
        <f>AND(#REF!,"AAAAAB9+3QA=")</f>
        <v>#REF!</v>
      </c>
      <c r="B99" t="e">
        <f>AND(#REF!,"AAAAAB9+3QE=")</f>
        <v>#REF!</v>
      </c>
      <c r="C99" t="e">
        <f>AND(#REF!,"AAAAAB9+3QI=")</f>
        <v>#REF!</v>
      </c>
      <c r="D99" t="e">
        <f>AND(#REF!,"AAAAAB9+3QM=")</f>
        <v>#REF!</v>
      </c>
      <c r="E99" t="e">
        <f>AND(#REF!,"AAAAAB9+3QQ=")</f>
        <v>#REF!</v>
      </c>
      <c r="F99" t="e">
        <f>AND(#REF!,"AAAAAB9+3QU=")</f>
        <v>#REF!</v>
      </c>
      <c r="G99" t="e">
        <f>AND(#REF!,"AAAAAB9+3QY=")</f>
        <v>#REF!</v>
      </c>
      <c r="H99" t="e">
        <f>AND(#REF!,"AAAAAB9+3Qc=")</f>
        <v>#REF!</v>
      </c>
      <c r="I99" t="e">
        <f>AND(#REF!,"AAAAAB9+3Qg=")</f>
        <v>#REF!</v>
      </c>
      <c r="J99" t="e">
        <f>AND(#REF!,"AAAAAB9+3Qk=")</f>
        <v>#REF!</v>
      </c>
      <c r="K99" t="e">
        <f>AND(#REF!,"AAAAAB9+3Qo=")</f>
        <v>#REF!</v>
      </c>
      <c r="L99" t="e">
        <f>AND(#REF!,"AAAAAB9+3Qs=")</f>
        <v>#REF!</v>
      </c>
      <c r="M99" t="e">
        <f>AND(#REF!,"AAAAAB9+3Qw=")</f>
        <v>#REF!</v>
      </c>
      <c r="N99" t="e">
        <f>AND(#REF!,"AAAAAB9+3Q0=")</f>
        <v>#REF!</v>
      </c>
      <c r="O99" t="e">
        <f>AND(#REF!,"AAAAAB9+3Q4=")</f>
        <v>#REF!</v>
      </c>
      <c r="P99" t="e">
        <f>AND(#REF!,"AAAAAB9+3Q8=")</f>
        <v>#REF!</v>
      </c>
      <c r="Q99" t="e">
        <f>AND(#REF!,"AAAAAB9+3RA=")</f>
        <v>#REF!</v>
      </c>
      <c r="R99" t="e">
        <f>AND(#REF!,"AAAAAB9+3RE=")</f>
        <v>#REF!</v>
      </c>
      <c r="S99" t="e">
        <f>AND(#REF!,"AAAAAB9+3RI=")</f>
        <v>#REF!</v>
      </c>
      <c r="T99" t="e">
        <f>AND(#REF!,"AAAAAB9+3RM=")</f>
        <v>#REF!</v>
      </c>
      <c r="U99" t="e">
        <f>AND(#REF!,"AAAAAB9+3RQ=")</f>
        <v>#REF!</v>
      </c>
      <c r="V99" t="e">
        <f>AND(#REF!,"AAAAAB9+3RU=")</f>
        <v>#REF!</v>
      </c>
      <c r="W99" t="e">
        <f>AND(#REF!,"AAAAAB9+3RY=")</f>
        <v>#REF!</v>
      </c>
      <c r="X99" t="e">
        <f>AND(#REF!,"AAAAAB9+3Rc=")</f>
        <v>#REF!</v>
      </c>
      <c r="Y99" t="e">
        <f>AND(#REF!,"AAAAAB9+3Rg=")</f>
        <v>#REF!</v>
      </c>
      <c r="Z99" t="e">
        <f>AND(#REF!,"AAAAAB9+3Rk=")</f>
        <v>#REF!</v>
      </c>
      <c r="AA99" t="e">
        <f>AND(#REF!,"AAAAAB9+3Ro=")</f>
        <v>#REF!</v>
      </c>
      <c r="AB99" t="e">
        <f>AND(#REF!,"AAAAAB9+3Rs=")</f>
        <v>#REF!</v>
      </c>
      <c r="AC99" t="e">
        <f>AND(#REF!,"AAAAAB9+3Rw=")</f>
        <v>#REF!</v>
      </c>
      <c r="AD99" t="e">
        <f>AND(#REF!,"AAAAAB9+3R0=")</f>
        <v>#REF!</v>
      </c>
      <c r="AE99" t="e">
        <f>AND(#REF!,"AAAAAB9+3R4=")</f>
        <v>#REF!</v>
      </c>
      <c r="AF99" t="e">
        <f>AND(#REF!,"AAAAAB9+3R8=")</f>
        <v>#REF!</v>
      </c>
      <c r="AG99" t="e">
        <f>AND(#REF!,"AAAAAB9+3SA=")</f>
        <v>#REF!</v>
      </c>
      <c r="AH99" t="e">
        <f>AND(#REF!,"AAAAAB9+3SE=")</f>
        <v>#REF!</v>
      </c>
      <c r="AI99" t="e">
        <f>AND(#REF!,"AAAAAB9+3SI=")</f>
        <v>#REF!</v>
      </c>
      <c r="AJ99" t="e">
        <f>AND(#REF!,"AAAAAB9+3SM=")</f>
        <v>#REF!</v>
      </c>
      <c r="AK99" t="e">
        <f>AND(#REF!,"AAAAAB9+3SQ=")</f>
        <v>#REF!</v>
      </c>
      <c r="AL99" t="e">
        <f>AND(#REF!,"AAAAAB9+3SU=")</f>
        <v>#REF!</v>
      </c>
      <c r="AM99" t="e">
        <f>AND(#REF!,"AAAAAB9+3SY=")</f>
        <v>#REF!</v>
      </c>
      <c r="AN99" t="e">
        <f>AND(#REF!,"AAAAAB9+3Sc=")</f>
        <v>#REF!</v>
      </c>
      <c r="AO99" t="e">
        <f>AND(#REF!,"AAAAAB9+3Sg=")</f>
        <v>#REF!</v>
      </c>
      <c r="AP99" t="e">
        <f>AND(#REF!,"AAAAAB9+3Sk=")</f>
        <v>#REF!</v>
      </c>
      <c r="AQ99" t="e">
        <f>AND(#REF!,"AAAAAB9+3So=")</f>
        <v>#REF!</v>
      </c>
      <c r="AR99" t="e">
        <f>AND(#REF!,"AAAAAB9+3Ss=")</f>
        <v>#REF!</v>
      </c>
      <c r="AS99" t="e">
        <f>AND(#REF!,"AAAAAB9+3Sw=")</f>
        <v>#REF!</v>
      </c>
      <c r="AT99" t="e">
        <f>AND(#REF!,"AAAAAB9+3S0=")</f>
        <v>#REF!</v>
      </c>
      <c r="AU99" t="e">
        <f>AND(#REF!,"AAAAAB9+3S4=")</f>
        <v>#REF!</v>
      </c>
      <c r="AV99" t="e">
        <f>AND(#REF!,"AAAAAB9+3S8=")</f>
        <v>#REF!</v>
      </c>
      <c r="AW99" t="e">
        <f>AND(#REF!,"AAAAAB9+3TA=")</f>
        <v>#REF!</v>
      </c>
      <c r="AX99" t="e">
        <f>AND(#REF!,"AAAAAB9+3TE=")</f>
        <v>#REF!</v>
      </c>
      <c r="AY99" t="e">
        <f>AND(#REF!,"AAAAAB9+3TI=")</f>
        <v>#REF!</v>
      </c>
      <c r="AZ99" t="e">
        <f>AND(#REF!,"AAAAAB9+3TM=")</f>
        <v>#REF!</v>
      </c>
      <c r="BA99" t="e">
        <f>AND(#REF!,"AAAAAB9+3TQ=")</f>
        <v>#REF!</v>
      </c>
      <c r="BB99" t="e">
        <f>AND(#REF!,"AAAAAB9+3TU=")</f>
        <v>#REF!</v>
      </c>
      <c r="BC99" t="e">
        <f>AND(#REF!,"AAAAAB9+3TY=")</f>
        <v>#REF!</v>
      </c>
      <c r="BD99" t="e">
        <f>AND(#REF!,"AAAAAB9+3Tc=")</f>
        <v>#REF!</v>
      </c>
      <c r="BE99" t="e">
        <f>AND(#REF!,"AAAAAB9+3Tg=")</f>
        <v>#REF!</v>
      </c>
      <c r="BF99" t="e">
        <f>AND(#REF!,"AAAAAB9+3Tk=")</f>
        <v>#REF!</v>
      </c>
      <c r="BG99" t="e">
        <f>AND(#REF!,"AAAAAB9+3To=")</f>
        <v>#REF!</v>
      </c>
      <c r="BH99" t="e">
        <f>AND(#REF!,"AAAAAB9+3Ts=")</f>
        <v>#REF!</v>
      </c>
      <c r="BI99" t="e">
        <f>AND(#REF!,"AAAAAB9+3Tw=")</f>
        <v>#REF!</v>
      </c>
      <c r="BJ99" t="e">
        <f>AND(#REF!,"AAAAAB9+3T0=")</f>
        <v>#REF!</v>
      </c>
      <c r="BK99" t="e">
        <f>AND(#REF!,"AAAAAB9+3T4=")</f>
        <v>#REF!</v>
      </c>
      <c r="BL99" t="e">
        <f>AND(#REF!,"AAAAAB9+3T8=")</f>
        <v>#REF!</v>
      </c>
      <c r="BM99" t="e">
        <f>AND(#REF!,"AAAAAB9+3UA=")</f>
        <v>#REF!</v>
      </c>
      <c r="BN99" t="e">
        <f>AND(#REF!,"AAAAAB9+3UE=")</f>
        <v>#REF!</v>
      </c>
      <c r="BO99" t="e">
        <f>AND(#REF!,"AAAAAB9+3UI=")</f>
        <v>#REF!</v>
      </c>
      <c r="BP99" t="e">
        <f>AND(#REF!,"AAAAAB9+3UM=")</f>
        <v>#REF!</v>
      </c>
      <c r="BQ99" t="e">
        <f>AND(#REF!,"AAAAAB9+3UQ=")</f>
        <v>#REF!</v>
      </c>
      <c r="BR99" t="e">
        <f>AND(#REF!,"AAAAAB9+3UU=")</f>
        <v>#REF!</v>
      </c>
      <c r="BS99" t="e">
        <f>AND(#REF!,"AAAAAB9+3UY=")</f>
        <v>#REF!</v>
      </c>
      <c r="BT99" t="e">
        <f>AND(#REF!,"AAAAAB9+3Uc=")</f>
        <v>#REF!</v>
      </c>
      <c r="BU99" t="e">
        <f>AND(#REF!,"AAAAAB9+3Ug=")</f>
        <v>#REF!</v>
      </c>
      <c r="BV99" t="e">
        <f>AND(#REF!,"AAAAAB9+3Uk=")</f>
        <v>#REF!</v>
      </c>
      <c r="BW99" t="e">
        <f>AND(#REF!,"AAAAAB9+3Uo=")</f>
        <v>#REF!</v>
      </c>
      <c r="BX99" t="e">
        <f>AND(#REF!,"AAAAAB9+3Us=")</f>
        <v>#REF!</v>
      </c>
      <c r="BY99" t="e">
        <f>AND(#REF!,"AAAAAB9+3Uw=")</f>
        <v>#REF!</v>
      </c>
      <c r="BZ99" t="e">
        <f>AND(#REF!,"AAAAAB9+3U0=")</f>
        <v>#REF!</v>
      </c>
      <c r="CA99" t="e">
        <f>AND(#REF!,"AAAAAB9+3U4=")</f>
        <v>#REF!</v>
      </c>
      <c r="CB99" t="e">
        <f>AND(#REF!,"AAAAAB9+3U8=")</f>
        <v>#REF!</v>
      </c>
      <c r="CC99" t="e">
        <f>AND(#REF!,"AAAAAB9+3VA=")</f>
        <v>#REF!</v>
      </c>
      <c r="CD99" t="e">
        <f>AND(#REF!,"AAAAAB9+3VE=")</f>
        <v>#REF!</v>
      </c>
      <c r="CE99" t="e">
        <f>AND(#REF!,"AAAAAB9+3VI=")</f>
        <v>#REF!</v>
      </c>
      <c r="CF99" t="e">
        <f>AND(#REF!,"AAAAAB9+3VM=")</f>
        <v>#REF!</v>
      </c>
      <c r="CG99" t="e">
        <f>AND(#REF!,"AAAAAB9+3VQ=")</f>
        <v>#REF!</v>
      </c>
      <c r="CH99" t="e">
        <f>AND(#REF!,"AAAAAB9+3VU=")</f>
        <v>#REF!</v>
      </c>
      <c r="CI99" t="e">
        <f>AND(#REF!,"AAAAAB9+3VY=")</f>
        <v>#REF!</v>
      </c>
      <c r="CJ99" t="e">
        <f>AND(#REF!,"AAAAAB9+3Vc=")</f>
        <v>#REF!</v>
      </c>
      <c r="CK99" t="e">
        <f>AND(#REF!,"AAAAAB9+3Vg=")</f>
        <v>#REF!</v>
      </c>
      <c r="CL99" t="e">
        <f>AND(#REF!,"AAAAAB9+3Vk=")</f>
        <v>#REF!</v>
      </c>
      <c r="CM99" t="e">
        <f>AND(#REF!,"AAAAAB9+3Vo=")</f>
        <v>#REF!</v>
      </c>
      <c r="CN99" t="e">
        <f>AND(#REF!,"AAAAAB9+3Vs=")</f>
        <v>#REF!</v>
      </c>
      <c r="CO99" t="e">
        <f>AND(#REF!,"AAAAAB9+3Vw=")</f>
        <v>#REF!</v>
      </c>
      <c r="CP99" t="e">
        <f>AND(#REF!,"AAAAAB9+3V0=")</f>
        <v>#REF!</v>
      </c>
      <c r="CQ99" t="e">
        <f>AND(#REF!,"AAAAAB9+3V4=")</f>
        <v>#REF!</v>
      </c>
      <c r="CR99" t="e">
        <f>AND(#REF!,"AAAAAB9+3V8=")</f>
        <v>#REF!</v>
      </c>
      <c r="CS99" t="e">
        <f>AND(#REF!,"AAAAAB9+3WA=")</f>
        <v>#REF!</v>
      </c>
      <c r="CT99" t="e">
        <f>AND(#REF!,"AAAAAB9+3WE=")</f>
        <v>#REF!</v>
      </c>
      <c r="CU99" t="e">
        <f>AND(#REF!,"AAAAAB9+3WI=")</f>
        <v>#REF!</v>
      </c>
      <c r="CV99" t="e">
        <f>AND(#REF!,"AAAAAB9+3WM=")</f>
        <v>#REF!</v>
      </c>
      <c r="CW99" t="e">
        <f>AND(#REF!,"AAAAAB9+3WQ=")</f>
        <v>#REF!</v>
      </c>
      <c r="CX99" t="e">
        <f>AND(#REF!,"AAAAAB9+3WU=")</f>
        <v>#REF!</v>
      </c>
      <c r="CY99" t="e">
        <f>AND(#REF!,"AAAAAB9+3WY=")</f>
        <v>#REF!</v>
      </c>
      <c r="CZ99" t="e">
        <f>AND(#REF!,"AAAAAB9+3Wc=")</f>
        <v>#REF!</v>
      </c>
      <c r="DA99" t="e">
        <f>AND(#REF!,"AAAAAB9+3Wg=")</f>
        <v>#REF!</v>
      </c>
      <c r="DB99" t="e">
        <f>AND(#REF!,"AAAAAB9+3Wk=")</f>
        <v>#REF!</v>
      </c>
      <c r="DC99" t="e">
        <f>AND(#REF!,"AAAAAB9+3Wo=")</f>
        <v>#REF!</v>
      </c>
      <c r="DD99" t="e">
        <f>AND(#REF!,"AAAAAB9+3Ws=")</f>
        <v>#REF!</v>
      </c>
      <c r="DE99" t="e">
        <f>AND(#REF!,"AAAAAB9+3Ww=")</f>
        <v>#REF!</v>
      </c>
      <c r="DF99" t="e">
        <f>AND(#REF!,"AAAAAB9+3W0=")</f>
        <v>#REF!</v>
      </c>
      <c r="DG99" t="e">
        <f>AND(#REF!,"AAAAAB9+3W4=")</f>
        <v>#REF!</v>
      </c>
      <c r="DH99" t="e">
        <f>AND(#REF!,"AAAAAB9+3W8=")</f>
        <v>#REF!</v>
      </c>
      <c r="DI99" t="e">
        <f>AND(#REF!,"AAAAAB9+3XA=")</f>
        <v>#REF!</v>
      </c>
      <c r="DJ99" t="e">
        <f>AND(#REF!,"AAAAAB9+3XE=")</f>
        <v>#REF!</v>
      </c>
      <c r="DK99" t="e">
        <f>AND(#REF!,"AAAAAB9+3XI=")</f>
        <v>#REF!</v>
      </c>
      <c r="DL99" t="e">
        <f>AND(#REF!,"AAAAAB9+3XM=")</f>
        <v>#REF!</v>
      </c>
      <c r="DM99" t="e">
        <f>AND(#REF!,"AAAAAB9+3XQ=")</f>
        <v>#REF!</v>
      </c>
      <c r="DN99" t="e">
        <f>AND(#REF!,"AAAAAB9+3XU=")</f>
        <v>#REF!</v>
      </c>
      <c r="DO99" t="e">
        <f>AND(#REF!,"AAAAAB9+3XY=")</f>
        <v>#REF!</v>
      </c>
      <c r="DP99" t="e">
        <f>AND(#REF!,"AAAAAB9+3Xc=")</f>
        <v>#REF!</v>
      </c>
      <c r="DQ99" t="e">
        <f>AND(#REF!,"AAAAAB9+3Xg=")</f>
        <v>#REF!</v>
      </c>
      <c r="DR99" t="e">
        <f>AND(#REF!,"AAAAAB9+3Xk=")</f>
        <v>#REF!</v>
      </c>
      <c r="DS99" t="e">
        <f>AND(#REF!,"AAAAAB9+3Xo=")</f>
        <v>#REF!</v>
      </c>
      <c r="DT99" t="e">
        <f>AND(#REF!,"AAAAAB9+3Xs=")</f>
        <v>#REF!</v>
      </c>
      <c r="DU99" t="e">
        <f>AND(#REF!,"AAAAAB9+3Xw=")</f>
        <v>#REF!</v>
      </c>
      <c r="DV99" t="e">
        <f>AND(#REF!,"AAAAAB9+3X0=")</f>
        <v>#REF!</v>
      </c>
      <c r="DW99" t="e">
        <f>AND(#REF!,"AAAAAB9+3X4=")</f>
        <v>#REF!</v>
      </c>
      <c r="DX99" t="e">
        <f>AND(#REF!,"AAAAAB9+3X8=")</f>
        <v>#REF!</v>
      </c>
      <c r="DY99" t="e">
        <f>AND(#REF!,"AAAAAB9+3YA=")</f>
        <v>#REF!</v>
      </c>
      <c r="DZ99" t="e">
        <f>AND(#REF!,"AAAAAB9+3YE=")</f>
        <v>#REF!</v>
      </c>
      <c r="EA99" t="e">
        <f>AND(#REF!,"AAAAAB9+3YI=")</f>
        <v>#REF!</v>
      </c>
      <c r="EB99" t="e">
        <f>AND(#REF!,"AAAAAB9+3YM=")</f>
        <v>#REF!</v>
      </c>
      <c r="EC99" t="e">
        <f>AND(#REF!,"AAAAAB9+3YQ=")</f>
        <v>#REF!</v>
      </c>
      <c r="ED99" t="e">
        <f>AND(#REF!,"AAAAAB9+3YU=")</f>
        <v>#REF!</v>
      </c>
      <c r="EE99" t="e">
        <f>AND(#REF!,"AAAAAB9+3YY=")</f>
        <v>#REF!</v>
      </c>
      <c r="EF99" t="e">
        <f>AND(#REF!,"AAAAAB9+3Yc=")</f>
        <v>#REF!</v>
      </c>
      <c r="EG99" t="e">
        <f>AND(#REF!,"AAAAAB9+3Yg=")</f>
        <v>#REF!</v>
      </c>
      <c r="EH99" t="e">
        <f>AND(#REF!,"AAAAAB9+3Yk=")</f>
        <v>#REF!</v>
      </c>
      <c r="EI99" t="e">
        <f>AND(#REF!,"AAAAAB9+3Yo=")</f>
        <v>#REF!</v>
      </c>
      <c r="EJ99" t="e">
        <f>AND(#REF!,"AAAAAB9+3Ys=")</f>
        <v>#REF!</v>
      </c>
      <c r="EK99" t="e">
        <f>AND(#REF!,"AAAAAB9+3Yw=")</f>
        <v>#REF!</v>
      </c>
      <c r="EL99" t="e">
        <f>AND(#REF!,"AAAAAB9+3Y0=")</f>
        <v>#REF!</v>
      </c>
      <c r="EM99" t="e">
        <f>AND(#REF!,"AAAAAB9+3Y4=")</f>
        <v>#REF!</v>
      </c>
      <c r="EN99" t="e">
        <f>AND(#REF!,"AAAAAB9+3Y8=")</f>
        <v>#REF!</v>
      </c>
      <c r="EO99" t="e">
        <f>AND(#REF!,"AAAAAB9+3ZA=")</f>
        <v>#REF!</v>
      </c>
      <c r="EP99" t="e">
        <f>AND(#REF!,"AAAAAB9+3ZE=")</f>
        <v>#REF!</v>
      </c>
      <c r="EQ99" t="e">
        <f>AND(#REF!,"AAAAAB9+3ZI=")</f>
        <v>#REF!</v>
      </c>
      <c r="ER99" t="e">
        <f>AND(#REF!,"AAAAAB9+3ZM=")</f>
        <v>#REF!</v>
      </c>
      <c r="ES99" t="e">
        <f>AND(#REF!,"AAAAAB9+3ZQ=")</f>
        <v>#REF!</v>
      </c>
      <c r="ET99" t="e">
        <f>AND(#REF!,"AAAAAB9+3ZU=")</f>
        <v>#REF!</v>
      </c>
      <c r="EU99" t="e">
        <f>AND(#REF!,"AAAAAB9+3ZY=")</f>
        <v>#REF!</v>
      </c>
      <c r="EV99" t="e">
        <f>AND(#REF!,"AAAAAB9+3Zc=")</f>
        <v>#REF!</v>
      </c>
      <c r="EW99" t="e">
        <f>AND(#REF!,"AAAAAB9+3Zg=")</f>
        <v>#REF!</v>
      </c>
      <c r="EX99" t="e">
        <f>AND(#REF!,"AAAAAB9+3Zk=")</f>
        <v>#REF!</v>
      </c>
      <c r="EY99" t="e">
        <f>AND(#REF!,"AAAAAB9+3Zo=")</f>
        <v>#REF!</v>
      </c>
      <c r="EZ99" t="e">
        <f>AND(#REF!,"AAAAAB9+3Zs=")</f>
        <v>#REF!</v>
      </c>
      <c r="FA99" t="e">
        <f>AND(#REF!,"AAAAAB9+3Zw=")</f>
        <v>#REF!</v>
      </c>
      <c r="FB99" t="e">
        <f>AND(#REF!,"AAAAAB9+3Z0=")</f>
        <v>#REF!</v>
      </c>
      <c r="FC99" t="e">
        <f>AND(#REF!,"AAAAAB9+3Z4=")</f>
        <v>#REF!</v>
      </c>
      <c r="FD99" t="e">
        <f>AND(#REF!,"AAAAAB9+3Z8=")</f>
        <v>#REF!</v>
      </c>
      <c r="FE99" t="e">
        <f>AND(#REF!,"AAAAAB9+3aA=")</f>
        <v>#REF!</v>
      </c>
      <c r="FF99" t="e">
        <f>AND(#REF!,"AAAAAB9+3aE=")</f>
        <v>#REF!</v>
      </c>
      <c r="FG99" t="e">
        <f>AND(#REF!,"AAAAAB9+3aI=")</f>
        <v>#REF!</v>
      </c>
      <c r="FH99" t="e">
        <f>AND(#REF!,"AAAAAB9+3aM=")</f>
        <v>#REF!</v>
      </c>
      <c r="FI99" t="e">
        <f>AND(#REF!,"AAAAAB9+3aQ=")</f>
        <v>#REF!</v>
      </c>
      <c r="FJ99" t="e">
        <f>AND(#REF!,"AAAAAB9+3aU=")</f>
        <v>#REF!</v>
      </c>
      <c r="FK99" t="e">
        <f>AND(#REF!,"AAAAAB9+3aY=")</f>
        <v>#REF!</v>
      </c>
      <c r="FL99" t="e">
        <f>AND(#REF!,"AAAAAB9+3ac=")</f>
        <v>#REF!</v>
      </c>
      <c r="FM99" t="e">
        <f>AND(#REF!,"AAAAAB9+3ag=")</f>
        <v>#REF!</v>
      </c>
      <c r="FN99" t="e">
        <f>AND(#REF!,"AAAAAB9+3ak=")</f>
        <v>#REF!</v>
      </c>
      <c r="FO99" t="e">
        <f>AND(#REF!,"AAAAAB9+3ao=")</f>
        <v>#REF!</v>
      </c>
      <c r="FP99" t="e">
        <f>AND(#REF!,"AAAAAB9+3as=")</f>
        <v>#REF!</v>
      </c>
      <c r="FQ99" t="e">
        <f>AND(#REF!,"AAAAAB9+3aw=")</f>
        <v>#REF!</v>
      </c>
      <c r="FR99" t="e">
        <f>AND(#REF!,"AAAAAB9+3a0=")</f>
        <v>#REF!</v>
      </c>
      <c r="FS99" t="e">
        <f>AND(#REF!,"AAAAAB9+3a4=")</f>
        <v>#REF!</v>
      </c>
      <c r="FT99" t="e">
        <f>AND(#REF!,"AAAAAB9+3a8=")</f>
        <v>#REF!</v>
      </c>
      <c r="FU99" t="e">
        <f>AND(#REF!,"AAAAAB9+3bA=")</f>
        <v>#REF!</v>
      </c>
      <c r="FV99" t="e">
        <f>AND(#REF!,"AAAAAB9+3bE=")</f>
        <v>#REF!</v>
      </c>
      <c r="FW99" t="e">
        <f>AND(#REF!,"AAAAAB9+3bI=")</f>
        <v>#REF!</v>
      </c>
      <c r="FX99" t="e">
        <f>AND(#REF!,"AAAAAB9+3bM=")</f>
        <v>#REF!</v>
      </c>
      <c r="FY99" t="e">
        <f>AND(#REF!,"AAAAAB9+3bQ=")</f>
        <v>#REF!</v>
      </c>
      <c r="FZ99" t="e">
        <f>AND(#REF!,"AAAAAB9+3bU=")</f>
        <v>#REF!</v>
      </c>
      <c r="GA99" t="e">
        <f>AND(#REF!,"AAAAAB9+3bY=")</f>
        <v>#REF!</v>
      </c>
      <c r="GB99" t="e">
        <f>AND(#REF!,"AAAAAB9+3bc=")</f>
        <v>#REF!</v>
      </c>
      <c r="GC99" t="e">
        <f>AND(#REF!,"AAAAAB9+3bg=")</f>
        <v>#REF!</v>
      </c>
      <c r="GD99" t="e">
        <f>AND(#REF!,"AAAAAB9+3bk=")</f>
        <v>#REF!</v>
      </c>
      <c r="GE99" t="e">
        <f>AND(#REF!,"AAAAAB9+3bo=")</f>
        <v>#REF!</v>
      </c>
      <c r="GF99" t="e">
        <f>AND(#REF!,"AAAAAB9+3bs=")</f>
        <v>#REF!</v>
      </c>
      <c r="GG99" t="e">
        <f>AND(#REF!,"AAAAAB9+3bw=")</f>
        <v>#REF!</v>
      </c>
      <c r="GH99" t="e">
        <f>AND(#REF!,"AAAAAB9+3b0=")</f>
        <v>#REF!</v>
      </c>
      <c r="GI99" t="e">
        <f>AND(#REF!,"AAAAAB9+3b4=")</f>
        <v>#REF!</v>
      </c>
      <c r="GJ99" t="e">
        <f>AND(#REF!,"AAAAAB9+3b8=")</f>
        <v>#REF!</v>
      </c>
      <c r="GK99" t="e">
        <f>AND(#REF!,"AAAAAB9+3cA=")</f>
        <v>#REF!</v>
      </c>
      <c r="GL99" t="e">
        <f>AND(#REF!,"AAAAAB9+3cE=")</f>
        <v>#REF!</v>
      </c>
      <c r="GM99" t="e">
        <f>AND(#REF!,"AAAAAB9+3cI=")</f>
        <v>#REF!</v>
      </c>
      <c r="GN99" t="e">
        <f>AND(#REF!,"AAAAAB9+3cM=")</f>
        <v>#REF!</v>
      </c>
      <c r="GO99" t="e">
        <f>AND(#REF!,"AAAAAB9+3cQ=")</f>
        <v>#REF!</v>
      </c>
      <c r="GP99" t="e">
        <f>AND(#REF!,"AAAAAB9+3cU=")</f>
        <v>#REF!</v>
      </c>
      <c r="GQ99" t="e">
        <f>AND(#REF!,"AAAAAB9+3cY=")</f>
        <v>#REF!</v>
      </c>
      <c r="GR99" t="e">
        <f>AND(#REF!,"AAAAAB9+3cc=")</f>
        <v>#REF!</v>
      </c>
      <c r="GS99" t="e">
        <f>AND(#REF!,"AAAAAB9+3cg=")</f>
        <v>#REF!</v>
      </c>
      <c r="GT99" t="e">
        <f>AND(#REF!,"AAAAAB9+3ck=")</f>
        <v>#REF!</v>
      </c>
      <c r="GU99" t="e">
        <f>AND(#REF!,"AAAAAB9+3co=")</f>
        <v>#REF!</v>
      </c>
      <c r="GV99" t="e">
        <f>AND(#REF!,"AAAAAB9+3cs=")</f>
        <v>#REF!</v>
      </c>
      <c r="GW99" t="e">
        <f>AND(#REF!,"AAAAAB9+3cw=")</f>
        <v>#REF!</v>
      </c>
      <c r="GX99" t="e">
        <f>AND(#REF!,"AAAAAB9+3c0=")</f>
        <v>#REF!</v>
      </c>
      <c r="GY99" t="e">
        <f>AND(#REF!,"AAAAAB9+3c4=")</f>
        <v>#REF!</v>
      </c>
      <c r="GZ99" t="e">
        <f>AND(#REF!,"AAAAAB9+3c8=")</f>
        <v>#REF!</v>
      </c>
      <c r="HA99" t="e">
        <f>AND(#REF!,"AAAAAB9+3dA=")</f>
        <v>#REF!</v>
      </c>
      <c r="HB99" t="e">
        <f>AND(#REF!,"AAAAAB9+3dE=")</f>
        <v>#REF!</v>
      </c>
      <c r="HC99" t="e">
        <f>AND(#REF!,"AAAAAB9+3dI=")</f>
        <v>#REF!</v>
      </c>
      <c r="HD99" t="e">
        <f>AND(#REF!,"AAAAAB9+3dM=")</f>
        <v>#REF!</v>
      </c>
      <c r="HE99" t="e">
        <f>AND(#REF!,"AAAAAB9+3dQ=")</f>
        <v>#REF!</v>
      </c>
      <c r="HF99" t="e">
        <f>AND(#REF!,"AAAAAB9+3dU=")</f>
        <v>#REF!</v>
      </c>
      <c r="HG99" t="e">
        <f>AND(#REF!,"AAAAAB9+3dY=")</f>
        <v>#REF!</v>
      </c>
      <c r="HH99" t="e">
        <f>AND(#REF!,"AAAAAB9+3dc=")</f>
        <v>#REF!</v>
      </c>
      <c r="HI99" t="e">
        <f>AND(#REF!,"AAAAAB9+3dg=")</f>
        <v>#REF!</v>
      </c>
      <c r="HJ99" t="e">
        <f>AND(#REF!,"AAAAAB9+3dk=")</f>
        <v>#REF!</v>
      </c>
      <c r="HK99" t="e">
        <f>AND(#REF!,"AAAAAB9+3do=")</f>
        <v>#REF!</v>
      </c>
      <c r="HL99" t="e">
        <f>AND(#REF!,"AAAAAB9+3ds=")</f>
        <v>#REF!</v>
      </c>
      <c r="HM99" t="e">
        <f>AND(#REF!,"AAAAAB9+3dw=")</f>
        <v>#REF!</v>
      </c>
      <c r="HN99" t="e">
        <f>AND(#REF!,"AAAAAB9+3d0=")</f>
        <v>#REF!</v>
      </c>
      <c r="HO99" t="e">
        <f>AND(#REF!,"AAAAAB9+3d4=")</f>
        <v>#REF!</v>
      </c>
      <c r="HP99" t="e">
        <f>AND(#REF!,"AAAAAB9+3d8=")</f>
        <v>#REF!</v>
      </c>
      <c r="HQ99" t="e">
        <f>AND(#REF!,"AAAAAB9+3eA=")</f>
        <v>#REF!</v>
      </c>
      <c r="HR99" t="e">
        <f>AND(#REF!,"AAAAAB9+3eE=")</f>
        <v>#REF!</v>
      </c>
      <c r="HS99" t="e">
        <f>AND(#REF!,"AAAAAB9+3eI=")</f>
        <v>#REF!</v>
      </c>
      <c r="HT99" t="e">
        <f>AND(#REF!,"AAAAAB9+3eM=")</f>
        <v>#REF!</v>
      </c>
      <c r="HU99" t="e">
        <f>AND(#REF!,"AAAAAB9+3eQ=")</f>
        <v>#REF!</v>
      </c>
      <c r="HV99" t="e">
        <f>AND(#REF!,"AAAAAB9+3eU=")</f>
        <v>#REF!</v>
      </c>
      <c r="HW99" t="e">
        <f>AND(#REF!,"AAAAAB9+3eY=")</f>
        <v>#REF!</v>
      </c>
      <c r="HX99" t="e">
        <f>AND(#REF!,"AAAAAB9+3ec=")</f>
        <v>#REF!</v>
      </c>
      <c r="HY99" t="e">
        <f>AND(#REF!,"AAAAAB9+3eg=")</f>
        <v>#REF!</v>
      </c>
      <c r="HZ99" t="e">
        <f>AND(#REF!,"AAAAAB9+3ek=")</f>
        <v>#REF!</v>
      </c>
      <c r="IA99" t="e">
        <f>AND(#REF!,"AAAAAB9+3eo=")</f>
        <v>#REF!</v>
      </c>
      <c r="IB99" t="e">
        <f>AND(#REF!,"AAAAAB9+3es=")</f>
        <v>#REF!</v>
      </c>
      <c r="IC99" t="e">
        <f>AND(#REF!,"AAAAAB9+3ew=")</f>
        <v>#REF!</v>
      </c>
      <c r="ID99" t="e">
        <f>AND(#REF!,"AAAAAB9+3e0=")</f>
        <v>#REF!</v>
      </c>
      <c r="IE99" t="e">
        <f>AND(#REF!,"AAAAAB9+3e4=")</f>
        <v>#REF!</v>
      </c>
      <c r="IF99" t="e">
        <f>AND(#REF!,"AAAAAB9+3e8=")</f>
        <v>#REF!</v>
      </c>
      <c r="IG99" t="e">
        <f>AND(#REF!,"AAAAAB9+3fA=")</f>
        <v>#REF!</v>
      </c>
      <c r="IH99" t="e">
        <f>AND(#REF!,"AAAAAB9+3fE=")</f>
        <v>#REF!</v>
      </c>
      <c r="II99" t="e">
        <f>AND(#REF!,"AAAAAB9+3fI=")</f>
        <v>#REF!</v>
      </c>
      <c r="IJ99" t="e">
        <f>AND(#REF!,"AAAAAB9+3fM=")</f>
        <v>#REF!</v>
      </c>
      <c r="IK99" t="e">
        <f>AND(#REF!,"AAAAAB9+3fQ=")</f>
        <v>#REF!</v>
      </c>
      <c r="IL99" t="e">
        <f>AND(#REF!,"AAAAAB9+3fU=")</f>
        <v>#REF!</v>
      </c>
      <c r="IM99" t="e">
        <f>AND(#REF!,"AAAAAB9+3fY=")</f>
        <v>#REF!</v>
      </c>
      <c r="IN99" t="e">
        <f>AND(#REF!,"AAAAAB9+3fc=")</f>
        <v>#REF!</v>
      </c>
      <c r="IO99" t="e">
        <f>AND(#REF!,"AAAAAB9+3fg=")</f>
        <v>#REF!</v>
      </c>
      <c r="IP99" t="e">
        <f>AND(#REF!,"AAAAAB9+3fk=")</f>
        <v>#REF!</v>
      </c>
      <c r="IQ99" t="e">
        <f>AND(#REF!,"AAAAAB9+3fo=")</f>
        <v>#REF!</v>
      </c>
      <c r="IR99" t="e">
        <f>AND(#REF!,"AAAAAB9+3fs=")</f>
        <v>#REF!</v>
      </c>
      <c r="IS99" t="e">
        <f>AND(#REF!,"AAAAAB9+3fw=")</f>
        <v>#REF!</v>
      </c>
      <c r="IT99" t="e">
        <f>AND(#REF!,"AAAAAB9+3f0=")</f>
        <v>#REF!</v>
      </c>
      <c r="IU99" t="e">
        <f>AND(#REF!,"AAAAAB9+3f4=")</f>
        <v>#REF!</v>
      </c>
      <c r="IV99" t="e">
        <f>AND(#REF!,"AAAAAB9+3f8=")</f>
        <v>#REF!</v>
      </c>
    </row>
    <row r="100" spans="1:256">
      <c r="A100" t="e">
        <f>AND(#REF!,"AAAAAG+3/wA=")</f>
        <v>#REF!</v>
      </c>
      <c r="B100" t="e">
        <f>AND(#REF!,"AAAAAG+3/wE=")</f>
        <v>#REF!</v>
      </c>
      <c r="C100" t="e">
        <f>AND(#REF!,"AAAAAG+3/wI=")</f>
        <v>#REF!</v>
      </c>
      <c r="D100" t="e">
        <f>AND(#REF!,"AAAAAG+3/wM=")</f>
        <v>#REF!</v>
      </c>
      <c r="E100" t="e">
        <f>AND(#REF!,"AAAAAG+3/wQ=")</f>
        <v>#REF!</v>
      </c>
      <c r="F100" t="e">
        <f>AND(#REF!,"AAAAAG+3/wU=")</f>
        <v>#REF!</v>
      </c>
      <c r="G100" t="e">
        <f>AND(#REF!,"AAAAAG+3/wY=")</f>
        <v>#REF!</v>
      </c>
      <c r="H100" t="e">
        <f>AND(#REF!,"AAAAAG+3/wc=")</f>
        <v>#REF!</v>
      </c>
      <c r="I100" t="e">
        <f>AND(#REF!,"AAAAAG+3/wg=")</f>
        <v>#REF!</v>
      </c>
      <c r="J100" t="e">
        <f>AND(#REF!,"AAAAAG+3/wk=")</f>
        <v>#REF!</v>
      </c>
      <c r="K100" t="e">
        <f>AND(#REF!,"AAAAAG+3/wo=")</f>
        <v>#REF!</v>
      </c>
      <c r="L100" t="e">
        <f>AND(#REF!,"AAAAAG+3/ws=")</f>
        <v>#REF!</v>
      </c>
      <c r="M100" t="e">
        <f>AND(#REF!,"AAAAAG+3/ww=")</f>
        <v>#REF!</v>
      </c>
      <c r="N100" t="e">
        <f>AND(#REF!,"AAAAAG+3/w0=")</f>
        <v>#REF!</v>
      </c>
      <c r="O100" t="e">
        <f>AND(#REF!,"AAAAAG+3/w4=")</f>
        <v>#REF!</v>
      </c>
      <c r="P100" t="e">
        <f>AND(#REF!,"AAAAAG+3/w8=")</f>
        <v>#REF!</v>
      </c>
      <c r="Q100" t="e">
        <f>AND(#REF!,"AAAAAG+3/xA=")</f>
        <v>#REF!</v>
      </c>
      <c r="R100" t="e">
        <f>AND(#REF!,"AAAAAG+3/xE=")</f>
        <v>#REF!</v>
      </c>
      <c r="S100" t="e">
        <f>AND(#REF!,"AAAAAG+3/xI=")</f>
        <v>#REF!</v>
      </c>
      <c r="T100" t="e">
        <f>AND(#REF!,"AAAAAG+3/xM=")</f>
        <v>#REF!</v>
      </c>
      <c r="U100" t="e">
        <f>AND(#REF!,"AAAAAG+3/xQ=")</f>
        <v>#REF!</v>
      </c>
      <c r="V100" t="e">
        <f>AND(#REF!,"AAAAAG+3/xU=")</f>
        <v>#REF!</v>
      </c>
      <c r="W100" t="e">
        <f>AND(#REF!,"AAAAAG+3/xY=")</f>
        <v>#REF!</v>
      </c>
      <c r="X100" t="e">
        <f>AND(#REF!,"AAAAAG+3/xc=")</f>
        <v>#REF!</v>
      </c>
      <c r="Y100" t="e">
        <f>AND(#REF!,"AAAAAG+3/xg=")</f>
        <v>#REF!</v>
      </c>
      <c r="Z100" t="e">
        <f>AND(#REF!,"AAAAAG+3/xk=")</f>
        <v>#REF!</v>
      </c>
      <c r="AA100" t="e">
        <f>AND(#REF!,"AAAAAG+3/xo=")</f>
        <v>#REF!</v>
      </c>
      <c r="AB100" t="e">
        <f>AND(#REF!,"AAAAAG+3/xs=")</f>
        <v>#REF!</v>
      </c>
      <c r="AC100" t="e">
        <f>AND(#REF!,"AAAAAG+3/xw=")</f>
        <v>#REF!</v>
      </c>
      <c r="AD100" t="e">
        <f>AND(#REF!,"AAAAAG+3/x0=")</f>
        <v>#REF!</v>
      </c>
      <c r="AE100" t="e">
        <f>AND(#REF!,"AAAAAG+3/x4=")</f>
        <v>#REF!</v>
      </c>
      <c r="AF100" t="e">
        <f>AND(#REF!,"AAAAAG+3/x8=")</f>
        <v>#REF!</v>
      </c>
      <c r="AG100" t="e">
        <f>AND(#REF!,"AAAAAG+3/yA=")</f>
        <v>#REF!</v>
      </c>
      <c r="AH100" t="e">
        <f>AND(#REF!,"AAAAAG+3/yE=")</f>
        <v>#REF!</v>
      </c>
      <c r="AI100" t="e">
        <f>AND(#REF!,"AAAAAG+3/yI=")</f>
        <v>#REF!</v>
      </c>
      <c r="AJ100" t="e">
        <f>AND(#REF!,"AAAAAG+3/yM=")</f>
        <v>#REF!</v>
      </c>
      <c r="AK100" t="e">
        <f>AND(#REF!,"AAAAAG+3/yQ=")</f>
        <v>#REF!</v>
      </c>
      <c r="AL100" t="e">
        <f>AND(#REF!,"AAAAAG+3/yU=")</f>
        <v>#REF!</v>
      </c>
      <c r="AM100" t="e">
        <f>AND(#REF!,"AAAAAG+3/yY=")</f>
        <v>#REF!</v>
      </c>
      <c r="AN100" t="e">
        <f>AND(#REF!,"AAAAAG+3/yc=")</f>
        <v>#REF!</v>
      </c>
      <c r="AO100" t="e">
        <f>AND(#REF!,"AAAAAG+3/yg=")</f>
        <v>#REF!</v>
      </c>
      <c r="AP100" t="e">
        <f>AND(#REF!,"AAAAAG+3/yk=")</f>
        <v>#REF!</v>
      </c>
      <c r="AQ100" t="e">
        <f>AND(#REF!,"AAAAAG+3/yo=")</f>
        <v>#REF!</v>
      </c>
      <c r="AR100" t="e">
        <f>AND(#REF!,"AAAAAG+3/ys=")</f>
        <v>#REF!</v>
      </c>
      <c r="AS100" t="e">
        <f>AND(#REF!,"AAAAAG+3/yw=")</f>
        <v>#REF!</v>
      </c>
      <c r="AT100" t="e">
        <f>AND(#REF!,"AAAAAG+3/y0=")</f>
        <v>#REF!</v>
      </c>
      <c r="AU100" t="e">
        <f>AND(#REF!,"AAAAAG+3/y4=")</f>
        <v>#REF!</v>
      </c>
      <c r="AV100" t="e">
        <f>AND(#REF!,"AAAAAG+3/y8=")</f>
        <v>#REF!</v>
      </c>
      <c r="AW100" t="e">
        <f>AND(#REF!,"AAAAAG+3/zA=")</f>
        <v>#REF!</v>
      </c>
      <c r="AX100" t="e">
        <f>AND(#REF!,"AAAAAG+3/zE=")</f>
        <v>#REF!</v>
      </c>
      <c r="AY100" t="e">
        <f>AND(#REF!,"AAAAAG+3/zI=")</f>
        <v>#REF!</v>
      </c>
      <c r="AZ100" t="e">
        <f>AND(#REF!,"AAAAAG+3/zM=")</f>
        <v>#REF!</v>
      </c>
      <c r="BA100" t="e">
        <f>AND(#REF!,"AAAAAG+3/zQ=")</f>
        <v>#REF!</v>
      </c>
      <c r="BB100" t="e">
        <f>AND(#REF!,"AAAAAG+3/zU=")</f>
        <v>#REF!</v>
      </c>
      <c r="BC100" t="e">
        <f>AND(#REF!,"AAAAAG+3/zY=")</f>
        <v>#REF!</v>
      </c>
      <c r="BD100" t="e">
        <f>AND(#REF!,"AAAAAG+3/zc=")</f>
        <v>#REF!</v>
      </c>
      <c r="BE100" t="e">
        <f>AND(#REF!,"AAAAAG+3/zg=")</f>
        <v>#REF!</v>
      </c>
      <c r="BF100" t="e">
        <f>AND(#REF!,"AAAAAG+3/zk=")</f>
        <v>#REF!</v>
      </c>
      <c r="BG100" t="e">
        <f>AND(#REF!,"AAAAAG+3/zo=")</f>
        <v>#REF!</v>
      </c>
      <c r="BH100" t="e">
        <f>AND(#REF!,"AAAAAG+3/zs=")</f>
        <v>#REF!</v>
      </c>
      <c r="BI100" t="e">
        <f>AND(#REF!,"AAAAAG+3/zw=")</f>
        <v>#REF!</v>
      </c>
      <c r="BJ100" t="e">
        <f>AND(#REF!,"AAAAAG+3/z0=")</f>
        <v>#REF!</v>
      </c>
      <c r="BK100" t="e">
        <f>AND(#REF!,"AAAAAG+3/z4=")</f>
        <v>#REF!</v>
      </c>
      <c r="BL100" t="e">
        <f>AND(#REF!,"AAAAAG+3/z8=")</f>
        <v>#REF!</v>
      </c>
      <c r="BM100" t="e">
        <f>AND(#REF!,"AAAAAG+3/0A=")</f>
        <v>#REF!</v>
      </c>
      <c r="BN100" t="e">
        <f>AND(#REF!,"AAAAAG+3/0E=")</f>
        <v>#REF!</v>
      </c>
      <c r="BO100" t="e">
        <f>AND(#REF!,"AAAAAG+3/0I=")</f>
        <v>#REF!</v>
      </c>
      <c r="BP100" t="e">
        <f>AND(#REF!,"AAAAAG+3/0M=")</f>
        <v>#REF!</v>
      </c>
      <c r="BQ100" t="e">
        <f>AND(#REF!,"AAAAAG+3/0Q=")</f>
        <v>#REF!</v>
      </c>
      <c r="BR100" t="e">
        <f>AND(#REF!,"AAAAAG+3/0U=")</f>
        <v>#REF!</v>
      </c>
      <c r="BS100" t="e">
        <f>AND(#REF!,"AAAAAG+3/0Y=")</f>
        <v>#REF!</v>
      </c>
      <c r="BT100" t="e">
        <f>AND(#REF!,"AAAAAG+3/0c=")</f>
        <v>#REF!</v>
      </c>
      <c r="BU100" t="e">
        <f>AND(#REF!,"AAAAAG+3/0g=")</f>
        <v>#REF!</v>
      </c>
      <c r="BV100" t="e">
        <f>AND(#REF!,"AAAAAG+3/0k=")</f>
        <v>#REF!</v>
      </c>
      <c r="BW100" t="e">
        <f>AND(#REF!,"AAAAAG+3/0o=")</f>
        <v>#REF!</v>
      </c>
      <c r="BX100" t="e">
        <f>AND(#REF!,"AAAAAG+3/0s=")</f>
        <v>#REF!</v>
      </c>
      <c r="BY100" t="e">
        <f>AND(#REF!,"AAAAAG+3/0w=")</f>
        <v>#REF!</v>
      </c>
      <c r="BZ100" t="e">
        <f>AND(#REF!,"AAAAAG+3/00=")</f>
        <v>#REF!</v>
      </c>
      <c r="CA100" t="e">
        <f>AND(#REF!,"AAAAAG+3/04=")</f>
        <v>#REF!</v>
      </c>
      <c r="CB100" t="e">
        <f>AND(#REF!,"AAAAAG+3/08=")</f>
        <v>#REF!</v>
      </c>
      <c r="CC100" t="e">
        <f>AND(#REF!,"AAAAAG+3/1A=")</f>
        <v>#REF!</v>
      </c>
      <c r="CD100" t="e">
        <f>AND(#REF!,"AAAAAG+3/1E=")</f>
        <v>#REF!</v>
      </c>
      <c r="CE100" t="e">
        <f>AND(#REF!,"AAAAAG+3/1I=")</f>
        <v>#REF!</v>
      </c>
      <c r="CF100" t="e">
        <f>AND(#REF!,"AAAAAG+3/1M=")</f>
        <v>#REF!</v>
      </c>
      <c r="CG100" t="e">
        <f>AND(#REF!,"AAAAAG+3/1Q=")</f>
        <v>#REF!</v>
      </c>
      <c r="CH100" t="e">
        <f>AND(#REF!,"AAAAAG+3/1U=")</f>
        <v>#REF!</v>
      </c>
      <c r="CI100" t="e">
        <f>AND(#REF!,"AAAAAG+3/1Y=")</f>
        <v>#REF!</v>
      </c>
      <c r="CJ100" t="e">
        <f>AND(#REF!,"AAAAAG+3/1c=")</f>
        <v>#REF!</v>
      </c>
      <c r="CK100" t="e">
        <f>AND(#REF!,"AAAAAG+3/1g=")</f>
        <v>#REF!</v>
      </c>
      <c r="CL100" t="e">
        <f>AND(#REF!,"AAAAAG+3/1k=")</f>
        <v>#REF!</v>
      </c>
      <c r="CM100" t="e">
        <f>AND(#REF!,"AAAAAG+3/1o=")</f>
        <v>#REF!</v>
      </c>
      <c r="CN100" t="e">
        <f>AND(#REF!,"AAAAAG+3/1s=")</f>
        <v>#REF!</v>
      </c>
      <c r="CO100" t="e">
        <f>AND(#REF!,"AAAAAG+3/1w=")</f>
        <v>#REF!</v>
      </c>
      <c r="CP100" t="e">
        <f>AND(#REF!,"AAAAAG+3/10=")</f>
        <v>#REF!</v>
      </c>
      <c r="CQ100" t="e">
        <f>AND(#REF!,"AAAAAG+3/14=")</f>
        <v>#REF!</v>
      </c>
      <c r="CR100" t="e">
        <f>AND(#REF!,"AAAAAG+3/18=")</f>
        <v>#REF!</v>
      </c>
      <c r="CS100" t="e">
        <f>AND(#REF!,"AAAAAG+3/2A=")</f>
        <v>#REF!</v>
      </c>
      <c r="CT100" t="e">
        <f>AND(#REF!,"AAAAAG+3/2E=")</f>
        <v>#REF!</v>
      </c>
      <c r="CU100" t="e">
        <f>AND(#REF!,"AAAAAG+3/2I=")</f>
        <v>#REF!</v>
      </c>
      <c r="CV100" t="e">
        <f>AND(#REF!,"AAAAAG+3/2M=")</f>
        <v>#REF!</v>
      </c>
      <c r="CW100" t="e">
        <f>AND(#REF!,"AAAAAG+3/2Q=")</f>
        <v>#REF!</v>
      </c>
      <c r="CX100" t="e">
        <f>AND(#REF!,"AAAAAG+3/2U=")</f>
        <v>#REF!</v>
      </c>
      <c r="CY100" t="e">
        <f>AND(#REF!,"AAAAAG+3/2Y=")</f>
        <v>#REF!</v>
      </c>
      <c r="CZ100" t="e">
        <f>AND(#REF!,"AAAAAG+3/2c=")</f>
        <v>#REF!</v>
      </c>
      <c r="DA100" t="e">
        <f>AND(#REF!,"AAAAAG+3/2g=")</f>
        <v>#REF!</v>
      </c>
      <c r="DB100" t="e">
        <f>AND(#REF!,"AAAAAG+3/2k=")</f>
        <v>#REF!</v>
      </c>
      <c r="DC100" t="e">
        <f>AND(#REF!,"AAAAAG+3/2o=")</f>
        <v>#REF!</v>
      </c>
      <c r="DD100" t="e">
        <f>AND(#REF!,"AAAAAG+3/2s=")</f>
        <v>#REF!</v>
      </c>
      <c r="DE100" t="e">
        <f>AND(#REF!,"AAAAAG+3/2w=")</f>
        <v>#REF!</v>
      </c>
      <c r="DF100" t="e">
        <f>AND(#REF!,"AAAAAG+3/20=")</f>
        <v>#REF!</v>
      </c>
      <c r="DG100" t="e">
        <f>AND(#REF!,"AAAAAG+3/24=")</f>
        <v>#REF!</v>
      </c>
      <c r="DH100" t="e">
        <f>AND(#REF!,"AAAAAG+3/28=")</f>
        <v>#REF!</v>
      </c>
      <c r="DI100" t="e">
        <f>AND(#REF!,"AAAAAG+3/3A=")</f>
        <v>#REF!</v>
      </c>
      <c r="DJ100" t="e">
        <f>AND(#REF!,"AAAAAG+3/3E=")</f>
        <v>#REF!</v>
      </c>
      <c r="DK100" t="e">
        <f>AND(#REF!,"AAAAAG+3/3I=")</f>
        <v>#REF!</v>
      </c>
      <c r="DL100" t="e">
        <f>AND(#REF!,"AAAAAG+3/3M=")</f>
        <v>#REF!</v>
      </c>
      <c r="DM100" t="e">
        <f>AND(#REF!,"AAAAAG+3/3Q=")</f>
        <v>#REF!</v>
      </c>
      <c r="DN100" t="e">
        <f>AND(#REF!,"AAAAAG+3/3U=")</f>
        <v>#REF!</v>
      </c>
      <c r="DO100" t="e">
        <f>AND(#REF!,"AAAAAG+3/3Y=")</f>
        <v>#REF!</v>
      </c>
      <c r="DP100" t="e">
        <f>AND(#REF!,"AAAAAG+3/3c=")</f>
        <v>#REF!</v>
      </c>
      <c r="DQ100" t="e">
        <f>AND(#REF!,"AAAAAG+3/3g=")</f>
        <v>#REF!</v>
      </c>
      <c r="DR100" t="e">
        <f>AND(#REF!,"AAAAAG+3/3k=")</f>
        <v>#REF!</v>
      </c>
      <c r="DS100" t="e">
        <f>AND(#REF!,"AAAAAG+3/3o=")</f>
        <v>#REF!</v>
      </c>
      <c r="DT100" t="e">
        <f>AND(#REF!,"AAAAAG+3/3s=")</f>
        <v>#REF!</v>
      </c>
      <c r="DU100" t="e">
        <f>AND(#REF!,"AAAAAG+3/3w=")</f>
        <v>#REF!</v>
      </c>
      <c r="DV100" t="e">
        <f>AND(#REF!,"AAAAAG+3/30=")</f>
        <v>#REF!</v>
      </c>
      <c r="DW100" t="e">
        <f>AND(#REF!,"AAAAAG+3/34=")</f>
        <v>#REF!</v>
      </c>
      <c r="DX100" t="e">
        <f>AND(#REF!,"AAAAAG+3/38=")</f>
        <v>#REF!</v>
      </c>
      <c r="DY100" t="e">
        <f>AND(#REF!,"AAAAAG+3/4A=")</f>
        <v>#REF!</v>
      </c>
      <c r="DZ100" t="e">
        <f>AND(#REF!,"AAAAAG+3/4E=")</f>
        <v>#REF!</v>
      </c>
      <c r="EA100" t="e">
        <f>AND(#REF!,"AAAAAG+3/4I=")</f>
        <v>#REF!</v>
      </c>
      <c r="EB100" t="e">
        <f>AND(#REF!,"AAAAAG+3/4M=")</f>
        <v>#REF!</v>
      </c>
      <c r="EC100" t="e">
        <f>AND(#REF!,"AAAAAG+3/4Q=")</f>
        <v>#REF!</v>
      </c>
      <c r="ED100" t="e">
        <f>AND(#REF!,"AAAAAG+3/4U=")</f>
        <v>#REF!</v>
      </c>
      <c r="EE100" t="e">
        <f>AND(#REF!,"AAAAAG+3/4Y=")</f>
        <v>#REF!</v>
      </c>
      <c r="EF100" t="e">
        <f>AND(#REF!,"AAAAAG+3/4c=")</f>
        <v>#REF!</v>
      </c>
      <c r="EG100" t="e">
        <f>AND(#REF!,"AAAAAG+3/4g=")</f>
        <v>#REF!</v>
      </c>
      <c r="EH100" t="e">
        <f>AND(#REF!,"AAAAAG+3/4k=")</f>
        <v>#REF!</v>
      </c>
      <c r="EI100" t="e">
        <f>AND(#REF!,"AAAAAG+3/4o=")</f>
        <v>#REF!</v>
      </c>
      <c r="EJ100" t="e">
        <f>AND(#REF!,"AAAAAG+3/4s=")</f>
        <v>#REF!</v>
      </c>
      <c r="EK100" t="e">
        <f>AND(#REF!,"AAAAAG+3/4w=")</f>
        <v>#REF!</v>
      </c>
      <c r="EL100" t="e">
        <f>AND(#REF!,"AAAAAG+3/40=")</f>
        <v>#REF!</v>
      </c>
      <c r="EM100" t="e">
        <f>AND(#REF!,"AAAAAG+3/44=")</f>
        <v>#REF!</v>
      </c>
      <c r="EN100" t="e">
        <f>AND(#REF!,"AAAAAG+3/48=")</f>
        <v>#REF!</v>
      </c>
      <c r="EO100" t="e">
        <f>AND(#REF!,"AAAAAG+3/5A=")</f>
        <v>#REF!</v>
      </c>
      <c r="EP100" t="e">
        <f>AND(#REF!,"AAAAAG+3/5E=")</f>
        <v>#REF!</v>
      </c>
      <c r="EQ100" t="e">
        <f>AND(#REF!,"AAAAAG+3/5I=")</f>
        <v>#REF!</v>
      </c>
      <c r="ER100" t="e">
        <f>AND(#REF!,"AAAAAG+3/5M=")</f>
        <v>#REF!</v>
      </c>
      <c r="ES100" t="e">
        <f>AND(#REF!,"AAAAAG+3/5Q=")</f>
        <v>#REF!</v>
      </c>
      <c r="ET100" t="e">
        <f>AND(#REF!,"AAAAAG+3/5U=")</f>
        <v>#REF!</v>
      </c>
      <c r="EU100" t="e">
        <f>AND(#REF!,"AAAAAG+3/5Y=")</f>
        <v>#REF!</v>
      </c>
      <c r="EV100" t="e">
        <f>AND(#REF!,"AAAAAG+3/5c=")</f>
        <v>#REF!</v>
      </c>
      <c r="EW100" t="e">
        <f>AND(#REF!,"AAAAAG+3/5g=")</f>
        <v>#REF!</v>
      </c>
      <c r="EX100" t="e">
        <f>AND(#REF!,"AAAAAG+3/5k=")</f>
        <v>#REF!</v>
      </c>
      <c r="EY100" t="e">
        <f>AND(#REF!,"AAAAAG+3/5o=")</f>
        <v>#REF!</v>
      </c>
      <c r="EZ100" t="e">
        <f>AND(#REF!,"AAAAAG+3/5s=")</f>
        <v>#REF!</v>
      </c>
      <c r="FA100" t="e">
        <f>AND(#REF!,"AAAAAG+3/5w=")</f>
        <v>#REF!</v>
      </c>
      <c r="FB100" t="e">
        <f>AND(#REF!,"AAAAAG+3/50=")</f>
        <v>#REF!</v>
      </c>
      <c r="FC100" t="e">
        <f>AND(#REF!,"AAAAAG+3/54=")</f>
        <v>#REF!</v>
      </c>
      <c r="FD100" t="e">
        <f>AND(#REF!,"AAAAAG+3/58=")</f>
        <v>#REF!</v>
      </c>
      <c r="FE100" t="e">
        <f>AND(#REF!,"AAAAAG+3/6A=")</f>
        <v>#REF!</v>
      </c>
      <c r="FF100" t="e">
        <f>AND(#REF!,"AAAAAG+3/6E=")</f>
        <v>#REF!</v>
      </c>
      <c r="FG100" t="e">
        <f>AND(#REF!,"AAAAAG+3/6I=")</f>
        <v>#REF!</v>
      </c>
      <c r="FH100" t="e">
        <f>AND(#REF!,"AAAAAG+3/6M=")</f>
        <v>#REF!</v>
      </c>
      <c r="FI100" t="e">
        <f>AND(#REF!,"AAAAAG+3/6Q=")</f>
        <v>#REF!</v>
      </c>
      <c r="FJ100" t="e">
        <f>AND(#REF!,"AAAAAG+3/6U=")</f>
        <v>#REF!</v>
      </c>
      <c r="FK100" t="e">
        <f>AND(#REF!,"AAAAAG+3/6Y=")</f>
        <v>#REF!</v>
      </c>
      <c r="FL100" t="e">
        <f>AND(#REF!,"AAAAAG+3/6c=")</f>
        <v>#REF!</v>
      </c>
      <c r="FM100" t="e">
        <f>AND(#REF!,"AAAAAG+3/6g=")</f>
        <v>#REF!</v>
      </c>
      <c r="FN100" t="e">
        <f>AND(#REF!,"AAAAAG+3/6k=")</f>
        <v>#REF!</v>
      </c>
      <c r="FO100" t="e">
        <f>AND(#REF!,"AAAAAG+3/6o=")</f>
        <v>#REF!</v>
      </c>
      <c r="FP100" t="e">
        <f>AND(#REF!,"AAAAAG+3/6s=")</f>
        <v>#REF!</v>
      </c>
      <c r="FQ100" t="e">
        <f>AND(#REF!,"AAAAAG+3/6w=")</f>
        <v>#REF!</v>
      </c>
      <c r="FR100" t="e">
        <f>AND(#REF!,"AAAAAG+3/60=")</f>
        <v>#REF!</v>
      </c>
      <c r="FS100" t="e">
        <f>AND(#REF!,"AAAAAG+3/64=")</f>
        <v>#REF!</v>
      </c>
      <c r="FT100" t="e">
        <f>AND(#REF!,"AAAAAG+3/68=")</f>
        <v>#REF!</v>
      </c>
      <c r="FU100" t="e">
        <f>AND(#REF!,"AAAAAG+3/7A=")</f>
        <v>#REF!</v>
      </c>
      <c r="FV100" t="e">
        <f>AND(#REF!,"AAAAAG+3/7E=")</f>
        <v>#REF!</v>
      </c>
      <c r="FW100" t="e">
        <f>AND(#REF!,"AAAAAG+3/7I=")</f>
        <v>#REF!</v>
      </c>
      <c r="FX100" t="e">
        <f>AND(#REF!,"AAAAAG+3/7M=")</f>
        <v>#REF!</v>
      </c>
      <c r="FY100" t="e">
        <f>AND(#REF!,"AAAAAG+3/7Q=")</f>
        <v>#REF!</v>
      </c>
      <c r="FZ100" t="e">
        <f>AND(#REF!,"AAAAAG+3/7U=")</f>
        <v>#REF!</v>
      </c>
      <c r="GA100" t="e">
        <f>AND(#REF!,"AAAAAG+3/7Y=")</f>
        <v>#REF!</v>
      </c>
      <c r="GB100" t="e">
        <f>AND(#REF!,"AAAAAG+3/7c=")</f>
        <v>#REF!</v>
      </c>
      <c r="GC100" t="e">
        <f>AND(#REF!,"AAAAAG+3/7g=")</f>
        <v>#REF!</v>
      </c>
      <c r="GD100" t="e">
        <f>AND(#REF!,"AAAAAG+3/7k=")</f>
        <v>#REF!</v>
      </c>
      <c r="GE100" t="e">
        <f>AND(#REF!,"AAAAAG+3/7o=")</f>
        <v>#REF!</v>
      </c>
      <c r="GF100" t="e">
        <f>AND(#REF!,"AAAAAG+3/7s=")</f>
        <v>#REF!</v>
      </c>
      <c r="GG100" t="e">
        <f>AND(#REF!,"AAAAAG+3/7w=")</f>
        <v>#REF!</v>
      </c>
      <c r="GH100" t="e">
        <f>AND(#REF!,"AAAAAG+3/70=")</f>
        <v>#REF!</v>
      </c>
      <c r="GI100" t="e">
        <f>AND(#REF!,"AAAAAG+3/74=")</f>
        <v>#REF!</v>
      </c>
      <c r="GJ100" t="e">
        <f>AND(#REF!,"AAAAAG+3/78=")</f>
        <v>#REF!</v>
      </c>
      <c r="GK100" t="e">
        <f>AND(#REF!,"AAAAAG+3/8A=")</f>
        <v>#REF!</v>
      </c>
      <c r="GL100" t="e">
        <f>AND(#REF!,"AAAAAG+3/8E=")</f>
        <v>#REF!</v>
      </c>
      <c r="GM100" t="e">
        <f>AND(#REF!,"AAAAAG+3/8I=")</f>
        <v>#REF!</v>
      </c>
      <c r="GN100" t="e">
        <f>AND(#REF!,"AAAAAG+3/8M=")</f>
        <v>#REF!</v>
      </c>
      <c r="GO100" t="e">
        <f>AND(#REF!,"AAAAAG+3/8Q=")</f>
        <v>#REF!</v>
      </c>
      <c r="GP100" t="e">
        <f>AND(#REF!,"AAAAAG+3/8U=")</f>
        <v>#REF!</v>
      </c>
      <c r="GQ100" t="e">
        <f>AND(#REF!,"AAAAAG+3/8Y=")</f>
        <v>#REF!</v>
      </c>
      <c r="GR100" t="e">
        <f>AND(#REF!,"AAAAAG+3/8c=")</f>
        <v>#REF!</v>
      </c>
      <c r="GS100" t="e">
        <f>AND(#REF!,"AAAAAG+3/8g=")</f>
        <v>#REF!</v>
      </c>
      <c r="GT100" t="e">
        <f>AND(#REF!,"AAAAAG+3/8k=")</f>
        <v>#REF!</v>
      </c>
      <c r="GU100" t="e">
        <f>AND(#REF!,"AAAAAG+3/8o=")</f>
        <v>#REF!</v>
      </c>
      <c r="GV100" t="e">
        <f>AND(#REF!,"AAAAAG+3/8s=")</f>
        <v>#REF!</v>
      </c>
      <c r="GW100" t="e">
        <f>AND(#REF!,"AAAAAG+3/8w=")</f>
        <v>#REF!</v>
      </c>
      <c r="GX100" t="e">
        <f>AND(#REF!,"AAAAAG+3/80=")</f>
        <v>#REF!</v>
      </c>
      <c r="GY100" t="e">
        <f>AND(#REF!,"AAAAAG+3/84=")</f>
        <v>#REF!</v>
      </c>
      <c r="GZ100" t="e">
        <f>AND(#REF!,"AAAAAG+3/88=")</f>
        <v>#REF!</v>
      </c>
      <c r="HA100" t="e">
        <f>AND(#REF!,"AAAAAG+3/9A=")</f>
        <v>#REF!</v>
      </c>
      <c r="HB100" t="e">
        <f>AND(#REF!,"AAAAAG+3/9E=")</f>
        <v>#REF!</v>
      </c>
      <c r="HC100" t="e">
        <f>AND(#REF!,"AAAAAG+3/9I=")</f>
        <v>#REF!</v>
      </c>
      <c r="HD100" t="e">
        <f>AND(#REF!,"AAAAAG+3/9M=")</f>
        <v>#REF!</v>
      </c>
      <c r="HE100" t="e">
        <f>AND(#REF!,"AAAAAG+3/9Q=")</f>
        <v>#REF!</v>
      </c>
      <c r="HF100" t="e">
        <f>AND(#REF!,"AAAAAG+3/9U=")</f>
        <v>#REF!</v>
      </c>
      <c r="HG100" t="e">
        <f>AND(#REF!,"AAAAAG+3/9Y=")</f>
        <v>#REF!</v>
      </c>
      <c r="HH100" t="e">
        <f>AND(#REF!,"AAAAAG+3/9c=")</f>
        <v>#REF!</v>
      </c>
      <c r="HI100" t="e">
        <f>AND(#REF!,"AAAAAG+3/9g=")</f>
        <v>#REF!</v>
      </c>
      <c r="HJ100" t="e">
        <f>AND(#REF!,"AAAAAG+3/9k=")</f>
        <v>#REF!</v>
      </c>
      <c r="HK100" t="e">
        <f>AND(#REF!,"AAAAAG+3/9o=")</f>
        <v>#REF!</v>
      </c>
      <c r="HL100" t="e">
        <f>AND(#REF!,"AAAAAG+3/9s=")</f>
        <v>#REF!</v>
      </c>
      <c r="HM100" t="e">
        <f>AND(#REF!,"AAAAAG+3/9w=")</f>
        <v>#REF!</v>
      </c>
      <c r="HN100" t="e">
        <f>AND(#REF!,"AAAAAG+3/90=")</f>
        <v>#REF!</v>
      </c>
      <c r="HO100" t="e">
        <f>AND(#REF!,"AAAAAG+3/94=")</f>
        <v>#REF!</v>
      </c>
      <c r="HP100" t="e">
        <f>AND(#REF!,"AAAAAG+3/98=")</f>
        <v>#REF!</v>
      </c>
      <c r="HQ100" t="e">
        <f>AND(#REF!,"AAAAAG+3/+A=")</f>
        <v>#REF!</v>
      </c>
      <c r="HR100" t="e">
        <f>AND(#REF!,"AAAAAG+3/+E=")</f>
        <v>#REF!</v>
      </c>
      <c r="HS100" t="e">
        <f>AND(#REF!,"AAAAAG+3/+I=")</f>
        <v>#REF!</v>
      </c>
      <c r="HT100" t="e">
        <f>AND(#REF!,"AAAAAG+3/+M=")</f>
        <v>#REF!</v>
      </c>
      <c r="HU100" t="e">
        <f>AND(#REF!,"AAAAAG+3/+Q=")</f>
        <v>#REF!</v>
      </c>
      <c r="HV100" t="e">
        <f>AND(#REF!,"AAAAAG+3/+U=")</f>
        <v>#REF!</v>
      </c>
      <c r="HW100" t="e">
        <f>AND(#REF!,"AAAAAG+3/+Y=")</f>
        <v>#REF!</v>
      </c>
      <c r="HX100" t="e">
        <f>AND(#REF!,"AAAAAG+3/+c=")</f>
        <v>#REF!</v>
      </c>
      <c r="HY100" t="e">
        <f>AND(#REF!,"AAAAAG+3/+g=")</f>
        <v>#REF!</v>
      </c>
      <c r="HZ100" t="e">
        <f>AND(#REF!,"AAAAAG+3/+k=")</f>
        <v>#REF!</v>
      </c>
      <c r="IA100" t="e">
        <f>AND(#REF!,"AAAAAG+3/+o=")</f>
        <v>#REF!</v>
      </c>
      <c r="IB100" t="e">
        <f>AND(#REF!,"AAAAAG+3/+s=")</f>
        <v>#REF!</v>
      </c>
      <c r="IC100" t="e">
        <f>AND(#REF!,"AAAAAG+3/+w=")</f>
        <v>#REF!</v>
      </c>
      <c r="ID100" t="e">
        <f>AND(#REF!,"AAAAAG+3/+0=")</f>
        <v>#REF!</v>
      </c>
      <c r="IE100" t="e">
        <f>AND(#REF!,"AAAAAG+3/+4=")</f>
        <v>#REF!</v>
      </c>
      <c r="IF100" t="e">
        <f>AND(#REF!,"AAAAAG+3/+8=")</f>
        <v>#REF!</v>
      </c>
      <c r="IG100" t="e">
        <f>AND(#REF!,"AAAAAG+3//A=")</f>
        <v>#REF!</v>
      </c>
      <c r="IH100" t="e">
        <f>AND(#REF!,"AAAAAG+3//E=")</f>
        <v>#REF!</v>
      </c>
      <c r="II100" t="e">
        <f>AND(#REF!,"AAAAAG+3//I=")</f>
        <v>#REF!</v>
      </c>
      <c r="IJ100" t="e">
        <f>AND(#REF!,"AAAAAG+3//M=")</f>
        <v>#REF!</v>
      </c>
      <c r="IK100" t="e">
        <f>AND(#REF!,"AAAAAG+3//Q=")</f>
        <v>#REF!</v>
      </c>
      <c r="IL100" t="e">
        <f>AND(#REF!,"AAAAAG+3//U=")</f>
        <v>#REF!</v>
      </c>
      <c r="IM100" t="e">
        <f>IF(#REF!,"AAAAAG+3//Y=",0)</f>
        <v>#REF!</v>
      </c>
      <c r="IN100" t="e">
        <f>AND(#REF!,"AAAAAG+3//c=")</f>
        <v>#REF!</v>
      </c>
      <c r="IO100" t="e">
        <f>AND(#REF!,"AAAAAG+3//g=")</f>
        <v>#REF!</v>
      </c>
      <c r="IP100" t="e">
        <f>AND(#REF!,"AAAAAG+3//k=")</f>
        <v>#REF!</v>
      </c>
      <c r="IQ100" t="e">
        <f>AND(#REF!,"AAAAAG+3//o=")</f>
        <v>#REF!</v>
      </c>
      <c r="IR100" t="e">
        <f>AND(#REF!,"AAAAAG+3//s=")</f>
        <v>#REF!</v>
      </c>
      <c r="IS100" t="e">
        <f>AND(#REF!,"AAAAAG+3//w=")</f>
        <v>#REF!</v>
      </c>
      <c r="IT100" t="e">
        <f>AND(#REF!,"AAAAAG+3//0=")</f>
        <v>#REF!</v>
      </c>
      <c r="IU100" t="e">
        <f>AND(#REF!,"AAAAAG+3//4=")</f>
        <v>#REF!</v>
      </c>
      <c r="IV100" t="e">
        <f>AND(#REF!,"AAAAAG+3//8=")</f>
        <v>#REF!</v>
      </c>
    </row>
    <row r="101" spans="1:256">
      <c r="A101" t="e">
        <f>AND(#REF!,"AAAAAH9ffQA=")</f>
        <v>#REF!</v>
      </c>
      <c r="B101" t="e">
        <f>AND(#REF!,"AAAAAH9ffQE=")</f>
        <v>#REF!</v>
      </c>
      <c r="C101" t="e">
        <f>AND(#REF!,"AAAAAH9ffQI=")</f>
        <v>#REF!</v>
      </c>
      <c r="D101" t="e">
        <f>AND(#REF!,"AAAAAH9ffQM=")</f>
        <v>#REF!</v>
      </c>
      <c r="E101" t="e">
        <f>AND(#REF!,"AAAAAH9ffQQ=")</f>
        <v>#REF!</v>
      </c>
      <c r="F101" t="e">
        <f>AND(#REF!,"AAAAAH9ffQU=")</f>
        <v>#REF!</v>
      </c>
      <c r="G101" t="e">
        <f>AND(#REF!,"AAAAAH9ffQY=")</f>
        <v>#REF!</v>
      </c>
      <c r="H101" t="e">
        <f>AND(#REF!,"AAAAAH9ffQc=")</f>
        <v>#REF!</v>
      </c>
      <c r="I101" t="e">
        <f>AND(#REF!,"AAAAAH9ffQg=")</f>
        <v>#REF!</v>
      </c>
      <c r="J101" t="e">
        <f>AND(#REF!,"AAAAAH9ffQk=")</f>
        <v>#REF!</v>
      </c>
      <c r="K101" t="e">
        <f>AND(#REF!,"AAAAAH9ffQo=")</f>
        <v>#REF!</v>
      </c>
      <c r="L101" t="e">
        <f>AND(#REF!,"AAAAAH9ffQs=")</f>
        <v>#REF!</v>
      </c>
      <c r="M101" t="e">
        <f>AND(#REF!,"AAAAAH9ffQw=")</f>
        <v>#REF!</v>
      </c>
      <c r="N101" t="e">
        <f>AND(#REF!,"AAAAAH9ffQ0=")</f>
        <v>#REF!</v>
      </c>
      <c r="O101" t="e">
        <f>AND(#REF!,"AAAAAH9ffQ4=")</f>
        <v>#REF!</v>
      </c>
      <c r="P101" t="e">
        <f>AND(#REF!,"AAAAAH9ffQ8=")</f>
        <v>#REF!</v>
      </c>
      <c r="Q101" t="e">
        <f>AND(#REF!,"AAAAAH9ffRA=")</f>
        <v>#REF!</v>
      </c>
      <c r="R101" t="e">
        <f>AND(#REF!,"AAAAAH9ffRE=")</f>
        <v>#REF!</v>
      </c>
      <c r="S101" t="e">
        <f>AND(#REF!,"AAAAAH9ffRI=")</f>
        <v>#REF!</v>
      </c>
      <c r="T101" t="e">
        <f>AND(#REF!,"AAAAAH9ffRM=")</f>
        <v>#REF!</v>
      </c>
      <c r="U101" t="e">
        <f>AND(#REF!,"AAAAAH9ffRQ=")</f>
        <v>#REF!</v>
      </c>
      <c r="V101" t="e">
        <f>AND(#REF!,"AAAAAH9ffRU=")</f>
        <v>#REF!</v>
      </c>
      <c r="W101" t="e">
        <f>AND(#REF!,"AAAAAH9ffRY=")</f>
        <v>#REF!</v>
      </c>
      <c r="X101" t="e">
        <f>AND(#REF!,"AAAAAH9ffRc=")</f>
        <v>#REF!</v>
      </c>
      <c r="Y101" t="e">
        <f>AND(#REF!,"AAAAAH9ffRg=")</f>
        <v>#REF!</v>
      </c>
      <c r="Z101" t="e">
        <f>AND(#REF!,"AAAAAH9ffRk=")</f>
        <v>#REF!</v>
      </c>
      <c r="AA101" t="e">
        <f>AND(#REF!,"AAAAAH9ffRo=")</f>
        <v>#REF!</v>
      </c>
      <c r="AB101" t="e">
        <f>AND(#REF!,"AAAAAH9ffRs=")</f>
        <v>#REF!</v>
      </c>
      <c r="AC101" t="e">
        <f>AND(#REF!,"AAAAAH9ffRw=")</f>
        <v>#REF!</v>
      </c>
      <c r="AD101" t="e">
        <f>AND(#REF!,"AAAAAH9ffR0=")</f>
        <v>#REF!</v>
      </c>
      <c r="AE101" t="e">
        <f>AND(#REF!,"AAAAAH9ffR4=")</f>
        <v>#REF!</v>
      </c>
      <c r="AF101" t="e">
        <f>AND(#REF!,"AAAAAH9ffR8=")</f>
        <v>#REF!</v>
      </c>
      <c r="AG101" t="e">
        <f>AND(#REF!,"AAAAAH9ffSA=")</f>
        <v>#REF!</v>
      </c>
      <c r="AH101" t="e">
        <f>AND(#REF!,"AAAAAH9ffSE=")</f>
        <v>#REF!</v>
      </c>
      <c r="AI101" t="e">
        <f>AND(#REF!,"AAAAAH9ffSI=")</f>
        <v>#REF!</v>
      </c>
      <c r="AJ101" t="e">
        <f>AND(#REF!,"AAAAAH9ffSM=")</f>
        <v>#REF!</v>
      </c>
      <c r="AK101" t="e">
        <f>AND(#REF!,"AAAAAH9ffSQ=")</f>
        <v>#REF!</v>
      </c>
      <c r="AL101" t="e">
        <f>AND(#REF!,"AAAAAH9ffSU=")</f>
        <v>#REF!</v>
      </c>
      <c r="AM101" t="e">
        <f>AND(#REF!,"AAAAAH9ffSY=")</f>
        <v>#REF!</v>
      </c>
      <c r="AN101" t="e">
        <f>AND(#REF!,"AAAAAH9ffSc=")</f>
        <v>#REF!</v>
      </c>
      <c r="AO101" t="e">
        <f>AND(#REF!,"AAAAAH9ffSg=")</f>
        <v>#REF!</v>
      </c>
      <c r="AP101" t="e">
        <f>AND(#REF!,"AAAAAH9ffSk=")</f>
        <v>#REF!</v>
      </c>
      <c r="AQ101" t="e">
        <f>AND(#REF!,"AAAAAH9ffSo=")</f>
        <v>#REF!</v>
      </c>
      <c r="AR101" t="e">
        <f>AND(#REF!,"AAAAAH9ffSs=")</f>
        <v>#REF!</v>
      </c>
      <c r="AS101" t="e">
        <f>AND(#REF!,"AAAAAH9ffSw=")</f>
        <v>#REF!</v>
      </c>
      <c r="AT101" t="e">
        <f>AND(#REF!,"AAAAAH9ffS0=")</f>
        <v>#REF!</v>
      </c>
      <c r="AU101" t="e">
        <f>AND(#REF!,"AAAAAH9ffS4=")</f>
        <v>#REF!</v>
      </c>
      <c r="AV101" t="e">
        <f>AND(#REF!,"AAAAAH9ffS8=")</f>
        <v>#REF!</v>
      </c>
      <c r="AW101" t="e">
        <f>AND(#REF!,"AAAAAH9ffTA=")</f>
        <v>#REF!</v>
      </c>
      <c r="AX101" t="e">
        <f>AND(#REF!,"AAAAAH9ffTE=")</f>
        <v>#REF!</v>
      </c>
      <c r="AY101" t="e">
        <f>AND(#REF!,"AAAAAH9ffTI=")</f>
        <v>#REF!</v>
      </c>
      <c r="AZ101" t="e">
        <f>AND(#REF!,"AAAAAH9ffTM=")</f>
        <v>#REF!</v>
      </c>
      <c r="BA101" t="e">
        <f>AND(#REF!,"AAAAAH9ffTQ=")</f>
        <v>#REF!</v>
      </c>
      <c r="BB101" t="e">
        <f>AND(#REF!,"AAAAAH9ffTU=")</f>
        <v>#REF!</v>
      </c>
      <c r="BC101" t="e">
        <f>AND(#REF!,"AAAAAH9ffTY=")</f>
        <v>#REF!</v>
      </c>
      <c r="BD101" t="e">
        <f>AND(#REF!,"AAAAAH9ffTc=")</f>
        <v>#REF!</v>
      </c>
      <c r="BE101" t="e">
        <f>AND(#REF!,"AAAAAH9ffTg=")</f>
        <v>#REF!</v>
      </c>
      <c r="BF101" t="e">
        <f>AND(#REF!,"AAAAAH9ffTk=")</f>
        <v>#REF!</v>
      </c>
      <c r="BG101" t="e">
        <f>AND(#REF!,"AAAAAH9ffTo=")</f>
        <v>#REF!</v>
      </c>
      <c r="BH101" t="e">
        <f>AND(#REF!,"AAAAAH9ffTs=")</f>
        <v>#REF!</v>
      </c>
      <c r="BI101" t="e">
        <f>AND(#REF!,"AAAAAH9ffTw=")</f>
        <v>#REF!</v>
      </c>
      <c r="BJ101" t="e">
        <f>AND(#REF!,"AAAAAH9ffT0=")</f>
        <v>#REF!</v>
      </c>
      <c r="BK101" t="e">
        <f>AND(#REF!,"AAAAAH9ffT4=")</f>
        <v>#REF!</v>
      </c>
      <c r="BL101" t="e">
        <f>AND(#REF!,"AAAAAH9ffT8=")</f>
        <v>#REF!</v>
      </c>
      <c r="BM101" t="e">
        <f>AND(#REF!,"AAAAAH9ffUA=")</f>
        <v>#REF!</v>
      </c>
      <c r="BN101" t="e">
        <f>AND(#REF!,"AAAAAH9ffUE=")</f>
        <v>#REF!</v>
      </c>
      <c r="BO101" t="e">
        <f>AND(#REF!,"AAAAAH9ffUI=")</f>
        <v>#REF!</v>
      </c>
      <c r="BP101" t="e">
        <f>AND(#REF!,"AAAAAH9ffUM=")</f>
        <v>#REF!</v>
      </c>
      <c r="BQ101" t="e">
        <f>AND(#REF!,"AAAAAH9ffUQ=")</f>
        <v>#REF!</v>
      </c>
      <c r="BR101" t="e">
        <f>AND(#REF!,"AAAAAH9ffUU=")</f>
        <v>#REF!</v>
      </c>
      <c r="BS101" t="e">
        <f>AND(#REF!,"AAAAAH9ffUY=")</f>
        <v>#REF!</v>
      </c>
      <c r="BT101" t="e">
        <f>AND(#REF!,"AAAAAH9ffUc=")</f>
        <v>#REF!</v>
      </c>
      <c r="BU101" t="e">
        <f>AND(#REF!,"AAAAAH9ffUg=")</f>
        <v>#REF!</v>
      </c>
      <c r="BV101" t="e">
        <f>AND(#REF!,"AAAAAH9ffUk=")</f>
        <v>#REF!</v>
      </c>
      <c r="BW101" t="e">
        <f>AND(#REF!,"AAAAAH9ffUo=")</f>
        <v>#REF!</v>
      </c>
      <c r="BX101" t="e">
        <f>AND(#REF!,"AAAAAH9ffUs=")</f>
        <v>#REF!</v>
      </c>
      <c r="BY101" t="e">
        <f>AND(#REF!,"AAAAAH9ffUw=")</f>
        <v>#REF!</v>
      </c>
      <c r="BZ101" t="e">
        <f>AND(#REF!,"AAAAAH9ffU0=")</f>
        <v>#REF!</v>
      </c>
      <c r="CA101" t="e">
        <f>AND(#REF!,"AAAAAH9ffU4=")</f>
        <v>#REF!</v>
      </c>
      <c r="CB101" t="e">
        <f>AND(#REF!,"AAAAAH9ffU8=")</f>
        <v>#REF!</v>
      </c>
      <c r="CC101" t="e">
        <f>AND(#REF!,"AAAAAH9ffVA=")</f>
        <v>#REF!</v>
      </c>
      <c r="CD101" t="e">
        <f>AND(#REF!,"AAAAAH9ffVE=")</f>
        <v>#REF!</v>
      </c>
      <c r="CE101" t="e">
        <f>AND(#REF!,"AAAAAH9ffVI=")</f>
        <v>#REF!</v>
      </c>
      <c r="CF101" t="e">
        <f>AND(#REF!,"AAAAAH9ffVM=")</f>
        <v>#REF!</v>
      </c>
      <c r="CG101" t="e">
        <f>AND(#REF!,"AAAAAH9ffVQ=")</f>
        <v>#REF!</v>
      </c>
      <c r="CH101" t="e">
        <f>AND(#REF!,"AAAAAH9ffVU=")</f>
        <v>#REF!</v>
      </c>
      <c r="CI101" t="e">
        <f>AND(#REF!,"AAAAAH9ffVY=")</f>
        <v>#REF!</v>
      </c>
      <c r="CJ101" t="e">
        <f>AND(#REF!,"AAAAAH9ffVc=")</f>
        <v>#REF!</v>
      </c>
      <c r="CK101" t="e">
        <f>AND(#REF!,"AAAAAH9ffVg=")</f>
        <v>#REF!</v>
      </c>
      <c r="CL101" t="e">
        <f>AND(#REF!,"AAAAAH9ffVk=")</f>
        <v>#REF!</v>
      </c>
      <c r="CM101" t="e">
        <f>AND(#REF!,"AAAAAH9ffVo=")</f>
        <v>#REF!</v>
      </c>
      <c r="CN101" t="e">
        <f>AND(#REF!,"AAAAAH9ffVs=")</f>
        <v>#REF!</v>
      </c>
      <c r="CO101" t="e">
        <f>AND(#REF!,"AAAAAH9ffVw=")</f>
        <v>#REF!</v>
      </c>
      <c r="CP101" t="e">
        <f>AND(#REF!,"AAAAAH9ffV0=")</f>
        <v>#REF!</v>
      </c>
      <c r="CQ101" t="e">
        <f>AND(#REF!,"AAAAAH9ffV4=")</f>
        <v>#REF!</v>
      </c>
      <c r="CR101" t="e">
        <f>AND(#REF!,"AAAAAH9ffV8=")</f>
        <v>#REF!</v>
      </c>
      <c r="CS101" t="e">
        <f>AND(#REF!,"AAAAAH9ffWA=")</f>
        <v>#REF!</v>
      </c>
      <c r="CT101" t="e">
        <f>AND(#REF!,"AAAAAH9ffWE=")</f>
        <v>#REF!</v>
      </c>
      <c r="CU101" t="e">
        <f>AND(#REF!,"AAAAAH9ffWI=")</f>
        <v>#REF!</v>
      </c>
      <c r="CV101" t="e">
        <f>AND(#REF!,"AAAAAH9ffWM=")</f>
        <v>#REF!</v>
      </c>
      <c r="CW101" t="e">
        <f>AND(#REF!,"AAAAAH9ffWQ=")</f>
        <v>#REF!</v>
      </c>
      <c r="CX101" t="e">
        <f>AND(#REF!,"AAAAAH9ffWU=")</f>
        <v>#REF!</v>
      </c>
      <c r="CY101" t="e">
        <f>AND(#REF!,"AAAAAH9ffWY=")</f>
        <v>#REF!</v>
      </c>
      <c r="CZ101" t="e">
        <f>AND(#REF!,"AAAAAH9ffWc=")</f>
        <v>#REF!</v>
      </c>
      <c r="DA101" t="e">
        <f>AND(#REF!,"AAAAAH9ffWg=")</f>
        <v>#REF!</v>
      </c>
      <c r="DB101" t="e">
        <f>AND(#REF!,"AAAAAH9ffWk=")</f>
        <v>#REF!</v>
      </c>
      <c r="DC101" t="e">
        <f>AND(#REF!,"AAAAAH9ffWo=")</f>
        <v>#REF!</v>
      </c>
      <c r="DD101" t="e">
        <f>AND(#REF!,"AAAAAH9ffWs=")</f>
        <v>#REF!</v>
      </c>
      <c r="DE101" t="e">
        <f>AND(#REF!,"AAAAAH9ffWw=")</f>
        <v>#REF!</v>
      </c>
      <c r="DF101" t="e">
        <f>AND(#REF!,"AAAAAH9ffW0=")</f>
        <v>#REF!</v>
      </c>
      <c r="DG101" t="e">
        <f>AND(#REF!,"AAAAAH9ffW4=")</f>
        <v>#REF!</v>
      </c>
      <c r="DH101" t="e">
        <f>AND(#REF!,"AAAAAH9ffW8=")</f>
        <v>#REF!</v>
      </c>
      <c r="DI101" t="e">
        <f>AND(#REF!,"AAAAAH9ffXA=")</f>
        <v>#REF!</v>
      </c>
      <c r="DJ101" t="e">
        <f>AND(#REF!,"AAAAAH9ffXE=")</f>
        <v>#REF!</v>
      </c>
      <c r="DK101" t="e">
        <f>AND(#REF!,"AAAAAH9ffXI=")</f>
        <v>#REF!</v>
      </c>
      <c r="DL101" t="e">
        <f>AND(#REF!,"AAAAAH9ffXM=")</f>
        <v>#REF!</v>
      </c>
      <c r="DM101" t="e">
        <f>AND(#REF!,"AAAAAH9ffXQ=")</f>
        <v>#REF!</v>
      </c>
      <c r="DN101" t="e">
        <f>AND(#REF!,"AAAAAH9ffXU=")</f>
        <v>#REF!</v>
      </c>
      <c r="DO101" t="e">
        <f>AND(#REF!,"AAAAAH9ffXY=")</f>
        <v>#REF!</v>
      </c>
      <c r="DP101" t="e">
        <f>AND(#REF!,"AAAAAH9ffXc=")</f>
        <v>#REF!</v>
      </c>
      <c r="DQ101" t="e">
        <f>AND(#REF!,"AAAAAH9ffXg=")</f>
        <v>#REF!</v>
      </c>
      <c r="DR101" t="e">
        <f>AND(#REF!,"AAAAAH9ffXk=")</f>
        <v>#REF!</v>
      </c>
      <c r="DS101" t="e">
        <f>AND(#REF!,"AAAAAH9ffXo=")</f>
        <v>#REF!</v>
      </c>
      <c r="DT101" t="e">
        <f>AND(#REF!,"AAAAAH9ffXs=")</f>
        <v>#REF!</v>
      </c>
      <c r="DU101" t="e">
        <f>AND(#REF!,"AAAAAH9ffXw=")</f>
        <v>#REF!</v>
      </c>
      <c r="DV101" t="e">
        <f>AND(#REF!,"AAAAAH9ffX0=")</f>
        <v>#REF!</v>
      </c>
      <c r="DW101" t="e">
        <f>AND(#REF!,"AAAAAH9ffX4=")</f>
        <v>#REF!</v>
      </c>
      <c r="DX101" t="e">
        <f>AND(#REF!,"AAAAAH9ffX8=")</f>
        <v>#REF!</v>
      </c>
      <c r="DY101" t="e">
        <f>AND(#REF!,"AAAAAH9ffYA=")</f>
        <v>#REF!</v>
      </c>
      <c r="DZ101" t="e">
        <f>AND(#REF!,"AAAAAH9ffYE=")</f>
        <v>#REF!</v>
      </c>
      <c r="EA101" t="e">
        <f>AND(#REF!,"AAAAAH9ffYI=")</f>
        <v>#REF!</v>
      </c>
      <c r="EB101" t="e">
        <f>AND(#REF!,"AAAAAH9ffYM=")</f>
        <v>#REF!</v>
      </c>
      <c r="EC101" t="e">
        <f>AND(#REF!,"AAAAAH9ffYQ=")</f>
        <v>#REF!</v>
      </c>
      <c r="ED101" t="e">
        <f>AND(#REF!,"AAAAAH9ffYU=")</f>
        <v>#REF!</v>
      </c>
      <c r="EE101" t="e">
        <f>AND(#REF!,"AAAAAH9ffYY=")</f>
        <v>#REF!</v>
      </c>
      <c r="EF101" t="e">
        <f>AND(#REF!,"AAAAAH9ffYc=")</f>
        <v>#REF!</v>
      </c>
      <c r="EG101" t="e">
        <f>AND(#REF!,"AAAAAH9ffYg=")</f>
        <v>#REF!</v>
      </c>
      <c r="EH101" t="e">
        <f>AND(#REF!,"AAAAAH9ffYk=")</f>
        <v>#REF!</v>
      </c>
      <c r="EI101" t="e">
        <f>AND(#REF!,"AAAAAH9ffYo=")</f>
        <v>#REF!</v>
      </c>
      <c r="EJ101" t="e">
        <f>AND(#REF!,"AAAAAH9ffYs=")</f>
        <v>#REF!</v>
      </c>
      <c r="EK101" t="e">
        <f>AND(#REF!,"AAAAAH9ffYw=")</f>
        <v>#REF!</v>
      </c>
      <c r="EL101" t="e">
        <f>AND(#REF!,"AAAAAH9ffY0=")</f>
        <v>#REF!</v>
      </c>
      <c r="EM101" t="e">
        <f>AND(#REF!,"AAAAAH9ffY4=")</f>
        <v>#REF!</v>
      </c>
      <c r="EN101" t="e">
        <f>AND(#REF!,"AAAAAH9ffY8=")</f>
        <v>#REF!</v>
      </c>
      <c r="EO101" t="e">
        <f>AND(#REF!,"AAAAAH9ffZA=")</f>
        <v>#REF!</v>
      </c>
      <c r="EP101" t="e">
        <f>AND(#REF!,"AAAAAH9ffZE=")</f>
        <v>#REF!</v>
      </c>
      <c r="EQ101" t="e">
        <f>AND(#REF!,"AAAAAH9ffZI=")</f>
        <v>#REF!</v>
      </c>
      <c r="ER101" t="e">
        <f>AND(#REF!,"AAAAAH9ffZM=")</f>
        <v>#REF!</v>
      </c>
      <c r="ES101" t="e">
        <f>AND(#REF!,"AAAAAH9ffZQ=")</f>
        <v>#REF!</v>
      </c>
      <c r="ET101" t="e">
        <f>AND(#REF!,"AAAAAH9ffZU=")</f>
        <v>#REF!</v>
      </c>
      <c r="EU101" t="e">
        <f>AND(#REF!,"AAAAAH9ffZY=")</f>
        <v>#REF!</v>
      </c>
      <c r="EV101" t="e">
        <f>AND(#REF!,"AAAAAH9ffZc=")</f>
        <v>#REF!</v>
      </c>
      <c r="EW101" t="e">
        <f>AND(#REF!,"AAAAAH9ffZg=")</f>
        <v>#REF!</v>
      </c>
      <c r="EX101" t="e">
        <f>AND(#REF!,"AAAAAH9ffZk=")</f>
        <v>#REF!</v>
      </c>
      <c r="EY101" t="e">
        <f>AND(#REF!,"AAAAAH9ffZo=")</f>
        <v>#REF!</v>
      </c>
      <c r="EZ101" t="e">
        <f>AND(#REF!,"AAAAAH9ffZs=")</f>
        <v>#REF!</v>
      </c>
      <c r="FA101" t="e">
        <f>AND(#REF!,"AAAAAH9ffZw=")</f>
        <v>#REF!</v>
      </c>
      <c r="FB101" t="e">
        <f>AND(#REF!,"AAAAAH9ffZ0=")</f>
        <v>#REF!</v>
      </c>
      <c r="FC101" t="e">
        <f>AND(#REF!,"AAAAAH9ffZ4=")</f>
        <v>#REF!</v>
      </c>
      <c r="FD101" t="e">
        <f>AND(#REF!,"AAAAAH9ffZ8=")</f>
        <v>#REF!</v>
      </c>
      <c r="FE101" t="e">
        <f>AND(#REF!,"AAAAAH9ffaA=")</f>
        <v>#REF!</v>
      </c>
      <c r="FF101" t="e">
        <f>AND(#REF!,"AAAAAH9ffaE=")</f>
        <v>#REF!</v>
      </c>
      <c r="FG101" t="e">
        <f>AND(#REF!,"AAAAAH9ffaI=")</f>
        <v>#REF!</v>
      </c>
      <c r="FH101" t="e">
        <f>AND(#REF!,"AAAAAH9ffaM=")</f>
        <v>#REF!</v>
      </c>
      <c r="FI101" t="e">
        <f>AND(#REF!,"AAAAAH9ffaQ=")</f>
        <v>#REF!</v>
      </c>
      <c r="FJ101" t="e">
        <f>AND(#REF!,"AAAAAH9ffaU=")</f>
        <v>#REF!</v>
      </c>
      <c r="FK101" t="e">
        <f>AND(#REF!,"AAAAAH9ffaY=")</f>
        <v>#REF!</v>
      </c>
      <c r="FL101" t="e">
        <f>AND(#REF!,"AAAAAH9ffac=")</f>
        <v>#REF!</v>
      </c>
      <c r="FM101" t="e">
        <f>AND(#REF!,"AAAAAH9ffag=")</f>
        <v>#REF!</v>
      </c>
      <c r="FN101" t="e">
        <f>AND(#REF!,"AAAAAH9ffak=")</f>
        <v>#REF!</v>
      </c>
      <c r="FO101" t="e">
        <f>AND(#REF!,"AAAAAH9ffao=")</f>
        <v>#REF!</v>
      </c>
      <c r="FP101" t="e">
        <f>AND(#REF!,"AAAAAH9ffas=")</f>
        <v>#REF!</v>
      </c>
      <c r="FQ101" t="e">
        <f>AND(#REF!,"AAAAAH9ffaw=")</f>
        <v>#REF!</v>
      </c>
      <c r="FR101" t="e">
        <f>AND(#REF!,"AAAAAH9ffa0=")</f>
        <v>#REF!</v>
      </c>
      <c r="FS101" t="e">
        <f>AND(#REF!,"AAAAAH9ffa4=")</f>
        <v>#REF!</v>
      </c>
      <c r="FT101" t="e">
        <f>AND(#REF!,"AAAAAH9ffa8=")</f>
        <v>#REF!</v>
      </c>
      <c r="FU101" t="e">
        <f>AND(#REF!,"AAAAAH9ffbA=")</f>
        <v>#REF!</v>
      </c>
      <c r="FV101" t="e">
        <f>AND(#REF!,"AAAAAH9ffbE=")</f>
        <v>#REF!</v>
      </c>
      <c r="FW101" t="e">
        <f>AND(#REF!,"AAAAAH9ffbI=")</f>
        <v>#REF!</v>
      </c>
      <c r="FX101" t="e">
        <f>AND(#REF!,"AAAAAH9ffbM=")</f>
        <v>#REF!</v>
      </c>
      <c r="FY101" t="e">
        <f>AND(#REF!,"AAAAAH9ffbQ=")</f>
        <v>#REF!</v>
      </c>
      <c r="FZ101" t="e">
        <f>AND(#REF!,"AAAAAH9ffbU=")</f>
        <v>#REF!</v>
      </c>
      <c r="GA101" t="e">
        <f>AND(#REF!,"AAAAAH9ffbY=")</f>
        <v>#REF!</v>
      </c>
      <c r="GB101" t="e">
        <f>AND(#REF!,"AAAAAH9ffbc=")</f>
        <v>#REF!</v>
      </c>
      <c r="GC101" t="e">
        <f>AND(#REF!,"AAAAAH9ffbg=")</f>
        <v>#REF!</v>
      </c>
      <c r="GD101" t="e">
        <f>AND(#REF!,"AAAAAH9ffbk=")</f>
        <v>#REF!</v>
      </c>
      <c r="GE101" t="e">
        <f>AND(#REF!,"AAAAAH9ffbo=")</f>
        <v>#REF!</v>
      </c>
      <c r="GF101" t="e">
        <f>AND(#REF!,"AAAAAH9ffbs=")</f>
        <v>#REF!</v>
      </c>
      <c r="GG101" t="e">
        <f>AND(#REF!,"AAAAAH9ffbw=")</f>
        <v>#REF!</v>
      </c>
      <c r="GH101" t="e">
        <f>AND(#REF!,"AAAAAH9ffb0=")</f>
        <v>#REF!</v>
      </c>
      <c r="GI101" t="e">
        <f>AND(#REF!,"AAAAAH9ffb4=")</f>
        <v>#REF!</v>
      </c>
      <c r="GJ101" t="e">
        <f>AND(#REF!,"AAAAAH9ffb8=")</f>
        <v>#REF!</v>
      </c>
      <c r="GK101" t="e">
        <f>AND(#REF!,"AAAAAH9ffcA=")</f>
        <v>#REF!</v>
      </c>
      <c r="GL101" t="e">
        <f>AND(#REF!,"AAAAAH9ffcE=")</f>
        <v>#REF!</v>
      </c>
      <c r="GM101" t="e">
        <f>AND(#REF!,"AAAAAH9ffcI=")</f>
        <v>#REF!</v>
      </c>
      <c r="GN101" t="e">
        <f>AND(#REF!,"AAAAAH9ffcM=")</f>
        <v>#REF!</v>
      </c>
      <c r="GO101" t="e">
        <f>AND(#REF!,"AAAAAH9ffcQ=")</f>
        <v>#REF!</v>
      </c>
      <c r="GP101" t="e">
        <f>AND(#REF!,"AAAAAH9ffcU=")</f>
        <v>#REF!</v>
      </c>
      <c r="GQ101" t="e">
        <f>AND(#REF!,"AAAAAH9ffcY=")</f>
        <v>#REF!</v>
      </c>
      <c r="GR101" t="e">
        <f>AND(#REF!,"AAAAAH9ffcc=")</f>
        <v>#REF!</v>
      </c>
      <c r="GS101" t="e">
        <f>AND(#REF!,"AAAAAH9ffcg=")</f>
        <v>#REF!</v>
      </c>
      <c r="GT101" t="e">
        <f>AND(#REF!,"AAAAAH9ffck=")</f>
        <v>#REF!</v>
      </c>
      <c r="GU101" t="e">
        <f>AND(#REF!,"AAAAAH9ffco=")</f>
        <v>#REF!</v>
      </c>
      <c r="GV101" t="e">
        <f>AND(#REF!,"AAAAAH9ffcs=")</f>
        <v>#REF!</v>
      </c>
      <c r="GW101" t="e">
        <f>AND(#REF!,"AAAAAH9ffcw=")</f>
        <v>#REF!</v>
      </c>
      <c r="GX101" t="e">
        <f>AND(#REF!,"AAAAAH9ffc0=")</f>
        <v>#REF!</v>
      </c>
      <c r="GY101" t="e">
        <f>AND(#REF!,"AAAAAH9ffc4=")</f>
        <v>#REF!</v>
      </c>
      <c r="GZ101" t="e">
        <f>AND(#REF!,"AAAAAH9ffc8=")</f>
        <v>#REF!</v>
      </c>
      <c r="HA101" t="e">
        <f>AND(#REF!,"AAAAAH9ffdA=")</f>
        <v>#REF!</v>
      </c>
      <c r="HB101" t="e">
        <f>AND(#REF!,"AAAAAH9ffdE=")</f>
        <v>#REF!</v>
      </c>
      <c r="HC101" t="e">
        <f>AND(#REF!,"AAAAAH9ffdI=")</f>
        <v>#REF!</v>
      </c>
      <c r="HD101" t="e">
        <f>AND(#REF!,"AAAAAH9ffdM=")</f>
        <v>#REF!</v>
      </c>
      <c r="HE101" t="e">
        <f>AND(#REF!,"AAAAAH9ffdQ=")</f>
        <v>#REF!</v>
      </c>
      <c r="HF101" t="e">
        <f>AND(#REF!,"AAAAAH9ffdU=")</f>
        <v>#REF!</v>
      </c>
      <c r="HG101" t="e">
        <f>AND(#REF!,"AAAAAH9ffdY=")</f>
        <v>#REF!</v>
      </c>
      <c r="HH101" t="e">
        <f>AND(#REF!,"AAAAAH9ffdc=")</f>
        <v>#REF!</v>
      </c>
      <c r="HI101" t="e">
        <f>AND(#REF!,"AAAAAH9ffdg=")</f>
        <v>#REF!</v>
      </c>
      <c r="HJ101" t="e">
        <f>AND(#REF!,"AAAAAH9ffdk=")</f>
        <v>#REF!</v>
      </c>
      <c r="HK101" t="e">
        <f>AND(#REF!,"AAAAAH9ffdo=")</f>
        <v>#REF!</v>
      </c>
      <c r="HL101" t="e">
        <f>AND(#REF!,"AAAAAH9ffds=")</f>
        <v>#REF!</v>
      </c>
      <c r="HM101" t="e">
        <f>AND(#REF!,"AAAAAH9ffdw=")</f>
        <v>#REF!</v>
      </c>
      <c r="HN101" t="e">
        <f>AND(#REF!,"AAAAAH9ffd0=")</f>
        <v>#REF!</v>
      </c>
      <c r="HO101" t="e">
        <f>AND(#REF!,"AAAAAH9ffd4=")</f>
        <v>#REF!</v>
      </c>
      <c r="HP101" t="e">
        <f>AND(#REF!,"AAAAAH9ffd8=")</f>
        <v>#REF!</v>
      </c>
      <c r="HQ101" t="e">
        <f>AND(#REF!,"AAAAAH9ffeA=")</f>
        <v>#REF!</v>
      </c>
      <c r="HR101" t="e">
        <f>AND(#REF!,"AAAAAH9ffeE=")</f>
        <v>#REF!</v>
      </c>
      <c r="HS101" t="e">
        <f>AND(#REF!,"AAAAAH9ffeI=")</f>
        <v>#REF!</v>
      </c>
      <c r="HT101" t="e">
        <f>AND(#REF!,"AAAAAH9ffeM=")</f>
        <v>#REF!</v>
      </c>
      <c r="HU101" t="e">
        <f>AND(#REF!,"AAAAAH9ffeQ=")</f>
        <v>#REF!</v>
      </c>
      <c r="HV101" t="e">
        <f>AND(#REF!,"AAAAAH9ffeU=")</f>
        <v>#REF!</v>
      </c>
      <c r="HW101" t="e">
        <f>AND(#REF!,"AAAAAH9ffeY=")</f>
        <v>#REF!</v>
      </c>
      <c r="HX101" t="e">
        <f>AND(#REF!,"AAAAAH9ffec=")</f>
        <v>#REF!</v>
      </c>
      <c r="HY101" t="e">
        <f>AND(#REF!,"AAAAAH9ffeg=")</f>
        <v>#REF!</v>
      </c>
      <c r="HZ101" t="e">
        <f>AND(#REF!,"AAAAAH9ffek=")</f>
        <v>#REF!</v>
      </c>
      <c r="IA101" t="e">
        <f>AND(#REF!,"AAAAAH9ffeo=")</f>
        <v>#REF!</v>
      </c>
      <c r="IB101" t="e">
        <f>AND(#REF!,"AAAAAH9ffes=")</f>
        <v>#REF!</v>
      </c>
      <c r="IC101" t="e">
        <f>AND(#REF!,"AAAAAH9ffew=")</f>
        <v>#REF!</v>
      </c>
      <c r="ID101" t="e">
        <f>AND(#REF!,"AAAAAH9ffe0=")</f>
        <v>#REF!</v>
      </c>
      <c r="IE101" t="e">
        <f>AND(#REF!,"AAAAAH9ffe4=")</f>
        <v>#REF!</v>
      </c>
      <c r="IF101" t="e">
        <f>AND(#REF!,"AAAAAH9ffe8=")</f>
        <v>#REF!</v>
      </c>
      <c r="IG101" t="e">
        <f>AND(#REF!,"AAAAAH9fffA=")</f>
        <v>#REF!</v>
      </c>
      <c r="IH101" t="e">
        <f>AND(#REF!,"AAAAAH9fffE=")</f>
        <v>#REF!</v>
      </c>
      <c r="II101" t="e">
        <f>AND(#REF!,"AAAAAH9fffI=")</f>
        <v>#REF!</v>
      </c>
      <c r="IJ101" t="e">
        <f>AND(#REF!,"AAAAAH9fffM=")</f>
        <v>#REF!</v>
      </c>
      <c r="IK101" t="e">
        <f>AND(#REF!,"AAAAAH9fffQ=")</f>
        <v>#REF!</v>
      </c>
      <c r="IL101" t="e">
        <f>AND(#REF!,"AAAAAH9fffU=")</f>
        <v>#REF!</v>
      </c>
      <c r="IM101" t="e">
        <f>AND(#REF!,"AAAAAH9fffY=")</f>
        <v>#REF!</v>
      </c>
      <c r="IN101" t="e">
        <f>AND(#REF!,"AAAAAH9fffc=")</f>
        <v>#REF!</v>
      </c>
      <c r="IO101" t="e">
        <f>AND(#REF!,"AAAAAH9fffg=")</f>
        <v>#REF!</v>
      </c>
      <c r="IP101" t="e">
        <f>AND(#REF!,"AAAAAH9fffk=")</f>
        <v>#REF!</v>
      </c>
      <c r="IQ101" t="e">
        <f>AND(#REF!,"AAAAAH9fffo=")</f>
        <v>#REF!</v>
      </c>
      <c r="IR101" t="e">
        <f>AND(#REF!,"AAAAAH9fffs=")</f>
        <v>#REF!</v>
      </c>
      <c r="IS101" t="e">
        <f>AND(#REF!,"AAAAAH9fffw=")</f>
        <v>#REF!</v>
      </c>
      <c r="IT101" t="e">
        <f>AND(#REF!,"AAAAAH9fff0=")</f>
        <v>#REF!</v>
      </c>
      <c r="IU101" t="e">
        <f>AND(#REF!,"AAAAAH9fff4=")</f>
        <v>#REF!</v>
      </c>
      <c r="IV101" t="e">
        <f>AND(#REF!,"AAAAAH9fff8=")</f>
        <v>#REF!</v>
      </c>
    </row>
    <row r="102" spans="1:256">
      <c r="A102" t="e">
        <f>AND(#REF!,"AAAAADt36wA=")</f>
        <v>#REF!</v>
      </c>
      <c r="B102" t="e">
        <f>AND(#REF!,"AAAAADt36wE=")</f>
        <v>#REF!</v>
      </c>
      <c r="C102" t="e">
        <f>AND(#REF!,"AAAAADt36wI=")</f>
        <v>#REF!</v>
      </c>
      <c r="D102" t="e">
        <f>AND(#REF!,"AAAAADt36wM=")</f>
        <v>#REF!</v>
      </c>
      <c r="E102" t="e">
        <f>AND(#REF!,"AAAAADt36wQ=")</f>
        <v>#REF!</v>
      </c>
      <c r="F102" t="e">
        <f>AND(#REF!,"AAAAADt36wU=")</f>
        <v>#REF!</v>
      </c>
      <c r="G102" t="e">
        <f>AND(#REF!,"AAAAADt36wY=")</f>
        <v>#REF!</v>
      </c>
      <c r="H102" t="e">
        <f>AND(#REF!,"AAAAADt36wc=")</f>
        <v>#REF!</v>
      </c>
      <c r="I102" t="e">
        <f>AND(#REF!,"AAAAADt36wg=")</f>
        <v>#REF!</v>
      </c>
      <c r="J102" t="e">
        <f>AND(#REF!,"AAAAADt36wk=")</f>
        <v>#REF!</v>
      </c>
      <c r="K102" t="e">
        <f>AND(#REF!,"AAAAADt36wo=")</f>
        <v>#REF!</v>
      </c>
      <c r="L102" t="e">
        <f>AND(#REF!,"AAAAADt36ws=")</f>
        <v>#REF!</v>
      </c>
      <c r="M102" t="e">
        <f>AND(#REF!,"AAAAADt36ww=")</f>
        <v>#REF!</v>
      </c>
      <c r="N102" t="e">
        <f>AND(#REF!,"AAAAADt36w0=")</f>
        <v>#REF!</v>
      </c>
      <c r="O102" t="e">
        <f>AND(#REF!,"AAAAADt36w4=")</f>
        <v>#REF!</v>
      </c>
      <c r="P102" t="e">
        <f>AND(#REF!,"AAAAADt36w8=")</f>
        <v>#REF!</v>
      </c>
      <c r="Q102" t="e">
        <f>AND(#REF!,"AAAAADt36xA=")</f>
        <v>#REF!</v>
      </c>
      <c r="R102" t="e">
        <f>AND(#REF!,"AAAAADt36xE=")</f>
        <v>#REF!</v>
      </c>
      <c r="S102" t="e">
        <f>AND(#REF!,"AAAAADt36xI=")</f>
        <v>#REF!</v>
      </c>
      <c r="T102" t="e">
        <f>AND(#REF!,"AAAAADt36xM=")</f>
        <v>#REF!</v>
      </c>
      <c r="U102" t="e">
        <f>AND(#REF!,"AAAAADt36xQ=")</f>
        <v>#REF!</v>
      </c>
      <c r="V102" t="e">
        <f>AND(#REF!,"AAAAADt36xU=")</f>
        <v>#REF!</v>
      </c>
      <c r="W102" t="e">
        <f>AND(#REF!,"AAAAADt36xY=")</f>
        <v>#REF!</v>
      </c>
      <c r="X102" t="e">
        <f>AND(#REF!,"AAAAADt36xc=")</f>
        <v>#REF!</v>
      </c>
      <c r="Y102" t="e">
        <f>AND(#REF!,"AAAAADt36xg=")</f>
        <v>#REF!</v>
      </c>
      <c r="Z102" t="e">
        <f>AND(#REF!,"AAAAADt36xk=")</f>
        <v>#REF!</v>
      </c>
      <c r="AA102" t="e">
        <f>AND(#REF!,"AAAAADt36xo=")</f>
        <v>#REF!</v>
      </c>
      <c r="AB102" t="e">
        <f>AND(#REF!,"AAAAADt36xs=")</f>
        <v>#REF!</v>
      </c>
      <c r="AC102" t="e">
        <f>AND(#REF!,"AAAAADt36xw=")</f>
        <v>#REF!</v>
      </c>
      <c r="AD102" t="e">
        <f>AND(#REF!,"AAAAADt36x0=")</f>
        <v>#REF!</v>
      </c>
      <c r="AE102" t="e">
        <f>AND(#REF!,"AAAAADt36x4=")</f>
        <v>#REF!</v>
      </c>
      <c r="AF102" t="e">
        <f>AND(#REF!,"AAAAADt36x8=")</f>
        <v>#REF!</v>
      </c>
      <c r="AG102" t="e">
        <f>AND(#REF!,"AAAAADt36yA=")</f>
        <v>#REF!</v>
      </c>
      <c r="AH102" t="e">
        <f>AND(#REF!,"AAAAADt36yE=")</f>
        <v>#REF!</v>
      </c>
      <c r="AI102" t="e">
        <f>AND(#REF!,"AAAAADt36yI=")</f>
        <v>#REF!</v>
      </c>
      <c r="AJ102" t="e">
        <f>AND(#REF!,"AAAAADt36yM=")</f>
        <v>#REF!</v>
      </c>
      <c r="AK102" t="e">
        <f>AND(#REF!,"AAAAADt36yQ=")</f>
        <v>#REF!</v>
      </c>
      <c r="AL102" t="e">
        <f>AND(#REF!,"AAAAADt36yU=")</f>
        <v>#REF!</v>
      </c>
      <c r="AM102" t="e">
        <f>AND(#REF!,"AAAAADt36yY=")</f>
        <v>#REF!</v>
      </c>
      <c r="AN102" t="e">
        <f>AND(#REF!,"AAAAADt36yc=")</f>
        <v>#REF!</v>
      </c>
      <c r="AO102" t="e">
        <f>AND(#REF!,"AAAAADt36yg=")</f>
        <v>#REF!</v>
      </c>
      <c r="AP102" t="e">
        <f>AND(#REF!,"AAAAADt36yk=")</f>
        <v>#REF!</v>
      </c>
      <c r="AQ102" t="e">
        <f>AND(#REF!,"AAAAADt36yo=")</f>
        <v>#REF!</v>
      </c>
      <c r="AR102" t="e">
        <f>AND(#REF!,"AAAAADt36ys=")</f>
        <v>#REF!</v>
      </c>
      <c r="AS102" t="e">
        <f>AND(#REF!,"AAAAADt36yw=")</f>
        <v>#REF!</v>
      </c>
      <c r="AT102" t="e">
        <f>AND(#REF!,"AAAAADt36y0=")</f>
        <v>#REF!</v>
      </c>
      <c r="AU102" t="e">
        <f>AND(#REF!,"AAAAADt36y4=")</f>
        <v>#REF!</v>
      </c>
      <c r="AV102" t="e">
        <f>AND(#REF!,"AAAAADt36y8=")</f>
        <v>#REF!</v>
      </c>
      <c r="AW102" t="e">
        <f>AND(#REF!,"AAAAADt36zA=")</f>
        <v>#REF!</v>
      </c>
      <c r="AX102" t="e">
        <f>AND(#REF!,"AAAAADt36zE=")</f>
        <v>#REF!</v>
      </c>
      <c r="AY102" t="e">
        <f>AND(#REF!,"AAAAADt36zI=")</f>
        <v>#REF!</v>
      </c>
      <c r="AZ102" t="e">
        <f>AND(#REF!,"AAAAADt36zM=")</f>
        <v>#REF!</v>
      </c>
      <c r="BA102" t="e">
        <f>AND(#REF!,"AAAAADt36zQ=")</f>
        <v>#REF!</v>
      </c>
      <c r="BB102" t="e">
        <f>AND(#REF!,"AAAAADt36zU=")</f>
        <v>#REF!</v>
      </c>
      <c r="BC102" t="e">
        <f>AND(#REF!,"AAAAADt36zY=")</f>
        <v>#REF!</v>
      </c>
      <c r="BD102" t="e">
        <f>AND(#REF!,"AAAAADt36zc=")</f>
        <v>#REF!</v>
      </c>
      <c r="BE102" t="e">
        <f>AND(#REF!,"AAAAADt36zg=")</f>
        <v>#REF!</v>
      </c>
      <c r="BF102" t="e">
        <f>AND(#REF!,"AAAAADt36zk=")</f>
        <v>#REF!</v>
      </c>
      <c r="BG102" t="e">
        <f>AND(#REF!,"AAAAADt36zo=")</f>
        <v>#REF!</v>
      </c>
      <c r="BH102" t="e">
        <f>AND(#REF!,"AAAAADt36zs=")</f>
        <v>#REF!</v>
      </c>
      <c r="BI102" t="e">
        <f>AND(#REF!,"AAAAADt36zw=")</f>
        <v>#REF!</v>
      </c>
      <c r="BJ102" t="e">
        <f>AND(#REF!,"AAAAADt36z0=")</f>
        <v>#REF!</v>
      </c>
      <c r="BK102" t="e">
        <f>AND(#REF!,"AAAAADt36z4=")</f>
        <v>#REF!</v>
      </c>
      <c r="BL102" t="e">
        <f>AND(#REF!,"AAAAADt36z8=")</f>
        <v>#REF!</v>
      </c>
      <c r="BM102" t="e">
        <f>AND(#REF!,"AAAAADt360A=")</f>
        <v>#REF!</v>
      </c>
      <c r="BN102" t="e">
        <f>AND(#REF!,"AAAAADt360E=")</f>
        <v>#REF!</v>
      </c>
      <c r="BO102" t="e">
        <f>AND(#REF!,"AAAAADt360I=")</f>
        <v>#REF!</v>
      </c>
      <c r="BP102" t="e">
        <f>AND(#REF!,"AAAAADt360M=")</f>
        <v>#REF!</v>
      </c>
      <c r="BQ102" t="e">
        <f>AND(#REF!,"AAAAADt360Q=")</f>
        <v>#REF!</v>
      </c>
      <c r="BR102" t="e">
        <f>AND(#REF!,"AAAAADt360U=")</f>
        <v>#REF!</v>
      </c>
      <c r="BS102" t="e">
        <f>AND(#REF!,"AAAAADt360Y=")</f>
        <v>#REF!</v>
      </c>
      <c r="BT102" t="e">
        <f>AND(#REF!,"AAAAADt360c=")</f>
        <v>#REF!</v>
      </c>
      <c r="BU102" t="e">
        <f>AND(#REF!,"AAAAADt360g=")</f>
        <v>#REF!</v>
      </c>
      <c r="BV102" t="e">
        <f>AND(#REF!,"AAAAADt360k=")</f>
        <v>#REF!</v>
      </c>
      <c r="BW102" t="e">
        <f>AND(#REF!,"AAAAADt360o=")</f>
        <v>#REF!</v>
      </c>
      <c r="BX102" t="e">
        <f>AND(#REF!,"AAAAADt360s=")</f>
        <v>#REF!</v>
      </c>
      <c r="BY102" t="e">
        <f>AND(#REF!,"AAAAADt360w=")</f>
        <v>#REF!</v>
      </c>
      <c r="BZ102" t="e">
        <f>AND(#REF!,"AAAAADt3600=")</f>
        <v>#REF!</v>
      </c>
      <c r="CA102" t="e">
        <f>AND(#REF!,"AAAAADt3604=")</f>
        <v>#REF!</v>
      </c>
      <c r="CB102" t="e">
        <f>AND(#REF!,"AAAAADt3608=")</f>
        <v>#REF!</v>
      </c>
      <c r="CC102" t="e">
        <f>AND(#REF!,"AAAAADt361A=")</f>
        <v>#REF!</v>
      </c>
      <c r="CD102" t="e">
        <f>AND(#REF!,"AAAAADt361E=")</f>
        <v>#REF!</v>
      </c>
      <c r="CE102" t="e">
        <f>AND(#REF!,"AAAAADt361I=")</f>
        <v>#REF!</v>
      </c>
      <c r="CF102" t="e">
        <f>AND(#REF!,"AAAAADt361M=")</f>
        <v>#REF!</v>
      </c>
      <c r="CG102" t="e">
        <f>AND(#REF!,"AAAAADt361Q=")</f>
        <v>#REF!</v>
      </c>
      <c r="CH102" t="e">
        <f>AND(#REF!,"AAAAADt361U=")</f>
        <v>#REF!</v>
      </c>
      <c r="CI102" t="e">
        <f>AND(#REF!,"AAAAADt361Y=")</f>
        <v>#REF!</v>
      </c>
      <c r="CJ102" t="e">
        <f>AND(#REF!,"AAAAADt361c=")</f>
        <v>#REF!</v>
      </c>
      <c r="CK102" t="e">
        <f>AND(#REF!,"AAAAADt361g=")</f>
        <v>#REF!</v>
      </c>
      <c r="CL102" t="e">
        <f>AND(#REF!,"AAAAADt361k=")</f>
        <v>#REF!</v>
      </c>
      <c r="CM102" t="e">
        <f>AND(#REF!,"AAAAADt361o=")</f>
        <v>#REF!</v>
      </c>
      <c r="CN102" t="e">
        <f>AND(#REF!,"AAAAADt361s=")</f>
        <v>#REF!</v>
      </c>
      <c r="CO102" t="e">
        <f>AND(#REF!,"AAAAADt361w=")</f>
        <v>#REF!</v>
      </c>
      <c r="CP102" t="e">
        <f>AND(#REF!,"AAAAADt3610=")</f>
        <v>#REF!</v>
      </c>
      <c r="CQ102" t="e">
        <f>AND(#REF!,"AAAAADt3614=")</f>
        <v>#REF!</v>
      </c>
      <c r="CR102" t="e">
        <f>AND(#REF!,"AAAAADt3618=")</f>
        <v>#REF!</v>
      </c>
      <c r="CS102" t="e">
        <f>AND(#REF!,"AAAAADt362A=")</f>
        <v>#REF!</v>
      </c>
      <c r="CT102" t="e">
        <f>AND(#REF!,"AAAAADt362E=")</f>
        <v>#REF!</v>
      </c>
      <c r="CU102" t="e">
        <f>AND(#REF!,"AAAAADt362I=")</f>
        <v>#REF!</v>
      </c>
      <c r="CV102" t="e">
        <f>AND(#REF!,"AAAAADt362M=")</f>
        <v>#REF!</v>
      </c>
      <c r="CW102" t="e">
        <f>AND(#REF!,"AAAAADt362Q=")</f>
        <v>#REF!</v>
      </c>
      <c r="CX102" t="e">
        <f>AND(#REF!,"AAAAADt362U=")</f>
        <v>#REF!</v>
      </c>
      <c r="CY102" t="e">
        <f>AND(#REF!,"AAAAADt362Y=")</f>
        <v>#REF!</v>
      </c>
      <c r="CZ102" t="e">
        <f>AND(#REF!,"AAAAADt362c=")</f>
        <v>#REF!</v>
      </c>
      <c r="DA102" t="e">
        <f>AND(#REF!,"AAAAADt362g=")</f>
        <v>#REF!</v>
      </c>
      <c r="DB102" t="e">
        <f>AND(#REF!,"AAAAADt362k=")</f>
        <v>#REF!</v>
      </c>
      <c r="DC102" t="e">
        <f>AND(#REF!,"AAAAADt362o=")</f>
        <v>#REF!</v>
      </c>
      <c r="DD102" t="e">
        <f>AND(#REF!,"AAAAADt362s=")</f>
        <v>#REF!</v>
      </c>
      <c r="DE102" t="e">
        <f>AND(#REF!,"AAAAADt362w=")</f>
        <v>#REF!</v>
      </c>
      <c r="DF102" t="e">
        <f>AND(#REF!,"AAAAADt3620=")</f>
        <v>#REF!</v>
      </c>
      <c r="DG102" t="e">
        <f>AND(#REF!,"AAAAADt3624=")</f>
        <v>#REF!</v>
      </c>
      <c r="DH102" t="e">
        <f>AND(#REF!,"AAAAADt3628=")</f>
        <v>#REF!</v>
      </c>
      <c r="DI102" t="e">
        <f>AND(#REF!,"AAAAADt363A=")</f>
        <v>#REF!</v>
      </c>
      <c r="DJ102" t="e">
        <f>AND(#REF!,"AAAAADt363E=")</f>
        <v>#REF!</v>
      </c>
      <c r="DK102" t="e">
        <f>AND(#REF!,"AAAAADt363I=")</f>
        <v>#REF!</v>
      </c>
      <c r="DL102" t="e">
        <f>AND(#REF!,"AAAAADt363M=")</f>
        <v>#REF!</v>
      </c>
      <c r="DM102" t="e">
        <f>AND(#REF!,"AAAAADt363Q=")</f>
        <v>#REF!</v>
      </c>
      <c r="DN102" t="e">
        <f>AND(#REF!,"AAAAADt363U=")</f>
        <v>#REF!</v>
      </c>
      <c r="DO102" t="e">
        <f>AND(#REF!,"AAAAADt363Y=")</f>
        <v>#REF!</v>
      </c>
      <c r="DP102" t="e">
        <f>AND(#REF!,"AAAAADt363c=")</f>
        <v>#REF!</v>
      </c>
      <c r="DQ102" t="e">
        <f>AND(#REF!,"AAAAADt363g=")</f>
        <v>#REF!</v>
      </c>
      <c r="DR102" t="e">
        <f>AND(#REF!,"AAAAADt363k=")</f>
        <v>#REF!</v>
      </c>
      <c r="DS102" t="e">
        <f>AND(#REF!,"AAAAADt363o=")</f>
        <v>#REF!</v>
      </c>
      <c r="DT102" t="e">
        <f>AND(#REF!,"AAAAADt363s=")</f>
        <v>#REF!</v>
      </c>
      <c r="DU102" t="e">
        <f>AND(#REF!,"AAAAADt363w=")</f>
        <v>#REF!</v>
      </c>
      <c r="DV102" t="e">
        <f>AND(#REF!,"AAAAADt3630=")</f>
        <v>#REF!</v>
      </c>
      <c r="DW102" t="e">
        <f>AND(#REF!,"AAAAADt3634=")</f>
        <v>#REF!</v>
      </c>
      <c r="DX102" t="e">
        <f>AND(#REF!,"AAAAADt3638=")</f>
        <v>#REF!</v>
      </c>
      <c r="DY102" t="e">
        <f>AND(#REF!,"AAAAADt364A=")</f>
        <v>#REF!</v>
      </c>
      <c r="DZ102" t="e">
        <f>AND(#REF!,"AAAAADt364E=")</f>
        <v>#REF!</v>
      </c>
      <c r="EA102" t="e">
        <f>AND(#REF!,"AAAAADt364I=")</f>
        <v>#REF!</v>
      </c>
      <c r="EB102" t="e">
        <f>AND(#REF!,"AAAAADt364M=")</f>
        <v>#REF!</v>
      </c>
      <c r="EC102" t="e">
        <f>AND(#REF!,"AAAAADt364Q=")</f>
        <v>#REF!</v>
      </c>
      <c r="ED102" t="e">
        <f>AND(#REF!,"AAAAADt364U=")</f>
        <v>#REF!</v>
      </c>
      <c r="EE102" t="e">
        <f>AND(#REF!,"AAAAADt364Y=")</f>
        <v>#REF!</v>
      </c>
      <c r="EF102" t="e">
        <f>AND(#REF!,"AAAAADt364c=")</f>
        <v>#REF!</v>
      </c>
      <c r="EG102" t="e">
        <f>AND(#REF!,"AAAAADt364g=")</f>
        <v>#REF!</v>
      </c>
      <c r="EH102" t="e">
        <f>AND(#REF!,"AAAAADt364k=")</f>
        <v>#REF!</v>
      </c>
      <c r="EI102" t="e">
        <f>AND(#REF!,"AAAAADt364o=")</f>
        <v>#REF!</v>
      </c>
      <c r="EJ102" t="e">
        <f>AND(#REF!,"AAAAADt364s=")</f>
        <v>#REF!</v>
      </c>
      <c r="EK102" t="e">
        <f>AND(#REF!,"AAAAADt364w=")</f>
        <v>#REF!</v>
      </c>
      <c r="EL102" t="e">
        <f>AND(#REF!,"AAAAADt3640=")</f>
        <v>#REF!</v>
      </c>
      <c r="EM102" t="e">
        <f>AND(#REF!,"AAAAADt3644=")</f>
        <v>#REF!</v>
      </c>
      <c r="EN102" t="e">
        <f>AND(#REF!,"AAAAADt3648=")</f>
        <v>#REF!</v>
      </c>
      <c r="EO102" t="e">
        <f>AND(#REF!,"AAAAADt365A=")</f>
        <v>#REF!</v>
      </c>
      <c r="EP102" t="e">
        <f>AND(#REF!,"AAAAADt365E=")</f>
        <v>#REF!</v>
      </c>
      <c r="EQ102" t="e">
        <f>AND(#REF!,"AAAAADt365I=")</f>
        <v>#REF!</v>
      </c>
      <c r="ER102" t="e">
        <f>AND(#REF!,"AAAAADt365M=")</f>
        <v>#REF!</v>
      </c>
      <c r="ES102" t="e">
        <f>AND(#REF!,"AAAAADt365Q=")</f>
        <v>#REF!</v>
      </c>
      <c r="ET102" t="e">
        <f>AND(#REF!,"AAAAADt365U=")</f>
        <v>#REF!</v>
      </c>
      <c r="EU102" t="e">
        <f>AND(#REF!,"AAAAADt365Y=")</f>
        <v>#REF!</v>
      </c>
      <c r="EV102" t="e">
        <f>AND(#REF!,"AAAAADt365c=")</f>
        <v>#REF!</v>
      </c>
      <c r="EW102" t="e">
        <f>AND(#REF!,"AAAAADt365g=")</f>
        <v>#REF!</v>
      </c>
      <c r="EX102" t="e">
        <f>AND(#REF!,"AAAAADt365k=")</f>
        <v>#REF!</v>
      </c>
      <c r="EY102" t="e">
        <f>AND(#REF!,"AAAAADt365o=")</f>
        <v>#REF!</v>
      </c>
      <c r="EZ102" t="e">
        <f>AND(#REF!,"AAAAADt365s=")</f>
        <v>#REF!</v>
      </c>
      <c r="FA102" t="e">
        <f>AND(#REF!,"AAAAADt365w=")</f>
        <v>#REF!</v>
      </c>
      <c r="FB102" t="e">
        <f>AND(#REF!,"AAAAADt3650=")</f>
        <v>#REF!</v>
      </c>
      <c r="FC102" t="e">
        <f>AND(#REF!,"AAAAADt3654=")</f>
        <v>#REF!</v>
      </c>
      <c r="FD102" t="e">
        <f>AND(#REF!,"AAAAADt3658=")</f>
        <v>#REF!</v>
      </c>
      <c r="FE102" t="e">
        <f>AND(#REF!,"AAAAADt366A=")</f>
        <v>#REF!</v>
      </c>
      <c r="FF102" t="e">
        <f>AND(#REF!,"AAAAADt366E=")</f>
        <v>#REF!</v>
      </c>
      <c r="FG102" t="e">
        <f>AND(#REF!,"AAAAADt366I=")</f>
        <v>#REF!</v>
      </c>
      <c r="FH102" t="e">
        <f>AND(#REF!,"AAAAADt366M=")</f>
        <v>#REF!</v>
      </c>
      <c r="FI102" t="e">
        <f>AND(#REF!,"AAAAADt366Q=")</f>
        <v>#REF!</v>
      </c>
      <c r="FJ102" t="e">
        <f>AND(#REF!,"AAAAADt366U=")</f>
        <v>#REF!</v>
      </c>
      <c r="FK102" t="e">
        <f>AND(#REF!,"AAAAADt366Y=")</f>
        <v>#REF!</v>
      </c>
      <c r="FL102" t="e">
        <f>AND(#REF!,"AAAAADt366c=")</f>
        <v>#REF!</v>
      </c>
      <c r="FM102" t="e">
        <f>AND(#REF!,"AAAAADt366g=")</f>
        <v>#REF!</v>
      </c>
      <c r="FN102" t="e">
        <f>AND(#REF!,"AAAAADt366k=")</f>
        <v>#REF!</v>
      </c>
      <c r="FO102" t="e">
        <f>AND(#REF!,"AAAAADt366o=")</f>
        <v>#REF!</v>
      </c>
      <c r="FP102" t="e">
        <f>AND(#REF!,"AAAAADt366s=")</f>
        <v>#REF!</v>
      </c>
      <c r="FQ102" t="e">
        <f>AND(#REF!,"AAAAADt366w=")</f>
        <v>#REF!</v>
      </c>
      <c r="FR102" t="e">
        <f>AND(#REF!,"AAAAADt3660=")</f>
        <v>#REF!</v>
      </c>
      <c r="FS102" t="e">
        <f>AND(#REF!,"AAAAADt3664=")</f>
        <v>#REF!</v>
      </c>
      <c r="FT102" t="e">
        <f>AND(#REF!,"AAAAADt3668=")</f>
        <v>#REF!</v>
      </c>
      <c r="FU102" t="e">
        <f>AND(#REF!,"AAAAADt367A=")</f>
        <v>#REF!</v>
      </c>
      <c r="FV102" t="e">
        <f>AND(#REF!,"AAAAADt367E=")</f>
        <v>#REF!</v>
      </c>
      <c r="FW102" t="e">
        <f>AND(#REF!,"AAAAADt367I=")</f>
        <v>#REF!</v>
      </c>
      <c r="FX102" t="e">
        <f>AND(#REF!,"AAAAADt367M=")</f>
        <v>#REF!</v>
      </c>
      <c r="FY102" t="e">
        <f>AND(#REF!,"AAAAADt367Q=")</f>
        <v>#REF!</v>
      </c>
      <c r="FZ102" t="e">
        <f>AND(#REF!,"AAAAADt367U=")</f>
        <v>#REF!</v>
      </c>
      <c r="GA102" t="e">
        <f>AND(#REF!,"AAAAADt367Y=")</f>
        <v>#REF!</v>
      </c>
      <c r="GB102" t="e">
        <f>AND(#REF!,"AAAAADt367c=")</f>
        <v>#REF!</v>
      </c>
      <c r="GC102" t="e">
        <f>AND(#REF!,"AAAAADt367g=")</f>
        <v>#REF!</v>
      </c>
      <c r="GD102" t="e">
        <f>AND(#REF!,"AAAAADt367k=")</f>
        <v>#REF!</v>
      </c>
      <c r="GE102" t="e">
        <f>AND(#REF!,"AAAAADt367o=")</f>
        <v>#REF!</v>
      </c>
      <c r="GF102" t="e">
        <f>AND(#REF!,"AAAAADt367s=")</f>
        <v>#REF!</v>
      </c>
      <c r="GG102" t="e">
        <f>AND(#REF!,"AAAAADt367w=")</f>
        <v>#REF!</v>
      </c>
      <c r="GH102" t="e">
        <f>AND(#REF!,"AAAAADt3670=")</f>
        <v>#REF!</v>
      </c>
      <c r="GI102" t="e">
        <f>AND(#REF!,"AAAAADt3674=")</f>
        <v>#REF!</v>
      </c>
      <c r="GJ102" t="e">
        <f>AND(#REF!,"AAAAADt3678=")</f>
        <v>#REF!</v>
      </c>
      <c r="GK102" t="e">
        <f>AND(#REF!,"AAAAADt368A=")</f>
        <v>#REF!</v>
      </c>
      <c r="GL102" t="e">
        <f>AND(#REF!,"AAAAADt368E=")</f>
        <v>#REF!</v>
      </c>
      <c r="GM102" t="e">
        <f>AND(#REF!,"AAAAADt368I=")</f>
        <v>#REF!</v>
      </c>
      <c r="GN102" t="e">
        <f>AND(#REF!,"AAAAADt368M=")</f>
        <v>#REF!</v>
      </c>
      <c r="GO102" t="e">
        <f>AND(#REF!,"AAAAADt368Q=")</f>
        <v>#REF!</v>
      </c>
      <c r="GP102" t="e">
        <f>AND(#REF!,"AAAAADt368U=")</f>
        <v>#REF!</v>
      </c>
      <c r="GQ102" t="e">
        <f>AND(#REF!,"AAAAADt368Y=")</f>
        <v>#REF!</v>
      </c>
      <c r="GR102" t="e">
        <f>AND(#REF!,"AAAAADt368c=")</f>
        <v>#REF!</v>
      </c>
      <c r="GS102" t="e">
        <f>AND(#REF!,"AAAAADt368g=")</f>
        <v>#REF!</v>
      </c>
      <c r="GT102" t="e">
        <f>AND(#REF!,"AAAAADt368k=")</f>
        <v>#REF!</v>
      </c>
      <c r="GU102" t="e">
        <f>AND(#REF!,"AAAAADt368o=")</f>
        <v>#REF!</v>
      </c>
      <c r="GV102" t="e">
        <f>AND(#REF!,"AAAAADt368s=")</f>
        <v>#REF!</v>
      </c>
      <c r="GW102" t="e">
        <f>AND(#REF!,"AAAAADt368w=")</f>
        <v>#REF!</v>
      </c>
      <c r="GX102" t="e">
        <f>AND(#REF!,"AAAAADt3680=")</f>
        <v>#REF!</v>
      </c>
      <c r="GY102" t="e">
        <f>AND(#REF!,"AAAAADt3684=")</f>
        <v>#REF!</v>
      </c>
      <c r="GZ102" t="e">
        <f>AND(#REF!,"AAAAADt3688=")</f>
        <v>#REF!</v>
      </c>
      <c r="HA102" t="e">
        <f>AND(#REF!,"AAAAADt369A=")</f>
        <v>#REF!</v>
      </c>
      <c r="HB102" t="e">
        <f>AND(#REF!,"AAAAADt369E=")</f>
        <v>#REF!</v>
      </c>
      <c r="HC102" t="e">
        <f>AND(#REF!,"AAAAADt369I=")</f>
        <v>#REF!</v>
      </c>
      <c r="HD102" t="e">
        <f>AND(#REF!,"AAAAADt369M=")</f>
        <v>#REF!</v>
      </c>
      <c r="HE102" t="e">
        <f>AND(#REF!,"AAAAADt369Q=")</f>
        <v>#REF!</v>
      </c>
      <c r="HF102" t="e">
        <f>AND(#REF!,"AAAAADt369U=")</f>
        <v>#REF!</v>
      </c>
      <c r="HG102" t="e">
        <f>AND(#REF!,"AAAAADt369Y=")</f>
        <v>#REF!</v>
      </c>
      <c r="HH102" t="e">
        <f>AND(#REF!,"AAAAADt369c=")</f>
        <v>#REF!</v>
      </c>
      <c r="HI102" t="e">
        <f>AND(#REF!,"AAAAADt369g=")</f>
        <v>#REF!</v>
      </c>
      <c r="HJ102" t="e">
        <f>AND(#REF!,"AAAAADt369k=")</f>
        <v>#REF!</v>
      </c>
      <c r="HK102" t="e">
        <f>AND(#REF!,"AAAAADt369o=")</f>
        <v>#REF!</v>
      </c>
      <c r="HL102" t="e">
        <f>AND(#REF!,"AAAAADt369s=")</f>
        <v>#REF!</v>
      </c>
      <c r="HM102" t="e">
        <f>AND(#REF!,"AAAAADt369w=")</f>
        <v>#REF!</v>
      </c>
      <c r="HN102" t="e">
        <f>AND(#REF!,"AAAAADt3690=")</f>
        <v>#REF!</v>
      </c>
      <c r="HO102" t="e">
        <f>AND(#REF!,"AAAAADt3694=")</f>
        <v>#REF!</v>
      </c>
      <c r="HP102" t="e">
        <f>AND(#REF!,"AAAAADt3698=")</f>
        <v>#REF!</v>
      </c>
      <c r="HQ102" t="e">
        <f>AND(#REF!,"AAAAADt36+A=")</f>
        <v>#REF!</v>
      </c>
      <c r="HR102" t="e">
        <f>AND(#REF!,"AAAAADt36+E=")</f>
        <v>#REF!</v>
      </c>
      <c r="HS102" t="e">
        <f>AND(#REF!,"AAAAADt36+I=")</f>
        <v>#REF!</v>
      </c>
      <c r="HT102" t="e">
        <f>AND(#REF!,"AAAAADt36+M=")</f>
        <v>#REF!</v>
      </c>
      <c r="HU102" t="e">
        <f>AND(#REF!,"AAAAADt36+Q=")</f>
        <v>#REF!</v>
      </c>
      <c r="HV102" t="e">
        <f>AND(#REF!,"AAAAADt36+U=")</f>
        <v>#REF!</v>
      </c>
      <c r="HW102" t="e">
        <f>AND(#REF!,"AAAAADt36+Y=")</f>
        <v>#REF!</v>
      </c>
      <c r="HX102" t="e">
        <f>AND(#REF!,"AAAAADt36+c=")</f>
        <v>#REF!</v>
      </c>
      <c r="HY102" t="e">
        <f>AND(#REF!,"AAAAADt36+g=")</f>
        <v>#REF!</v>
      </c>
      <c r="HZ102" t="e">
        <f>AND(#REF!,"AAAAADt36+k=")</f>
        <v>#REF!</v>
      </c>
      <c r="IA102" t="e">
        <f>AND(#REF!,"AAAAADt36+o=")</f>
        <v>#REF!</v>
      </c>
      <c r="IB102" t="e">
        <f>AND(#REF!,"AAAAADt36+s=")</f>
        <v>#REF!</v>
      </c>
      <c r="IC102" t="e">
        <f>AND(#REF!,"AAAAADt36+w=")</f>
        <v>#REF!</v>
      </c>
      <c r="ID102" t="e">
        <f>AND(#REF!,"AAAAADt36+0=")</f>
        <v>#REF!</v>
      </c>
      <c r="IE102" t="e">
        <f>AND(#REF!,"AAAAADt36+4=")</f>
        <v>#REF!</v>
      </c>
      <c r="IF102" t="e">
        <f>AND(#REF!,"AAAAADt36+8=")</f>
        <v>#REF!</v>
      </c>
      <c r="IG102" t="e">
        <f>AND(#REF!,"AAAAADt36/A=")</f>
        <v>#REF!</v>
      </c>
      <c r="IH102" t="e">
        <f>AND(#REF!,"AAAAADt36/E=")</f>
        <v>#REF!</v>
      </c>
      <c r="II102" t="e">
        <f>AND(#REF!,"AAAAADt36/I=")</f>
        <v>#REF!</v>
      </c>
      <c r="IJ102" t="e">
        <f>AND(#REF!,"AAAAADt36/M=")</f>
        <v>#REF!</v>
      </c>
      <c r="IK102" t="e">
        <f>AND(#REF!,"AAAAADt36/Q=")</f>
        <v>#REF!</v>
      </c>
      <c r="IL102" t="e">
        <f>AND(#REF!,"AAAAADt36/U=")</f>
        <v>#REF!</v>
      </c>
      <c r="IM102" t="e">
        <f>AND(#REF!,"AAAAADt36/Y=")</f>
        <v>#REF!</v>
      </c>
      <c r="IN102" t="e">
        <f>AND(#REF!,"AAAAADt36/c=")</f>
        <v>#REF!</v>
      </c>
      <c r="IO102" t="e">
        <f>AND(#REF!,"AAAAADt36/g=")</f>
        <v>#REF!</v>
      </c>
      <c r="IP102" t="e">
        <f>AND(#REF!,"AAAAADt36/k=")</f>
        <v>#REF!</v>
      </c>
      <c r="IQ102" t="e">
        <f>AND(#REF!,"AAAAADt36/o=")</f>
        <v>#REF!</v>
      </c>
      <c r="IR102" t="e">
        <f>AND(#REF!,"AAAAADt36/s=")</f>
        <v>#REF!</v>
      </c>
      <c r="IS102" t="e">
        <f>AND(#REF!,"AAAAADt36/w=")</f>
        <v>#REF!</v>
      </c>
      <c r="IT102" t="e">
        <f>AND(#REF!,"AAAAADt36/0=")</f>
        <v>#REF!</v>
      </c>
      <c r="IU102" t="e">
        <f>AND(#REF!,"AAAAADt36/4=")</f>
        <v>#REF!</v>
      </c>
      <c r="IV102" t="e">
        <f>AND(#REF!,"AAAAADt36/8=")</f>
        <v>#REF!</v>
      </c>
    </row>
    <row r="103" spans="1:256">
      <c r="A103" t="e">
        <f>AND(#REF!,"AAAAAH/e9QA=")</f>
        <v>#REF!</v>
      </c>
      <c r="B103" t="e">
        <f>AND(#REF!,"AAAAAH/e9QE=")</f>
        <v>#REF!</v>
      </c>
      <c r="C103" t="e">
        <f>AND(#REF!,"AAAAAH/e9QI=")</f>
        <v>#REF!</v>
      </c>
      <c r="D103" t="e">
        <f>AND(#REF!,"AAAAAH/e9QM=")</f>
        <v>#REF!</v>
      </c>
      <c r="E103" t="e">
        <f>AND(#REF!,"AAAAAH/e9QQ=")</f>
        <v>#REF!</v>
      </c>
      <c r="F103" t="e">
        <f>AND(#REF!,"AAAAAH/e9QU=")</f>
        <v>#REF!</v>
      </c>
      <c r="G103" t="e">
        <f>AND(#REF!,"AAAAAH/e9QY=")</f>
        <v>#REF!</v>
      </c>
      <c r="H103" t="e">
        <f>AND(#REF!,"AAAAAH/e9Qc=")</f>
        <v>#REF!</v>
      </c>
      <c r="I103" t="e">
        <f>AND(#REF!,"AAAAAH/e9Qg=")</f>
        <v>#REF!</v>
      </c>
      <c r="J103" t="e">
        <f>AND(#REF!,"AAAAAH/e9Qk=")</f>
        <v>#REF!</v>
      </c>
      <c r="K103" t="e">
        <f>AND(#REF!,"AAAAAH/e9Qo=")</f>
        <v>#REF!</v>
      </c>
      <c r="L103" t="e">
        <f>AND(#REF!,"AAAAAH/e9Qs=")</f>
        <v>#REF!</v>
      </c>
      <c r="M103" t="e">
        <f>AND(#REF!,"AAAAAH/e9Qw=")</f>
        <v>#REF!</v>
      </c>
      <c r="N103" t="e">
        <f>AND(#REF!,"AAAAAH/e9Q0=")</f>
        <v>#REF!</v>
      </c>
      <c r="O103" t="e">
        <f>AND(#REF!,"AAAAAH/e9Q4=")</f>
        <v>#REF!</v>
      </c>
      <c r="P103" t="e">
        <f>AND(#REF!,"AAAAAH/e9Q8=")</f>
        <v>#REF!</v>
      </c>
      <c r="Q103" t="e">
        <f>AND(#REF!,"AAAAAH/e9RA=")</f>
        <v>#REF!</v>
      </c>
      <c r="R103" t="e">
        <f>AND(#REF!,"AAAAAH/e9RE=")</f>
        <v>#REF!</v>
      </c>
      <c r="S103" t="e">
        <f>AND(#REF!,"AAAAAH/e9RI=")</f>
        <v>#REF!</v>
      </c>
      <c r="T103" t="e">
        <f>AND(#REF!,"AAAAAH/e9RM=")</f>
        <v>#REF!</v>
      </c>
      <c r="U103" t="e">
        <f>AND(#REF!,"AAAAAH/e9RQ=")</f>
        <v>#REF!</v>
      </c>
      <c r="V103" t="e">
        <f>AND(#REF!,"AAAAAH/e9RU=")</f>
        <v>#REF!</v>
      </c>
      <c r="W103" t="e">
        <f>AND(#REF!,"AAAAAH/e9RY=")</f>
        <v>#REF!</v>
      </c>
      <c r="X103" t="e">
        <f>AND(#REF!,"AAAAAH/e9Rc=")</f>
        <v>#REF!</v>
      </c>
      <c r="Y103" t="e">
        <f>AND(#REF!,"AAAAAH/e9Rg=")</f>
        <v>#REF!</v>
      </c>
      <c r="Z103" t="e">
        <f>AND(#REF!,"AAAAAH/e9Rk=")</f>
        <v>#REF!</v>
      </c>
      <c r="AA103" t="e">
        <f>AND(#REF!,"AAAAAH/e9Ro=")</f>
        <v>#REF!</v>
      </c>
      <c r="AB103" t="e">
        <f>AND(#REF!,"AAAAAH/e9Rs=")</f>
        <v>#REF!</v>
      </c>
      <c r="AC103" t="e">
        <f>AND(#REF!,"AAAAAH/e9Rw=")</f>
        <v>#REF!</v>
      </c>
      <c r="AD103" t="e">
        <f>AND(#REF!,"AAAAAH/e9R0=")</f>
        <v>#REF!</v>
      </c>
      <c r="AE103" t="e">
        <f>AND(#REF!,"AAAAAH/e9R4=")</f>
        <v>#REF!</v>
      </c>
      <c r="AF103" t="e">
        <f>AND(#REF!,"AAAAAH/e9R8=")</f>
        <v>#REF!</v>
      </c>
      <c r="AG103" t="e">
        <f>AND(#REF!,"AAAAAH/e9SA=")</f>
        <v>#REF!</v>
      </c>
      <c r="AH103" t="e">
        <f>AND(#REF!,"AAAAAH/e9SE=")</f>
        <v>#REF!</v>
      </c>
      <c r="AI103" t="e">
        <f>AND(#REF!,"AAAAAH/e9SI=")</f>
        <v>#REF!</v>
      </c>
      <c r="AJ103" t="e">
        <f>AND(#REF!,"AAAAAH/e9SM=")</f>
        <v>#REF!</v>
      </c>
      <c r="AK103" t="e">
        <f>AND(#REF!,"AAAAAH/e9SQ=")</f>
        <v>#REF!</v>
      </c>
      <c r="AL103" t="e">
        <f>AND(#REF!,"AAAAAH/e9SU=")</f>
        <v>#REF!</v>
      </c>
      <c r="AM103" t="e">
        <f>AND(#REF!,"AAAAAH/e9SY=")</f>
        <v>#REF!</v>
      </c>
      <c r="AN103" t="e">
        <f>AND(#REF!,"AAAAAH/e9Sc=")</f>
        <v>#REF!</v>
      </c>
      <c r="AO103" t="e">
        <f>AND(#REF!,"AAAAAH/e9Sg=")</f>
        <v>#REF!</v>
      </c>
      <c r="AP103" t="e">
        <f>AND(#REF!,"AAAAAH/e9Sk=")</f>
        <v>#REF!</v>
      </c>
      <c r="AQ103" t="e">
        <f>AND(#REF!,"AAAAAH/e9So=")</f>
        <v>#REF!</v>
      </c>
      <c r="AR103" t="e">
        <f>AND(#REF!,"AAAAAH/e9Ss=")</f>
        <v>#REF!</v>
      </c>
      <c r="AS103" t="e">
        <f>AND(#REF!,"AAAAAH/e9Sw=")</f>
        <v>#REF!</v>
      </c>
      <c r="AT103" t="e">
        <f>AND(#REF!,"AAAAAH/e9S0=")</f>
        <v>#REF!</v>
      </c>
      <c r="AU103" t="e">
        <f>AND(#REF!,"AAAAAH/e9S4=")</f>
        <v>#REF!</v>
      </c>
      <c r="AV103" t="e">
        <f>AND(#REF!,"AAAAAH/e9S8=")</f>
        <v>#REF!</v>
      </c>
      <c r="AW103" t="e">
        <f>AND(#REF!,"AAAAAH/e9TA=")</f>
        <v>#REF!</v>
      </c>
      <c r="AX103" t="e">
        <f>AND(#REF!,"AAAAAH/e9TE=")</f>
        <v>#REF!</v>
      </c>
      <c r="AY103" t="e">
        <f>AND(#REF!,"AAAAAH/e9TI=")</f>
        <v>#REF!</v>
      </c>
      <c r="AZ103" t="e">
        <f>AND(#REF!,"AAAAAH/e9TM=")</f>
        <v>#REF!</v>
      </c>
      <c r="BA103" t="e">
        <f>AND(#REF!,"AAAAAH/e9TQ=")</f>
        <v>#REF!</v>
      </c>
      <c r="BB103" t="e">
        <f>AND(#REF!,"AAAAAH/e9TU=")</f>
        <v>#REF!</v>
      </c>
      <c r="BC103" t="e">
        <f>AND(#REF!,"AAAAAH/e9TY=")</f>
        <v>#REF!</v>
      </c>
      <c r="BD103" t="e">
        <f>AND(#REF!,"AAAAAH/e9Tc=")</f>
        <v>#REF!</v>
      </c>
      <c r="BE103" t="e">
        <f>AND(#REF!,"AAAAAH/e9Tg=")</f>
        <v>#REF!</v>
      </c>
      <c r="BF103" t="e">
        <f>AND(#REF!,"AAAAAH/e9Tk=")</f>
        <v>#REF!</v>
      </c>
      <c r="BG103" t="e">
        <f>AND(#REF!,"AAAAAH/e9To=")</f>
        <v>#REF!</v>
      </c>
      <c r="BH103" t="e">
        <f>AND(#REF!,"AAAAAH/e9Ts=")</f>
        <v>#REF!</v>
      </c>
      <c r="BI103" t="e">
        <f>AND(#REF!,"AAAAAH/e9Tw=")</f>
        <v>#REF!</v>
      </c>
      <c r="BJ103" t="e">
        <f>AND(#REF!,"AAAAAH/e9T0=")</f>
        <v>#REF!</v>
      </c>
      <c r="BK103" t="e">
        <f>AND(#REF!,"AAAAAH/e9T4=")</f>
        <v>#REF!</v>
      </c>
      <c r="BL103" t="e">
        <f>AND(#REF!,"AAAAAH/e9T8=")</f>
        <v>#REF!</v>
      </c>
      <c r="BM103" t="e">
        <f>AND(#REF!,"AAAAAH/e9UA=")</f>
        <v>#REF!</v>
      </c>
      <c r="BN103" t="e">
        <f>AND(#REF!,"AAAAAH/e9UE=")</f>
        <v>#REF!</v>
      </c>
      <c r="BO103" t="e">
        <f>AND(#REF!,"AAAAAH/e9UI=")</f>
        <v>#REF!</v>
      </c>
      <c r="BP103" t="e">
        <f>AND(#REF!,"AAAAAH/e9UM=")</f>
        <v>#REF!</v>
      </c>
      <c r="BQ103" t="e">
        <f>AND(#REF!,"AAAAAH/e9UQ=")</f>
        <v>#REF!</v>
      </c>
      <c r="BR103" t="e">
        <f>AND(#REF!,"AAAAAH/e9UU=")</f>
        <v>#REF!</v>
      </c>
      <c r="BS103" t="e">
        <f>AND(#REF!,"AAAAAH/e9UY=")</f>
        <v>#REF!</v>
      </c>
      <c r="BT103" t="e">
        <f>AND(#REF!,"AAAAAH/e9Uc=")</f>
        <v>#REF!</v>
      </c>
      <c r="BU103" t="e">
        <f>AND(#REF!,"AAAAAH/e9Ug=")</f>
        <v>#REF!</v>
      </c>
      <c r="BV103" t="e">
        <f>AND(#REF!,"AAAAAH/e9Uk=")</f>
        <v>#REF!</v>
      </c>
      <c r="BW103" t="e">
        <f>AND(#REF!,"AAAAAH/e9Uo=")</f>
        <v>#REF!</v>
      </c>
      <c r="BX103" t="e">
        <f>AND(#REF!,"AAAAAH/e9Us=")</f>
        <v>#REF!</v>
      </c>
      <c r="BY103" t="e">
        <f>AND(#REF!,"AAAAAH/e9Uw=")</f>
        <v>#REF!</v>
      </c>
      <c r="BZ103" t="e">
        <f>AND(#REF!,"AAAAAH/e9U0=")</f>
        <v>#REF!</v>
      </c>
      <c r="CA103" t="e">
        <f>AND(#REF!,"AAAAAH/e9U4=")</f>
        <v>#REF!</v>
      </c>
      <c r="CB103" t="e">
        <f>AND(#REF!,"AAAAAH/e9U8=")</f>
        <v>#REF!</v>
      </c>
      <c r="CC103" t="e">
        <f>AND(#REF!,"AAAAAH/e9VA=")</f>
        <v>#REF!</v>
      </c>
      <c r="CD103" t="e">
        <f>AND(#REF!,"AAAAAH/e9VE=")</f>
        <v>#REF!</v>
      </c>
      <c r="CE103" t="e">
        <f>AND(#REF!,"AAAAAH/e9VI=")</f>
        <v>#REF!</v>
      </c>
      <c r="CF103" t="e">
        <f>AND(#REF!,"AAAAAH/e9VM=")</f>
        <v>#REF!</v>
      </c>
      <c r="CG103" t="e">
        <f>AND(#REF!,"AAAAAH/e9VQ=")</f>
        <v>#REF!</v>
      </c>
      <c r="CH103" t="e">
        <f>AND(#REF!,"AAAAAH/e9VU=")</f>
        <v>#REF!</v>
      </c>
      <c r="CI103" t="e">
        <f>AND(#REF!,"AAAAAH/e9VY=")</f>
        <v>#REF!</v>
      </c>
      <c r="CJ103" t="e">
        <f>AND(#REF!,"AAAAAH/e9Vc=")</f>
        <v>#REF!</v>
      </c>
      <c r="CK103" t="e">
        <f>AND(#REF!,"AAAAAH/e9Vg=")</f>
        <v>#REF!</v>
      </c>
      <c r="CL103" t="e">
        <f>AND(#REF!,"AAAAAH/e9Vk=")</f>
        <v>#REF!</v>
      </c>
      <c r="CM103" t="e">
        <f>AND(#REF!,"AAAAAH/e9Vo=")</f>
        <v>#REF!</v>
      </c>
      <c r="CN103" t="e">
        <f>AND(#REF!,"AAAAAH/e9Vs=")</f>
        <v>#REF!</v>
      </c>
      <c r="CO103" t="e">
        <f>AND(#REF!,"AAAAAH/e9Vw=")</f>
        <v>#REF!</v>
      </c>
      <c r="CP103" t="e">
        <f>AND(#REF!,"AAAAAH/e9V0=")</f>
        <v>#REF!</v>
      </c>
      <c r="CQ103" t="e">
        <f>AND(#REF!,"AAAAAH/e9V4=")</f>
        <v>#REF!</v>
      </c>
      <c r="CR103" t="e">
        <f>AND(#REF!,"AAAAAH/e9V8=")</f>
        <v>#REF!</v>
      </c>
      <c r="CS103" t="e">
        <f>AND(#REF!,"AAAAAH/e9WA=")</f>
        <v>#REF!</v>
      </c>
      <c r="CT103" t="e">
        <f>AND(#REF!,"AAAAAH/e9WE=")</f>
        <v>#REF!</v>
      </c>
      <c r="CU103" t="e">
        <f>AND(#REF!,"AAAAAH/e9WI=")</f>
        <v>#REF!</v>
      </c>
      <c r="CV103" t="e">
        <f>AND(#REF!,"AAAAAH/e9WM=")</f>
        <v>#REF!</v>
      </c>
      <c r="CW103" t="e">
        <f>AND(#REF!,"AAAAAH/e9WQ=")</f>
        <v>#REF!</v>
      </c>
      <c r="CX103" t="e">
        <f>AND(#REF!,"AAAAAH/e9WU=")</f>
        <v>#REF!</v>
      </c>
      <c r="CY103" t="e">
        <f>AND(#REF!,"AAAAAH/e9WY=")</f>
        <v>#REF!</v>
      </c>
      <c r="CZ103" t="e">
        <f>AND(#REF!,"AAAAAH/e9Wc=")</f>
        <v>#REF!</v>
      </c>
      <c r="DA103" t="e">
        <f>AND(#REF!,"AAAAAH/e9Wg=")</f>
        <v>#REF!</v>
      </c>
      <c r="DB103" t="e">
        <f>AND(#REF!,"AAAAAH/e9Wk=")</f>
        <v>#REF!</v>
      </c>
      <c r="DC103" t="e">
        <f>AND(#REF!,"AAAAAH/e9Wo=")</f>
        <v>#REF!</v>
      </c>
      <c r="DD103" t="e">
        <f>AND(#REF!,"AAAAAH/e9Ws=")</f>
        <v>#REF!</v>
      </c>
      <c r="DE103" t="e">
        <f>AND(#REF!,"AAAAAH/e9Ww=")</f>
        <v>#REF!</v>
      </c>
      <c r="DF103" t="e">
        <f>AND(#REF!,"AAAAAH/e9W0=")</f>
        <v>#REF!</v>
      </c>
      <c r="DG103" t="e">
        <f>AND(#REF!,"AAAAAH/e9W4=")</f>
        <v>#REF!</v>
      </c>
      <c r="DH103" t="e">
        <f>AND(#REF!,"AAAAAH/e9W8=")</f>
        <v>#REF!</v>
      </c>
      <c r="DI103" t="e">
        <f>AND(#REF!,"AAAAAH/e9XA=")</f>
        <v>#REF!</v>
      </c>
      <c r="DJ103" t="e">
        <f>AND(#REF!,"AAAAAH/e9XE=")</f>
        <v>#REF!</v>
      </c>
      <c r="DK103" t="e">
        <f>AND(#REF!,"AAAAAH/e9XI=")</f>
        <v>#REF!</v>
      </c>
      <c r="DL103" t="e">
        <f>AND(#REF!,"AAAAAH/e9XM=")</f>
        <v>#REF!</v>
      </c>
      <c r="DM103" t="e">
        <f>AND(#REF!,"AAAAAH/e9XQ=")</f>
        <v>#REF!</v>
      </c>
      <c r="DN103" t="e">
        <f>AND(#REF!,"AAAAAH/e9XU=")</f>
        <v>#REF!</v>
      </c>
      <c r="DO103" t="e">
        <f>AND(#REF!,"AAAAAH/e9XY=")</f>
        <v>#REF!</v>
      </c>
      <c r="DP103" t="e">
        <f>AND(#REF!,"AAAAAH/e9Xc=")</f>
        <v>#REF!</v>
      </c>
      <c r="DQ103" t="e">
        <f>AND(#REF!,"AAAAAH/e9Xg=")</f>
        <v>#REF!</v>
      </c>
      <c r="DR103" t="e">
        <f>AND(#REF!,"AAAAAH/e9Xk=")</f>
        <v>#REF!</v>
      </c>
      <c r="DS103" t="e">
        <f>AND(#REF!,"AAAAAH/e9Xo=")</f>
        <v>#REF!</v>
      </c>
      <c r="DT103" t="e">
        <f>AND(#REF!,"AAAAAH/e9Xs=")</f>
        <v>#REF!</v>
      </c>
      <c r="DU103" t="e">
        <f>AND(#REF!,"AAAAAH/e9Xw=")</f>
        <v>#REF!</v>
      </c>
      <c r="DV103" t="e">
        <f>AND(#REF!,"AAAAAH/e9X0=")</f>
        <v>#REF!</v>
      </c>
      <c r="DW103" t="e">
        <f>AND(#REF!,"AAAAAH/e9X4=")</f>
        <v>#REF!</v>
      </c>
      <c r="DX103" t="e">
        <f>AND(#REF!,"AAAAAH/e9X8=")</f>
        <v>#REF!</v>
      </c>
      <c r="DY103" t="e">
        <f>AND(#REF!,"AAAAAH/e9YA=")</f>
        <v>#REF!</v>
      </c>
      <c r="DZ103" t="e">
        <f>AND(#REF!,"AAAAAH/e9YE=")</f>
        <v>#REF!</v>
      </c>
      <c r="EA103" t="e">
        <f>AND(#REF!,"AAAAAH/e9YI=")</f>
        <v>#REF!</v>
      </c>
      <c r="EB103" t="e">
        <f>AND(#REF!,"AAAAAH/e9YM=")</f>
        <v>#REF!</v>
      </c>
      <c r="EC103" t="e">
        <f>AND(#REF!,"AAAAAH/e9YQ=")</f>
        <v>#REF!</v>
      </c>
      <c r="ED103" t="e">
        <f>AND(#REF!,"AAAAAH/e9YU=")</f>
        <v>#REF!</v>
      </c>
      <c r="EE103" t="e">
        <f>AND(#REF!,"AAAAAH/e9YY=")</f>
        <v>#REF!</v>
      </c>
      <c r="EF103" t="e">
        <f>AND(#REF!,"AAAAAH/e9Yc=")</f>
        <v>#REF!</v>
      </c>
      <c r="EG103" t="e">
        <f>AND(#REF!,"AAAAAH/e9Yg=")</f>
        <v>#REF!</v>
      </c>
      <c r="EH103" t="e">
        <f>AND(#REF!,"AAAAAH/e9Yk=")</f>
        <v>#REF!</v>
      </c>
      <c r="EI103" t="e">
        <f>AND(#REF!,"AAAAAH/e9Yo=")</f>
        <v>#REF!</v>
      </c>
      <c r="EJ103" t="e">
        <f>AND(#REF!,"AAAAAH/e9Ys=")</f>
        <v>#REF!</v>
      </c>
      <c r="EK103" t="e">
        <f>AND(#REF!,"AAAAAH/e9Yw=")</f>
        <v>#REF!</v>
      </c>
      <c r="EL103" t="e">
        <f>AND(#REF!,"AAAAAH/e9Y0=")</f>
        <v>#REF!</v>
      </c>
      <c r="EM103" t="e">
        <f>AND(#REF!,"AAAAAH/e9Y4=")</f>
        <v>#REF!</v>
      </c>
      <c r="EN103" t="e">
        <f>AND(#REF!,"AAAAAH/e9Y8=")</f>
        <v>#REF!</v>
      </c>
      <c r="EO103" t="e">
        <f>AND(#REF!,"AAAAAH/e9ZA=")</f>
        <v>#REF!</v>
      </c>
      <c r="EP103" t="e">
        <f>AND(#REF!,"AAAAAH/e9ZE=")</f>
        <v>#REF!</v>
      </c>
      <c r="EQ103" t="e">
        <f>AND(#REF!,"AAAAAH/e9ZI=")</f>
        <v>#REF!</v>
      </c>
      <c r="ER103" t="e">
        <f>AND(#REF!,"AAAAAH/e9ZM=")</f>
        <v>#REF!</v>
      </c>
      <c r="ES103" t="e">
        <f>AND(#REF!,"AAAAAH/e9ZQ=")</f>
        <v>#REF!</v>
      </c>
      <c r="ET103" t="e">
        <f>AND(#REF!,"AAAAAH/e9ZU=")</f>
        <v>#REF!</v>
      </c>
      <c r="EU103" t="e">
        <f>AND(#REF!,"AAAAAH/e9ZY=")</f>
        <v>#REF!</v>
      </c>
      <c r="EV103" t="e">
        <f>AND(#REF!,"AAAAAH/e9Zc=")</f>
        <v>#REF!</v>
      </c>
      <c r="EW103" t="e">
        <f>AND(#REF!,"AAAAAH/e9Zg=")</f>
        <v>#REF!</v>
      </c>
      <c r="EX103" t="e">
        <f>AND(#REF!,"AAAAAH/e9Zk=")</f>
        <v>#REF!</v>
      </c>
      <c r="EY103" t="e">
        <f>AND(#REF!,"AAAAAH/e9Zo=")</f>
        <v>#REF!</v>
      </c>
      <c r="EZ103" t="e">
        <f>AND(#REF!,"AAAAAH/e9Zs=")</f>
        <v>#REF!</v>
      </c>
      <c r="FA103" t="e">
        <f>AND(#REF!,"AAAAAH/e9Zw=")</f>
        <v>#REF!</v>
      </c>
      <c r="FB103" t="e">
        <f>AND(#REF!,"AAAAAH/e9Z0=")</f>
        <v>#REF!</v>
      </c>
      <c r="FC103" t="e">
        <f>AND(#REF!,"AAAAAH/e9Z4=")</f>
        <v>#REF!</v>
      </c>
      <c r="FD103" t="e">
        <f>AND(#REF!,"AAAAAH/e9Z8=")</f>
        <v>#REF!</v>
      </c>
      <c r="FE103" t="e">
        <f>AND(#REF!,"AAAAAH/e9aA=")</f>
        <v>#REF!</v>
      </c>
      <c r="FF103" t="e">
        <f>AND(#REF!,"AAAAAH/e9aE=")</f>
        <v>#REF!</v>
      </c>
      <c r="FG103" t="e">
        <f>AND(#REF!,"AAAAAH/e9aI=")</f>
        <v>#REF!</v>
      </c>
      <c r="FH103" t="e">
        <f>AND(#REF!,"AAAAAH/e9aM=")</f>
        <v>#REF!</v>
      </c>
      <c r="FI103" t="e">
        <f>AND(#REF!,"AAAAAH/e9aQ=")</f>
        <v>#REF!</v>
      </c>
      <c r="FJ103" t="e">
        <f>AND(#REF!,"AAAAAH/e9aU=")</f>
        <v>#REF!</v>
      </c>
      <c r="FK103" t="e">
        <f>AND(#REF!,"AAAAAH/e9aY=")</f>
        <v>#REF!</v>
      </c>
      <c r="FL103" t="e">
        <f>AND(#REF!,"AAAAAH/e9ac=")</f>
        <v>#REF!</v>
      </c>
      <c r="FM103" t="e">
        <f>AND(#REF!,"AAAAAH/e9ag=")</f>
        <v>#REF!</v>
      </c>
      <c r="FN103" t="e">
        <f>AND(#REF!,"AAAAAH/e9ak=")</f>
        <v>#REF!</v>
      </c>
      <c r="FO103" t="e">
        <f>AND(#REF!,"AAAAAH/e9ao=")</f>
        <v>#REF!</v>
      </c>
      <c r="FP103" t="e">
        <f>AND(#REF!,"AAAAAH/e9as=")</f>
        <v>#REF!</v>
      </c>
      <c r="FQ103" t="e">
        <f>AND(#REF!,"AAAAAH/e9aw=")</f>
        <v>#REF!</v>
      </c>
      <c r="FR103" t="e">
        <f>AND(#REF!,"AAAAAH/e9a0=")</f>
        <v>#REF!</v>
      </c>
      <c r="FS103" t="e">
        <f>AND(#REF!,"AAAAAH/e9a4=")</f>
        <v>#REF!</v>
      </c>
      <c r="FT103" t="e">
        <f>AND(#REF!,"AAAAAH/e9a8=")</f>
        <v>#REF!</v>
      </c>
      <c r="FU103" t="e">
        <f>AND(#REF!,"AAAAAH/e9bA=")</f>
        <v>#REF!</v>
      </c>
      <c r="FV103" t="e">
        <f>AND(#REF!,"AAAAAH/e9bE=")</f>
        <v>#REF!</v>
      </c>
      <c r="FW103" t="e">
        <f>AND(#REF!,"AAAAAH/e9bI=")</f>
        <v>#REF!</v>
      </c>
      <c r="FX103" t="e">
        <f>AND(#REF!,"AAAAAH/e9bM=")</f>
        <v>#REF!</v>
      </c>
      <c r="FY103" t="e">
        <f>AND(#REF!,"AAAAAH/e9bQ=")</f>
        <v>#REF!</v>
      </c>
      <c r="FZ103" t="e">
        <f>AND(#REF!,"AAAAAH/e9bU=")</f>
        <v>#REF!</v>
      </c>
      <c r="GA103" t="e">
        <f>AND(#REF!,"AAAAAH/e9bY=")</f>
        <v>#REF!</v>
      </c>
      <c r="GB103" t="e">
        <f>AND(#REF!,"AAAAAH/e9bc=")</f>
        <v>#REF!</v>
      </c>
      <c r="GC103" t="e">
        <f>AND(#REF!,"AAAAAH/e9bg=")</f>
        <v>#REF!</v>
      </c>
      <c r="GD103" t="e">
        <f>AND(#REF!,"AAAAAH/e9bk=")</f>
        <v>#REF!</v>
      </c>
      <c r="GE103" t="e">
        <f>AND(#REF!,"AAAAAH/e9bo=")</f>
        <v>#REF!</v>
      </c>
      <c r="GF103" t="e">
        <f>AND(#REF!,"AAAAAH/e9bs=")</f>
        <v>#REF!</v>
      </c>
      <c r="GG103" t="e">
        <f>AND(#REF!,"AAAAAH/e9bw=")</f>
        <v>#REF!</v>
      </c>
      <c r="GH103" t="e">
        <f>AND(#REF!,"AAAAAH/e9b0=")</f>
        <v>#REF!</v>
      </c>
      <c r="GI103" t="e">
        <f>AND(#REF!,"AAAAAH/e9b4=")</f>
        <v>#REF!</v>
      </c>
      <c r="GJ103" t="e">
        <f>AND(#REF!,"AAAAAH/e9b8=")</f>
        <v>#REF!</v>
      </c>
      <c r="GK103" t="e">
        <f>AND(#REF!,"AAAAAH/e9cA=")</f>
        <v>#REF!</v>
      </c>
      <c r="GL103" t="e">
        <f>AND(#REF!,"AAAAAH/e9cE=")</f>
        <v>#REF!</v>
      </c>
      <c r="GM103" t="e">
        <f>AND(#REF!,"AAAAAH/e9cI=")</f>
        <v>#REF!</v>
      </c>
      <c r="GN103" t="e">
        <f>AND(#REF!,"AAAAAH/e9cM=")</f>
        <v>#REF!</v>
      </c>
      <c r="GO103" t="e">
        <f>AND(#REF!,"AAAAAH/e9cQ=")</f>
        <v>#REF!</v>
      </c>
      <c r="GP103" t="e">
        <f>AND(#REF!,"AAAAAH/e9cU=")</f>
        <v>#REF!</v>
      </c>
      <c r="GQ103" t="e">
        <f>AND(#REF!,"AAAAAH/e9cY=")</f>
        <v>#REF!</v>
      </c>
      <c r="GR103" t="e">
        <f>AND(#REF!,"AAAAAH/e9cc=")</f>
        <v>#REF!</v>
      </c>
      <c r="GS103" t="e">
        <f>AND(#REF!,"AAAAAH/e9cg=")</f>
        <v>#REF!</v>
      </c>
      <c r="GT103" t="e">
        <f>AND(#REF!,"AAAAAH/e9ck=")</f>
        <v>#REF!</v>
      </c>
      <c r="GU103" t="e">
        <f>AND(#REF!,"AAAAAH/e9co=")</f>
        <v>#REF!</v>
      </c>
      <c r="GV103" t="e">
        <f>AND(#REF!,"AAAAAH/e9cs=")</f>
        <v>#REF!</v>
      </c>
      <c r="GW103" t="e">
        <f>AND(#REF!,"AAAAAH/e9cw=")</f>
        <v>#REF!</v>
      </c>
      <c r="GX103" t="e">
        <f>AND(#REF!,"AAAAAH/e9c0=")</f>
        <v>#REF!</v>
      </c>
      <c r="GY103" t="e">
        <f>AND(#REF!,"AAAAAH/e9c4=")</f>
        <v>#REF!</v>
      </c>
      <c r="GZ103" t="e">
        <f>AND(#REF!,"AAAAAH/e9c8=")</f>
        <v>#REF!</v>
      </c>
      <c r="HA103" t="e">
        <f>AND(#REF!,"AAAAAH/e9dA=")</f>
        <v>#REF!</v>
      </c>
      <c r="HB103" t="e">
        <f>AND(#REF!,"AAAAAH/e9dE=")</f>
        <v>#REF!</v>
      </c>
      <c r="HC103" t="e">
        <f>AND(#REF!,"AAAAAH/e9dI=")</f>
        <v>#REF!</v>
      </c>
      <c r="HD103" t="e">
        <f>AND(#REF!,"AAAAAH/e9dM=")</f>
        <v>#REF!</v>
      </c>
      <c r="HE103" t="e">
        <f>AND(#REF!,"AAAAAH/e9dQ=")</f>
        <v>#REF!</v>
      </c>
      <c r="HF103" t="e">
        <f>AND(#REF!,"AAAAAH/e9dU=")</f>
        <v>#REF!</v>
      </c>
      <c r="HG103" t="e">
        <f>AND(#REF!,"AAAAAH/e9dY=")</f>
        <v>#REF!</v>
      </c>
      <c r="HH103" t="e">
        <f>AND(#REF!,"AAAAAH/e9dc=")</f>
        <v>#REF!</v>
      </c>
      <c r="HI103" t="e">
        <f>AND(#REF!,"AAAAAH/e9dg=")</f>
        <v>#REF!</v>
      </c>
      <c r="HJ103" t="e">
        <f>AND(#REF!,"AAAAAH/e9dk=")</f>
        <v>#REF!</v>
      </c>
      <c r="HK103" t="e">
        <f>AND(#REF!,"AAAAAH/e9do=")</f>
        <v>#REF!</v>
      </c>
      <c r="HL103" t="e">
        <f>AND(#REF!,"AAAAAH/e9ds=")</f>
        <v>#REF!</v>
      </c>
      <c r="HM103" t="e">
        <f>AND(#REF!,"AAAAAH/e9dw=")</f>
        <v>#REF!</v>
      </c>
      <c r="HN103" t="e">
        <f>AND(#REF!,"AAAAAH/e9d0=")</f>
        <v>#REF!</v>
      </c>
      <c r="HO103" t="e">
        <f>AND(#REF!,"AAAAAH/e9d4=")</f>
        <v>#REF!</v>
      </c>
      <c r="HP103" t="e">
        <f>AND(#REF!,"AAAAAH/e9d8=")</f>
        <v>#REF!</v>
      </c>
      <c r="HQ103" t="e">
        <f>AND(#REF!,"AAAAAH/e9eA=")</f>
        <v>#REF!</v>
      </c>
      <c r="HR103" t="e">
        <f>AND(#REF!,"AAAAAH/e9eE=")</f>
        <v>#REF!</v>
      </c>
      <c r="HS103" t="e">
        <f>AND(#REF!,"AAAAAH/e9eI=")</f>
        <v>#REF!</v>
      </c>
      <c r="HT103" t="e">
        <f>AND(#REF!,"AAAAAH/e9eM=")</f>
        <v>#REF!</v>
      </c>
      <c r="HU103" t="e">
        <f>AND(#REF!,"AAAAAH/e9eQ=")</f>
        <v>#REF!</v>
      </c>
      <c r="HV103" t="e">
        <f>AND(#REF!,"AAAAAH/e9eU=")</f>
        <v>#REF!</v>
      </c>
      <c r="HW103" t="e">
        <f>AND(#REF!,"AAAAAH/e9eY=")</f>
        <v>#REF!</v>
      </c>
      <c r="HX103" t="e">
        <f>AND(#REF!,"AAAAAH/e9ec=")</f>
        <v>#REF!</v>
      </c>
      <c r="HY103" t="e">
        <f>AND(#REF!,"AAAAAH/e9eg=")</f>
        <v>#REF!</v>
      </c>
      <c r="HZ103" t="e">
        <f>AND(#REF!,"AAAAAH/e9ek=")</f>
        <v>#REF!</v>
      </c>
      <c r="IA103" t="e">
        <f>AND(#REF!,"AAAAAH/e9eo=")</f>
        <v>#REF!</v>
      </c>
      <c r="IB103" t="e">
        <f>AND(#REF!,"AAAAAH/e9es=")</f>
        <v>#REF!</v>
      </c>
      <c r="IC103" t="e">
        <f>AND(#REF!,"AAAAAH/e9ew=")</f>
        <v>#REF!</v>
      </c>
      <c r="ID103" t="e">
        <f>AND(#REF!,"AAAAAH/e9e0=")</f>
        <v>#REF!</v>
      </c>
      <c r="IE103" t="e">
        <f>AND(#REF!,"AAAAAH/e9e4=")</f>
        <v>#REF!</v>
      </c>
      <c r="IF103" t="e">
        <f>AND(#REF!,"AAAAAH/e9e8=")</f>
        <v>#REF!</v>
      </c>
      <c r="IG103" t="e">
        <f>AND(#REF!,"AAAAAH/e9fA=")</f>
        <v>#REF!</v>
      </c>
      <c r="IH103" t="e">
        <f>AND(#REF!,"AAAAAH/e9fE=")</f>
        <v>#REF!</v>
      </c>
      <c r="II103" t="e">
        <f>AND(#REF!,"AAAAAH/e9fI=")</f>
        <v>#REF!</v>
      </c>
      <c r="IJ103" t="e">
        <f>AND(#REF!,"AAAAAH/e9fM=")</f>
        <v>#REF!</v>
      </c>
      <c r="IK103" t="e">
        <f>AND(#REF!,"AAAAAH/e9fQ=")</f>
        <v>#REF!</v>
      </c>
      <c r="IL103" t="e">
        <f>AND(#REF!,"AAAAAH/e9fU=")</f>
        <v>#REF!</v>
      </c>
      <c r="IM103" t="e">
        <f>AND(#REF!,"AAAAAH/e9fY=")</f>
        <v>#REF!</v>
      </c>
      <c r="IN103" t="e">
        <f>AND(#REF!,"AAAAAH/e9fc=")</f>
        <v>#REF!</v>
      </c>
      <c r="IO103" t="e">
        <f>AND(#REF!,"AAAAAH/e9fg=")</f>
        <v>#REF!</v>
      </c>
      <c r="IP103" t="e">
        <f>AND(#REF!,"AAAAAH/e9fk=")</f>
        <v>#REF!</v>
      </c>
      <c r="IQ103" t="e">
        <f>AND(#REF!,"AAAAAH/e9fo=")</f>
        <v>#REF!</v>
      </c>
      <c r="IR103" t="e">
        <f>AND(#REF!,"AAAAAH/e9fs=")</f>
        <v>#REF!</v>
      </c>
      <c r="IS103" t="e">
        <f>AND(#REF!,"AAAAAH/e9fw=")</f>
        <v>#REF!</v>
      </c>
      <c r="IT103" t="e">
        <f>AND(#REF!,"AAAAAH/e9f0=")</f>
        <v>#REF!</v>
      </c>
      <c r="IU103" t="e">
        <f>AND(#REF!,"AAAAAH/e9f4=")</f>
        <v>#REF!</v>
      </c>
      <c r="IV103" t="e">
        <f>AND(#REF!,"AAAAAH/e9f8=")</f>
        <v>#REF!</v>
      </c>
    </row>
    <row r="104" spans="1:256">
      <c r="A104" t="e">
        <f>AND(#REF!,"AAAAAB3/3wA=")</f>
        <v>#REF!</v>
      </c>
      <c r="B104" t="e">
        <f>AND(#REF!,"AAAAAB3/3wE=")</f>
        <v>#REF!</v>
      </c>
      <c r="C104" t="e">
        <f>AND(#REF!,"AAAAAB3/3wI=")</f>
        <v>#REF!</v>
      </c>
      <c r="D104" t="e">
        <f>AND(#REF!,"AAAAAB3/3wM=")</f>
        <v>#REF!</v>
      </c>
      <c r="E104" t="e">
        <f>AND(#REF!,"AAAAAB3/3wQ=")</f>
        <v>#REF!</v>
      </c>
      <c r="F104" t="e">
        <f>AND(#REF!,"AAAAAB3/3wU=")</f>
        <v>#REF!</v>
      </c>
      <c r="G104" t="e">
        <f>AND(#REF!,"AAAAAB3/3wY=")</f>
        <v>#REF!</v>
      </c>
      <c r="H104" t="e">
        <f>AND(#REF!,"AAAAAB3/3wc=")</f>
        <v>#REF!</v>
      </c>
      <c r="I104" t="e">
        <f>AND(#REF!,"AAAAAB3/3wg=")</f>
        <v>#REF!</v>
      </c>
      <c r="J104" t="e">
        <f>AND(#REF!,"AAAAAB3/3wk=")</f>
        <v>#REF!</v>
      </c>
      <c r="K104" t="e">
        <f>AND(#REF!,"AAAAAB3/3wo=")</f>
        <v>#REF!</v>
      </c>
      <c r="L104" t="e">
        <f>AND(#REF!,"AAAAAB3/3ws=")</f>
        <v>#REF!</v>
      </c>
      <c r="M104" t="e">
        <f>AND(#REF!,"AAAAAB3/3ww=")</f>
        <v>#REF!</v>
      </c>
      <c r="N104" t="e">
        <f>AND(#REF!,"AAAAAB3/3w0=")</f>
        <v>#REF!</v>
      </c>
      <c r="O104" t="e">
        <f>AND(#REF!,"AAAAAB3/3w4=")</f>
        <v>#REF!</v>
      </c>
      <c r="P104" t="e">
        <f>AND(#REF!,"AAAAAB3/3w8=")</f>
        <v>#REF!</v>
      </c>
      <c r="Q104" t="e">
        <f>AND(#REF!,"AAAAAB3/3xA=")</f>
        <v>#REF!</v>
      </c>
      <c r="R104" t="e">
        <f>AND(#REF!,"AAAAAB3/3xE=")</f>
        <v>#REF!</v>
      </c>
      <c r="S104" t="e">
        <f>AND(#REF!,"AAAAAB3/3xI=")</f>
        <v>#REF!</v>
      </c>
      <c r="T104" t="e">
        <f>AND(#REF!,"AAAAAB3/3xM=")</f>
        <v>#REF!</v>
      </c>
      <c r="U104" t="e">
        <f>AND(#REF!,"AAAAAB3/3xQ=")</f>
        <v>#REF!</v>
      </c>
      <c r="V104" t="e">
        <f>AND(#REF!,"AAAAAB3/3xU=")</f>
        <v>#REF!</v>
      </c>
      <c r="W104" t="e">
        <f>AND(#REF!,"AAAAAB3/3xY=")</f>
        <v>#REF!</v>
      </c>
      <c r="X104" t="e">
        <f>AND(#REF!,"AAAAAB3/3xc=")</f>
        <v>#REF!</v>
      </c>
      <c r="Y104" t="e">
        <f>AND(#REF!,"AAAAAB3/3xg=")</f>
        <v>#REF!</v>
      </c>
      <c r="Z104" t="e">
        <f>AND(#REF!,"AAAAAB3/3xk=")</f>
        <v>#REF!</v>
      </c>
      <c r="AA104" t="e">
        <f>AND(#REF!,"AAAAAB3/3xo=")</f>
        <v>#REF!</v>
      </c>
      <c r="AB104" t="e">
        <f>AND(#REF!,"AAAAAB3/3xs=")</f>
        <v>#REF!</v>
      </c>
      <c r="AC104" t="e">
        <f>AND(#REF!,"AAAAAB3/3xw=")</f>
        <v>#REF!</v>
      </c>
      <c r="AD104" t="e">
        <f>AND(#REF!,"AAAAAB3/3x0=")</f>
        <v>#REF!</v>
      </c>
      <c r="AE104" t="e">
        <f>AND(#REF!,"AAAAAB3/3x4=")</f>
        <v>#REF!</v>
      </c>
      <c r="AF104" t="e">
        <f>AND(#REF!,"AAAAAB3/3x8=")</f>
        <v>#REF!</v>
      </c>
      <c r="AG104" t="e">
        <f>AND(#REF!,"AAAAAB3/3yA=")</f>
        <v>#REF!</v>
      </c>
      <c r="AH104" t="e">
        <f>AND(#REF!,"AAAAAB3/3yE=")</f>
        <v>#REF!</v>
      </c>
      <c r="AI104" t="e">
        <f>AND(#REF!,"AAAAAB3/3yI=")</f>
        <v>#REF!</v>
      </c>
      <c r="AJ104" t="e">
        <f>AND(#REF!,"AAAAAB3/3yM=")</f>
        <v>#REF!</v>
      </c>
      <c r="AK104" t="e">
        <f>AND(#REF!,"AAAAAB3/3yQ=")</f>
        <v>#REF!</v>
      </c>
      <c r="AL104" t="e">
        <f>AND(#REF!,"AAAAAB3/3yU=")</f>
        <v>#REF!</v>
      </c>
      <c r="AM104" t="e">
        <f>AND(#REF!,"AAAAAB3/3yY=")</f>
        <v>#REF!</v>
      </c>
      <c r="AN104" t="e">
        <f>AND(#REF!,"AAAAAB3/3yc=")</f>
        <v>#REF!</v>
      </c>
      <c r="AO104" t="e">
        <f>AND(#REF!,"AAAAAB3/3yg=")</f>
        <v>#REF!</v>
      </c>
      <c r="AP104" t="e">
        <f>AND(#REF!,"AAAAAB3/3yk=")</f>
        <v>#REF!</v>
      </c>
      <c r="AQ104" t="e">
        <f>AND(#REF!,"AAAAAB3/3yo=")</f>
        <v>#REF!</v>
      </c>
      <c r="AR104" t="e">
        <f>AND(#REF!,"AAAAAB3/3ys=")</f>
        <v>#REF!</v>
      </c>
      <c r="AS104" t="e">
        <f>AND(#REF!,"AAAAAB3/3yw=")</f>
        <v>#REF!</v>
      </c>
      <c r="AT104" t="e">
        <f>AND(#REF!,"AAAAAB3/3y0=")</f>
        <v>#REF!</v>
      </c>
      <c r="AU104" t="e">
        <f>AND(#REF!,"AAAAAB3/3y4=")</f>
        <v>#REF!</v>
      </c>
      <c r="AV104" t="e">
        <f>AND(#REF!,"AAAAAB3/3y8=")</f>
        <v>#REF!</v>
      </c>
      <c r="AW104" t="e">
        <f>AND(#REF!,"AAAAAB3/3zA=")</f>
        <v>#REF!</v>
      </c>
      <c r="AX104" t="e">
        <f>AND(#REF!,"AAAAAB3/3zE=")</f>
        <v>#REF!</v>
      </c>
      <c r="AY104" t="e">
        <f>AND(#REF!,"AAAAAB3/3zI=")</f>
        <v>#REF!</v>
      </c>
      <c r="AZ104" t="e">
        <f>AND(#REF!,"AAAAAB3/3zM=")</f>
        <v>#REF!</v>
      </c>
      <c r="BA104" t="e">
        <f>AND(#REF!,"AAAAAB3/3zQ=")</f>
        <v>#REF!</v>
      </c>
      <c r="BB104" t="e">
        <f>AND(#REF!,"AAAAAB3/3zU=")</f>
        <v>#REF!</v>
      </c>
      <c r="BC104" t="e">
        <f>AND(#REF!,"AAAAAB3/3zY=")</f>
        <v>#REF!</v>
      </c>
      <c r="BD104" t="e">
        <f>AND(#REF!,"AAAAAB3/3zc=")</f>
        <v>#REF!</v>
      </c>
      <c r="BE104" t="e">
        <f>AND(#REF!,"AAAAAB3/3zg=")</f>
        <v>#REF!</v>
      </c>
      <c r="BF104" t="e">
        <f>AND(#REF!,"AAAAAB3/3zk=")</f>
        <v>#REF!</v>
      </c>
      <c r="BG104" t="e">
        <f>AND(#REF!,"AAAAAB3/3zo=")</f>
        <v>#REF!</v>
      </c>
      <c r="BH104" t="e">
        <f>AND(#REF!,"AAAAAB3/3zs=")</f>
        <v>#REF!</v>
      </c>
      <c r="BI104" t="e">
        <f>AND(#REF!,"AAAAAB3/3zw=")</f>
        <v>#REF!</v>
      </c>
      <c r="BJ104" t="e">
        <f>AND(#REF!,"AAAAAB3/3z0=")</f>
        <v>#REF!</v>
      </c>
      <c r="BK104" t="e">
        <f>AND(#REF!,"AAAAAB3/3z4=")</f>
        <v>#REF!</v>
      </c>
      <c r="BL104" t="e">
        <f>AND(#REF!,"AAAAAB3/3z8=")</f>
        <v>#REF!</v>
      </c>
      <c r="BM104" t="e">
        <f>AND(#REF!,"AAAAAB3/30A=")</f>
        <v>#REF!</v>
      </c>
      <c r="BN104" t="e">
        <f>AND(#REF!,"AAAAAB3/30E=")</f>
        <v>#REF!</v>
      </c>
      <c r="BO104" t="e">
        <f>AND(#REF!,"AAAAAB3/30I=")</f>
        <v>#REF!</v>
      </c>
      <c r="BP104" t="e">
        <f>AND(#REF!,"AAAAAB3/30M=")</f>
        <v>#REF!</v>
      </c>
      <c r="BQ104" t="e">
        <f>AND(#REF!,"AAAAAB3/30Q=")</f>
        <v>#REF!</v>
      </c>
      <c r="BR104" t="e">
        <f>AND(#REF!,"AAAAAB3/30U=")</f>
        <v>#REF!</v>
      </c>
      <c r="BS104" t="e">
        <f>AND(#REF!,"AAAAAB3/30Y=")</f>
        <v>#REF!</v>
      </c>
      <c r="BT104" t="e">
        <f>AND(#REF!,"AAAAAB3/30c=")</f>
        <v>#REF!</v>
      </c>
      <c r="BU104" t="e">
        <f>AND(#REF!,"AAAAAB3/30g=")</f>
        <v>#REF!</v>
      </c>
      <c r="BV104" t="e">
        <f>AND(#REF!,"AAAAAB3/30k=")</f>
        <v>#REF!</v>
      </c>
      <c r="BW104" t="e">
        <f>AND(#REF!,"AAAAAB3/30o=")</f>
        <v>#REF!</v>
      </c>
      <c r="BX104" t="e">
        <f>AND(#REF!,"AAAAAB3/30s=")</f>
        <v>#REF!</v>
      </c>
      <c r="BY104" t="e">
        <f>AND(#REF!,"AAAAAB3/30w=")</f>
        <v>#REF!</v>
      </c>
      <c r="BZ104" t="e">
        <f>AND(#REF!,"AAAAAB3/300=")</f>
        <v>#REF!</v>
      </c>
      <c r="CA104" t="e">
        <f>AND(#REF!,"AAAAAB3/304=")</f>
        <v>#REF!</v>
      </c>
      <c r="CB104" t="e">
        <f>AND(#REF!,"AAAAAB3/308=")</f>
        <v>#REF!</v>
      </c>
      <c r="CC104" t="e">
        <f>AND(#REF!,"AAAAAB3/31A=")</f>
        <v>#REF!</v>
      </c>
      <c r="CD104" t="e">
        <f>AND(#REF!,"AAAAAB3/31E=")</f>
        <v>#REF!</v>
      </c>
      <c r="CE104" t="e">
        <f>AND(#REF!,"AAAAAB3/31I=")</f>
        <v>#REF!</v>
      </c>
      <c r="CF104" t="e">
        <f>AND(#REF!,"AAAAAB3/31M=")</f>
        <v>#REF!</v>
      </c>
      <c r="CG104" t="e">
        <f>AND(#REF!,"AAAAAB3/31Q=")</f>
        <v>#REF!</v>
      </c>
      <c r="CH104" t="e">
        <f>AND(#REF!,"AAAAAB3/31U=")</f>
        <v>#REF!</v>
      </c>
      <c r="CI104" t="e">
        <f>AND(#REF!,"AAAAAB3/31Y=")</f>
        <v>#REF!</v>
      </c>
      <c r="CJ104" t="e">
        <f>AND(#REF!,"AAAAAB3/31c=")</f>
        <v>#REF!</v>
      </c>
      <c r="CK104" t="e">
        <f>AND(#REF!,"AAAAAB3/31g=")</f>
        <v>#REF!</v>
      </c>
      <c r="CL104" t="e">
        <f>AND(#REF!,"AAAAAB3/31k=")</f>
        <v>#REF!</v>
      </c>
      <c r="CM104" t="e">
        <f>AND(#REF!,"AAAAAB3/31o=")</f>
        <v>#REF!</v>
      </c>
      <c r="CN104" t="e">
        <f>AND(#REF!,"AAAAAB3/31s=")</f>
        <v>#REF!</v>
      </c>
      <c r="CO104" t="e">
        <f>AND(#REF!,"AAAAAB3/31w=")</f>
        <v>#REF!</v>
      </c>
      <c r="CP104" t="e">
        <f>AND(#REF!,"AAAAAB3/310=")</f>
        <v>#REF!</v>
      </c>
      <c r="CQ104" t="e">
        <f>AND(#REF!,"AAAAAB3/314=")</f>
        <v>#REF!</v>
      </c>
      <c r="CR104" t="e">
        <f>AND(#REF!,"AAAAAB3/318=")</f>
        <v>#REF!</v>
      </c>
      <c r="CS104" t="e">
        <f>AND(#REF!,"AAAAAB3/32A=")</f>
        <v>#REF!</v>
      </c>
      <c r="CT104" t="e">
        <f>AND(#REF!,"AAAAAB3/32E=")</f>
        <v>#REF!</v>
      </c>
      <c r="CU104" t="e">
        <f>AND(#REF!,"AAAAAB3/32I=")</f>
        <v>#REF!</v>
      </c>
      <c r="CV104" t="e">
        <f>AND(#REF!,"AAAAAB3/32M=")</f>
        <v>#REF!</v>
      </c>
      <c r="CW104" t="e">
        <f>AND(#REF!,"AAAAAB3/32Q=")</f>
        <v>#REF!</v>
      </c>
      <c r="CX104" t="e">
        <f>AND(#REF!,"AAAAAB3/32U=")</f>
        <v>#REF!</v>
      </c>
      <c r="CY104" t="e">
        <f>AND(#REF!,"AAAAAB3/32Y=")</f>
        <v>#REF!</v>
      </c>
      <c r="CZ104" t="e">
        <f>AND(#REF!,"AAAAAB3/32c=")</f>
        <v>#REF!</v>
      </c>
      <c r="DA104" t="e">
        <f>AND(#REF!,"AAAAAB3/32g=")</f>
        <v>#REF!</v>
      </c>
      <c r="DB104" t="e">
        <f>AND(#REF!,"AAAAAB3/32k=")</f>
        <v>#REF!</v>
      </c>
      <c r="DC104" t="e">
        <f>AND(#REF!,"AAAAAB3/32o=")</f>
        <v>#REF!</v>
      </c>
      <c r="DD104" t="e">
        <f>AND(#REF!,"AAAAAB3/32s=")</f>
        <v>#REF!</v>
      </c>
      <c r="DE104" t="e">
        <f>AND(#REF!,"AAAAAB3/32w=")</f>
        <v>#REF!</v>
      </c>
      <c r="DF104" t="e">
        <f>AND(#REF!,"AAAAAB3/320=")</f>
        <v>#REF!</v>
      </c>
      <c r="DG104" t="e">
        <f>AND(#REF!,"AAAAAB3/324=")</f>
        <v>#REF!</v>
      </c>
      <c r="DH104" t="e">
        <f>AND(#REF!,"AAAAAB3/328=")</f>
        <v>#REF!</v>
      </c>
      <c r="DI104" t="e">
        <f>AND(#REF!,"AAAAAB3/33A=")</f>
        <v>#REF!</v>
      </c>
      <c r="DJ104" t="e">
        <f>AND(#REF!,"AAAAAB3/33E=")</f>
        <v>#REF!</v>
      </c>
      <c r="DK104" t="e">
        <f>AND(#REF!,"AAAAAB3/33I=")</f>
        <v>#REF!</v>
      </c>
      <c r="DL104" t="e">
        <f>AND(#REF!,"AAAAAB3/33M=")</f>
        <v>#REF!</v>
      </c>
      <c r="DM104" t="e">
        <f>AND(#REF!,"AAAAAB3/33Q=")</f>
        <v>#REF!</v>
      </c>
      <c r="DN104" t="e">
        <f>AND(#REF!,"AAAAAB3/33U=")</f>
        <v>#REF!</v>
      </c>
      <c r="DO104" t="e">
        <f>AND(#REF!,"AAAAAB3/33Y=")</f>
        <v>#REF!</v>
      </c>
      <c r="DP104" t="e">
        <f>AND(#REF!,"AAAAAB3/33c=")</f>
        <v>#REF!</v>
      </c>
      <c r="DQ104" t="e">
        <f>AND(#REF!,"AAAAAB3/33g=")</f>
        <v>#REF!</v>
      </c>
      <c r="DR104" t="e">
        <f>AND(#REF!,"AAAAAB3/33k=")</f>
        <v>#REF!</v>
      </c>
      <c r="DS104" t="e">
        <f>AND(#REF!,"AAAAAB3/33o=")</f>
        <v>#REF!</v>
      </c>
      <c r="DT104" t="e">
        <f>AND(#REF!,"AAAAAB3/33s=")</f>
        <v>#REF!</v>
      </c>
      <c r="DU104" t="e">
        <f>AND(#REF!,"AAAAAB3/33w=")</f>
        <v>#REF!</v>
      </c>
      <c r="DV104" t="e">
        <f>AND(#REF!,"AAAAAB3/330=")</f>
        <v>#REF!</v>
      </c>
      <c r="DW104" t="e">
        <f>AND(#REF!,"AAAAAB3/334=")</f>
        <v>#REF!</v>
      </c>
      <c r="DX104" t="e">
        <f>AND(#REF!,"AAAAAB3/338=")</f>
        <v>#REF!</v>
      </c>
      <c r="DY104" t="e">
        <f>AND(#REF!,"AAAAAB3/34A=")</f>
        <v>#REF!</v>
      </c>
      <c r="DZ104" t="e">
        <f>AND(#REF!,"AAAAAB3/34E=")</f>
        <v>#REF!</v>
      </c>
      <c r="EA104" t="e">
        <f>AND(#REF!,"AAAAAB3/34I=")</f>
        <v>#REF!</v>
      </c>
      <c r="EB104" t="e">
        <f>AND(#REF!,"AAAAAB3/34M=")</f>
        <v>#REF!</v>
      </c>
      <c r="EC104" t="e">
        <f>AND(#REF!,"AAAAAB3/34Q=")</f>
        <v>#REF!</v>
      </c>
      <c r="ED104" t="e">
        <f>AND(#REF!,"AAAAAB3/34U=")</f>
        <v>#REF!</v>
      </c>
      <c r="EE104" t="e">
        <f>AND(#REF!,"AAAAAB3/34Y=")</f>
        <v>#REF!</v>
      </c>
      <c r="EF104" t="e">
        <f>AND(#REF!,"AAAAAB3/34c=")</f>
        <v>#REF!</v>
      </c>
      <c r="EG104" t="e">
        <f>AND(#REF!,"AAAAAB3/34g=")</f>
        <v>#REF!</v>
      </c>
      <c r="EH104" t="e">
        <f>AND(#REF!,"AAAAAB3/34k=")</f>
        <v>#REF!</v>
      </c>
      <c r="EI104" t="e">
        <f>AND(#REF!,"AAAAAB3/34o=")</f>
        <v>#REF!</v>
      </c>
      <c r="EJ104" t="e">
        <f>AND(#REF!,"AAAAAB3/34s=")</f>
        <v>#REF!</v>
      </c>
      <c r="EK104" t="e">
        <f>AND(#REF!,"AAAAAB3/34w=")</f>
        <v>#REF!</v>
      </c>
      <c r="EL104" t="e">
        <f>AND(#REF!,"AAAAAB3/340=")</f>
        <v>#REF!</v>
      </c>
      <c r="EM104" t="e">
        <f>AND(#REF!,"AAAAAB3/344=")</f>
        <v>#REF!</v>
      </c>
      <c r="EN104" t="e">
        <f>AND(#REF!,"AAAAAB3/348=")</f>
        <v>#REF!</v>
      </c>
      <c r="EO104" t="e">
        <f>AND(#REF!,"AAAAAB3/35A=")</f>
        <v>#REF!</v>
      </c>
      <c r="EP104" t="e">
        <f>AND(#REF!,"AAAAAB3/35E=")</f>
        <v>#REF!</v>
      </c>
      <c r="EQ104" t="e">
        <f>AND(#REF!,"AAAAAB3/35I=")</f>
        <v>#REF!</v>
      </c>
      <c r="ER104" t="e">
        <f>AND(#REF!,"AAAAAB3/35M=")</f>
        <v>#REF!</v>
      </c>
      <c r="ES104" t="e">
        <f>AND(#REF!,"AAAAAB3/35Q=")</f>
        <v>#REF!</v>
      </c>
      <c r="ET104" t="e">
        <f>AND(#REF!,"AAAAAB3/35U=")</f>
        <v>#REF!</v>
      </c>
      <c r="EU104" t="e">
        <f>AND(#REF!,"AAAAAB3/35Y=")</f>
        <v>#REF!</v>
      </c>
      <c r="EV104" t="e">
        <f>AND(#REF!,"AAAAAB3/35c=")</f>
        <v>#REF!</v>
      </c>
      <c r="EW104" t="e">
        <f>AND(#REF!,"AAAAAB3/35g=")</f>
        <v>#REF!</v>
      </c>
      <c r="EX104" t="e">
        <f>AND(#REF!,"AAAAAB3/35k=")</f>
        <v>#REF!</v>
      </c>
      <c r="EY104" t="e">
        <f>AND(#REF!,"AAAAAB3/35o=")</f>
        <v>#REF!</v>
      </c>
      <c r="EZ104" t="e">
        <f>AND(#REF!,"AAAAAB3/35s=")</f>
        <v>#REF!</v>
      </c>
      <c r="FA104" t="e">
        <f>AND(#REF!,"AAAAAB3/35w=")</f>
        <v>#REF!</v>
      </c>
      <c r="FB104" t="e">
        <f>AND(#REF!,"AAAAAB3/350=")</f>
        <v>#REF!</v>
      </c>
      <c r="FC104" t="e">
        <f>AND(#REF!,"AAAAAB3/354=")</f>
        <v>#REF!</v>
      </c>
      <c r="FD104" t="e">
        <f>AND(#REF!,"AAAAAB3/358=")</f>
        <v>#REF!</v>
      </c>
      <c r="FE104" t="e">
        <f>AND(#REF!,"AAAAAB3/36A=")</f>
        <v>#REF!</v>
      </c>
      <c r="FF104" t="e">
        <f>AND(#REF!,"AAAAAB3/36E=")</f>
        <v>#REF!</v>
      </c>
      <c r="FG104" t="e">
        <f>AND(#REF!,"AAAAAB3/36I=")</f>
        <v>#REF!</v>
      </c>
      <c r="FH104" t="e">
        <f>AND(#REF!,"AAAAAB3/36M=")</f>
        <v>#REF!</v>
      </c>
      <c r="FI104" t="e">
        <f>AND(#REF!,"AAAAAB3/36Q=")</f>
        <v>#REF!</v>
      </c>
      <c r="FJ104" t="e">
        <f>AND(#REF!,"AAAAAB3/36U=")</f>
        <v>#REF!</v>
      </c>
      <c r="FK104" t="e">
        <f>AND(#REF!,"AAAAAB3/36Y=")</f>
        <v>#REF!</v>
      </c>
      <c r="FL104" t="e">
        <f>AND(#REF!,"AAAAAB3/36c=")</f>
        <v>#REF!</v>
      </c>
      <c r="FM104" t="e">
        <f>AND(#REF!,"AAAAAB3/36g=")</f>
        <v>#REF!</v>
      </c>
      <c r="FN104" t="e">
        <f>AND(#REF!,"AAAAAB3/36k=")</f>
        <v>#REF!</v>
      </c>
      <c r="FO104" t="e">
        <f>AND(#REF!,"AAAAAB3/36o=")</f>
        <v>#REF!</v>
      </c>
      <c r="FP104" t="e">
        <f>AND(#REF!,"AAAAAB3/36s=")</f>
        <v>#REF!</v>
      </c>
      <c r="FQ104" t="e">
        <f>AND(#REF!,"AAAAAB3/36w=")</f>
        <v>#REF!</v>
      </c>
      <c r="FR104" t="e">
        <f>AND(#REF!,"AAAAAB3/360=")</f>
        <v>#REF!</v>
      </c>
      <c r="FS104" t="e">
        <f>AND(#REF!,"AAAAAB3/364=")</f>
        <v>#REF!</v>
      </c>
      <c r="FT104" t="e">
        <f>AND(#REF!,"AAAAAB3/368=")</f>
        <v>#REF!</v>
      </c>
      <c r="FU104" t="e">
        <f>AND(#REF!,"AAAAAB3/37A=")</f>
        <v>#REF!</v>
      </c>
      <c r="FV104" t="e">
        <f>AND(#REF!,"AAAAAB3/37E=")</f>
        <v>#REF!</v>
      </c>
      <c r="FW104" t="e">
        <f>AND(#REF!,"AAAAAB3/37I=")</f>
        <v>#REF!</v>
      </c>
      <c r="FX104" t="e">
        <f>AND(#REF!,"AAAAAB3/37M=")</f>
        <v>#REF!</v>
      </c>
      <c r="FY104" t="e">
        <f>AND(#REF!,"AAAAAB3/37Q=")</f>
        <v>#REF!</v>
      </c>
      <c r="FZ104" t="e">
        <f>AND(#REF!,"AAAAAB3/37U=")</f>
        <v>#REF!</v>
      </c>
      <c r="GA104" t="e">
        <f>AND(#REF!,"AAAAAB3/37Y=")</f>
        <v>#REF!</v>
      </c>
      <c r="GB104" t="e">
        <f>AND(#REF!,"AAAAAB3/37c=")</f>
        <v>#REF!</v>
      </c>
      <c r="GC104" t="e">
        <f>AND(#REF!,"AAAAAB3/37g=")</f>
        <v>#REF!</v>
      </c>
      <c r="GD104" t="e">
        <f>AND(#REF!,"AAAAAB3/37k=")</f>
        <v>#REF!</v>
      </c>
      <c r="GE104" t="e">
        <f>AND(#REF!,"AAAAAB3/37o=")</f>
        <v>#REF!</v>
      </c>
      <c r="GF104" t="e">
        <f>AND(#REF!,"AAAAAB3/37s=")</f>
        <v>#REF!</v>
      </c>
      <c r="GG104" t="e">
        <f>AND(#REF!,"AAAAAB3/37w=")</f>
        <v>#REF!</v>
      </c>
      <c r="GH104" t="e">
        <f>AND(#REF!,"AAAAAB3/370=")</f>
        <v>#REF!</v>
      </c>
      <c r="GI104" t="e">
        <f>AND(#REF!,"AAAAAB3/374=")</f>
        <v>#REF!</v>
      </c>
      <c r="GJ104" t="e">
        <f>AND(#REF!,"AAAAAB3/378=")</f>
        <v>#REF!</v>
      </c>
      <c r="GK104" t="e">
        <f>AND(#REF!,"AAAAAB3/38A=")</f>
        <v>#REF!</v>
      </c>
      <c r="GL104" t="e">
        <f>AND(#REF!,"AAAAAB3/38E=")</f>
        <v>#REF!</v>
      </c>
      <c r="GM104" t="e">
        <f>AND(#REF!,"AAAAAB3/38I=")</f>
        <v>#REF!</v>
      </c>
      <c r="GN104" t="e">
        <f>AND(#REF!,"AAAAAB3/38M=")</f>
        <v>#REF!</v>
      </c>
      <c r="GO104" t="e">
        <f>AND(#REF!,"AAAAAB3/38Q=")</f>
        <v>#REF!</v>
      </c>
      <c r="GP104" t="e">
        <f>AND(#REF!,"AAAAAB3/38U=")</f>
        <v>#REF!</v>
      </c>
      <c r="GQ104" t="e">
        <f>AND(#REF!,"AAAAAB3/38Y=")</f>
        <v>#REF!</v>
      </c>
      <c r="GR104" t="e">
        <f>AND(#REF!,"AAAAAB3/38c=")</f>
        <v>#REF!</v>
      </c>
      <c r="GS104" t="e">
        <f>AND(#REF!,"AAAAAB3/38g=")</f>
        <v>#REF!</v>
      </c>
      <c r="GT104" t="e">
        <f>AND(#REF!,"AAAAAB3/38k=")</f>
        <v>#REF!</v>
      </c>
      <c r="GU104" t="e">
        <f>AND(#REF!,"AAAAAB3/38o=")</f>
        <v>#REF!</v>
      </c>
      <c r="GV104" t="e">
        <f>AND(#REF!,"AAAAAB3/38s=")</f>
        <v>#REF!</v>
      </c>
      <c r="GW104" t="e">
        <f>AND(#REF!,"AAAAAB3/38w=")</f>
        <v>#REF!</v>
      </c>
      <c r="GX104" t="e">
        <f>AND(#REF!,"AAAAAB3/380=")</f>
        <v>#REF!</v>
      </c>
      <c r="GY104" t="e">
        <f>AND(#REF!,"AAAAAB3/384=")</f>
        <v>#REF!</v>
      </c>
      <c r="GZ104" t="e">
        <f>AND(#REF!,"AAAAAB3/388=")</f>
        <v>#REF!</v>
      </c>
      <c r="HA104" t="e">
        <f>AND(#REF!,"AAAAAB3/39A=")</f>
        <v>#REF!</v>
      </c>
      <c r="HB104" t="e">
        <f>AND(#REF!,"AAAAAB3/39E=")</f>
        <v>#REF!</v>
      </c>
      <c r="HC104" t="e">
        <f>AND(#REF!,"AAAAAB3/39I=")</f>
        <v>#REF!</v>
      </c>
      <c r="HD104" t="e">
        <f>AND(#REF!,"AAAAAB3/39M=")</f>
        <v>#REF!</v>
      </c>
      <c r="HE104" t="e">
        <f>AND(#REF!,"AAAAAB3/39Q=")</f>
        <v>#REF!</v>
      </c>
      <c r="HF104" t="e">
        <f>AND(#REF!,"AAAAAB3/39U=")</f>
        <v>#REF!</v>
      </c>
      <c r="HG104" t="e">
        <f>AND(#REF!,"AAAAAB3/39Y=")</f>
        <v>#REF!</v>
      </c>
      <c r="HH104" t="e">
        <f>AND(#REF!,"AAAAAB3/39c=")</f>
        <v>#REF!</v>
      </c>
      <c r="HI104" t="e">
        <f>AND(#REF!,"AAAAAB3/39g=")</f>
        <v>#REF!</v>
      </c>
      <c r="HJ104" t="e">
        <f>AND(#REF!,"AAAAAB3/39k=")</f>
        <v>#REF!</v>
      </c>
      <c r="HK104" t="e">
        <f>AND(#REF!,"AAAAAB3/39o=")</f>
        <v>#REF!</v>
      </c>
      <c r="HL104" t="e">
        <f>AND(#REF!,"AAAAAB3/39s=")</f>
        <v>#REF!</v>
      </c>
      <c r="HM104" t="e">
        <f>AND(#REF!,"AAAAAB3/39w=")</f>
        <v>#REF!</v>
      </c>
      <c r="HN104" t="e">
        <f>AND(#REF!,"AAAAAB3/390=")</f>
        <v>#REF!</v>
      </c>
      <c r="HO104" t="e">
        <f>AND(#REF!,"AAAAAB3/394=")</f>
        <v>#REF!</v>
      </c>
      <c r="HP104" t="e">
        <f>AND(#REF!,"AAAAAB3/398=")</f>
        <v>#REF!</v>
      </c>
      <c r="HQ104" t="e">
        <f>AND(#REF!,"AAAAAB3/3+A=")</f>
        <v>#REF!</v>
      </c>
      <c r="HR104" t="e">
        <f>AND(#REF!,"AAAAAB3/3+E=")</f>
        <v>#REF!</v>
      </c>
      <c r="HS104" t="e">
        <f>AND(#REF!,"AAAAAB3/3+I=")</f>
        <v>#REF!</v>
      </c>
      <c r="HT104" t="e">
        <f>AND(#REF!,"AAAAAB3/3+M=")</f>
        <v>#REF!</v>
      </c>
      <c r="HU104" t="e">
        <f>AND(#REF!,"AAAAAB3/3+Q=")</f>
        <v>#REF!</v>
      </c>
      <c r="HV104" t="e">
        <f>AND(#REF!,"AAAAAB3/3+U=")</f>
        <v>#REF!</v>
      </c>
      <c r="HW104" t="e">
        <f>AND(#REF!,"AAAAAB3/3+Y=")</f>
        <v>#REF!</v>
      </c>
      <c r="HX104" t="e">
        <f>AND(#REF!,"AAAAAB3/3+c=")</f>
        <v>#REF!</v>
      </c>
      <c r="HY104" t="e">
        <f>AND(#REF!,"AAAAAB3/3+g=")</f>
        <v>#REF!</v>
      </c>
      <c r="HZ104" t="e">
        <f>AND(#REF!,"AAAAAB3/3+k=")</f>
        <v>#REF!</v>
      </c>
      <c r="IA104" t="e">
        <f>AND(#REF!,"AAAAAB3/3+o=")</f>
        <v>#REF!</v>
      </c>
      <c r="IB104" t="e">
        <f>AND(#REF!,"AAAAAB3/3+s=")</f>
        <v>#REF!</v>
      </c>
      <c r="IC104" t="e">
        <f>AND(#REF!,"AAAAAB3/3+w=")</f>
        <v>#REF!</v>
      </c>
      <c r="ID104" t="e">
        <f>AND(#REF!,"AAAAAB3/3+0=")</f>
        <v>#REF!</v>
      </c>
      <c r="IE104" t="e">
        <f>AND(#REF!,"AAAAAB3/3+4=")</f>
        <v>#REF!</v>
      </c>
      <c r="IF104" t="e">
        <f>AND(#REF!,"AAAAAB3/3+8=")</f>
        <v>#REF!</v>
      </c>
      <c r="IG104" t="e">
        <f>AND(#REF!,"AAAAAB3/3/A=")</f>
        <v>#REF!</v>
      </c>
      <c r="IH104" t="e">
        <f>AND(#REF!,"AAAAAB3/3/E=")</f>
        <v>#REF!</v>
      </c>
      <c r="II104" t="e">
        <f>AND(#REF!,"AAAAAB3/3/I=")</f>
        <v>#REF!</v>
      </c>
      <c r="IJ104" t="e">
        <f>AND(#REF!,"AAAAAB3/3/M=")</f>
        <v>#REF!</v>
      </c>
      <c r="IK104" t="e">
        <f>AND(#REF!,"AAAAAB3/3/Q=")</f>
        <v>#REF!</v>
      </c>
      <c r="IL104" t="e">
        <f>AND(#REF!,"AAAAAB3/3/U=")</f>
        <v>#REF!</v>
      </c>
      <c r="IM104" t="e">
        <f>AND(#REF!,"AAAAAB3/3/Y=")</f>
        <v>#REF!</v>
      </c>
      <c r="IN104" t="e">
        <f>AND(#REF!,"AAAAAB3/3/c=")</f>
        <v>#REF!</v>
      </c>
      <c r="IO104" t="e">
        <f>AND(#REF!,"AAAAAB3/3/g=")</f>
        <v>#REF!</v>
      </c>
      <c r="IP104" t="e">
        <f>AND(#REF!,"AAAAAB3/3/k=")</f>
        <v>#REF!</v>
      </c>
      <c r="IQ104" t="e">
        <f>AND(#REF!,"AAAAAB3/3/o=")</f>
        <v>#REF!</v>
      </c>
      <c r="IR104" t="e">
        <f>AND(#REF!,"AAAAAB3/3/s=")</f>
        <v>#REF!</v>
      </c>
      <c r="IS104" t="e">
        <f>AND(#REF!,"AAAAAB3/3/w=")</f>
        <v>#REF!</v>
      </c>
      <c r="IT104" t="e">
        <f>AND(#REF!,"AAAAAB3/3/0=")</f>
        <v>#REF!</v>
      </c>
      <c r="IU104" t="e">
        <f>AND(#REF!,"AAAAAB3/3/4=")</f>
        <v>#REF!</v>
      </c>
      <c r="IV104" t="e">
        <f>AND(#REF!,"AAAAAB3/3/8=")</f>
        <v>#REF!</v>
      </c>
    </row>
    <row r="105" spans="1:256">
      <c r="A105" t="e">
        <f>AND(#REF!,"AAAAAG//6QA=")</f>
        <v>#REF!</v>
      </c>
      <c r="B105" t="e">
        <f>AND(#REF!,"AAAAAG//6QE=")</f>
        <v>#REF!</v>
      </c>
      <c r="C105" t="e">
        <f>AND(#REF!,"AAAAAG//6QI=")</f>
        <v>#REF!</v>
      </c>
      <c r="D105" t="e">
        <f>AND(#REF!,"AAAAAG//6QM=")</f>
        <v>#REF!</v>
      </c>
      <c r="E105" t="e">
        <f>AND(#REF!,"AAAAAG//6QQ=")</f>
        <v>#REF!</v>
      </c>
      <c r="F105" t="e">
        <f>AND(#REF!,"AAAAAG//6QU=")</f>
        <v>#REF!</v>
      </c>
      <c r="G105" t="e">
        <f>AND(#REF!,"AAAAAG//6QY=")</f>
        <v>#REF!</v>
      </c>
      <c r="H105" t="e">
        <f>AND(#REF!,"AAAAAG//6Qc=")</f>
        <v>#REF!</v>
      </c>
      <c r="I105" t="e">
        <f>AND(#REF!,"AAAAAG//6Qg=")</f>
        <v>#REF!</v>
      </c>
      <c r="J105" t="e">
        <f>AND(#REF!,"AAAAAG//6Qk=")</f>
        <v>#REF!</v>
      </c>
      <c r="K105" t="e">
        <f>AND(#REF!,"AAAAAG//6Qo=")</f>
        <v>#REF!</v>
      </c>
      <c r="L105" t="e">
        <f>AND(#REF!,"AAAAAG//6Qs=")</f>
        <v>#REF!</v>
      </c>
      <c r="M105" t="e">
        <f>AND(#REF!,"AAAAAG//6Qw=")</f>
        <v>#REF!</v>
      </c>
      <c r="N105" t="e">
        <f>AND(#REF!,"AAAAAG//6Q0=")</f>
        <v>#REF!</v>
      </c>
      <c r="O105" t="e">
        <f>AND(#REF!,"AAAAAG//6Q4=")</f>
        <v>#REF!</v>
      </c>
      <c r="P105" t="e">
        <f>AND(#REF!,"AAAAAG//6Q8=")</f>
        <v>#REF!</v>
      </c>
      <c r="Q105" t="e">
        <f>AND(#REF!,"AAAAAG//6RA=")</f>
        <v>#REF!</v>
      </c>
      <c r="R105" t="e">
        <f>AND(#REF!,"AAAAAG//6RE=")</f>
        <v>#REF!</v>
      </c>
      <c r="S105" t="e">
        <f>AND(#REF!,"AAAAAG//6RI=")</f>
        <v>#REF!</v>
      </c>
      <c r="T105" t="e">
        <f>AND(#REF!,"AAAAAG//6RM=")</f>
        <v>#REF!</v>
      </c>
      <c r="U105" t="e">
        <f>AND(#REF!,"AAAAAG//6RQ=")</f>
        <v>#REF!</v>
      </c>
      <c r="V105" t="e">
        <f>AND(#REF!,"AAAAAG//6RU=")</f>
        <v>#REF!</v>
      </c>
      <c r="W105" t="e">
        <f>AND(#REF!,"AAAAAG//6RY=")</f>
        <v>#REF!</v>
      </c>
      <c r="X105" t="e">
        <f>AND(#REF!,"AAAAAG//6Rc=")</f>
        <v>#REF!</v>
      </c>
      <c r="Y105" t="e">
        <f>AND(#REF!,"AAAAAG//6Rg=")</f>
        <v>#REF!</v>
      </c>
      <c r="Z105" t="e">
        <f>AND(#REF!,"AAAAAG//6Rk=")</f>
        <v>#REF!</v>
      </c>
      <c r="AA105" t="e">
        <f>AND(#REF!,"AAAAAG//6Ro=")</f>
        <v>#REF!</v>
      </c>
      <c r="AB105" t="e">
        <f>AND(#REF!,"AAAAAG//6Rs=")</f>
        <v>#REF!</v>
      </c>
      <c r="AC105" t="e">
        <f>AND(#REF!,"AAAAAG//6Rw=")</f>
        <v>#REF!</v>
      </c>
      <c r="AD105" t="e">
        <f>AND(#REF!,"AAAAAG//6R0=")</f>
        <v>#REF!</v>
      </c>
      <c r="AE105" t="e">
        <f>AND(#REF!,"AAAAAG//6R4=")</f>
        <v>#REF!</v>
      </c>
      <c r="AF105" t="e">
        <f>AND(#REF!,"AAAAAG//6R8=")</f>
        <v>#REF!</v>
      </c>
      <c r="AG105" t="e">
        <f>AND(#REF!,"AAAAAG//6SA=")</f>
        <v>#REF!</v>
      </c>
      <c r="AH105" t="e">
        <f>AND(#REF!,"AAAAAG//6SE=")</f>
        <v>#REF!</v>
      </c>
      <c r="AI105" t="e">
        <f>AND(#REF!,"AAAAAG//6SI=")</f>
        <v>#REF!</v>
      </c>
      <c r="AJ105" t="e">
        <f>AND(#REF!,"AAAAAG//6SM=")</f>
        <v>#REF!</v>
      </c>
      <c r="AK105" t="e">
        <f>AND(#REF!,"AAAAAG//6SQ=")</f>
        <v>#REF!</v>
      </c>
      <c r="AL105" t="e">
        <f>AND(#REF!,"AAAAAG//6SU=")</f>
        <v>#REF!</v>
      </c>
      <c r="AM105" t="e">
        <f>AND(#REF!,"AAAAAG//6SY=")</f>
        <v>#REF!</v>
      </c>
      <c r="AN105" t="e">
        <f>AND(#REF!,"AAAAAG//6Sc=")</f>
        <v>#REF!</v>
      </c>
      <c r="AO105" t="e">
        <f>AND(#REF!,"AAAAAG//6Sg=")</f>
        <v>#REF!</v>
      </c>
      <c r="AP105" t="e">
        <f>AND(#REF!,"AAAAAG//6Sk=")</f>
        <v>#REF!</v>
      </c>
      <c r="AQ105" t="e">
        <f>AND(#REF!,"AAAAAG//6So=")</f>
        <v>#REF!</v>
      </c>
      <c r="AR105" t="e">
        <f>AND(#REF!,"AAAAAG//6Ss=")</f>
        <v>#REF!</v>
      </c>
      <c r="AS105" t="e">
        <f>AND(#REF!,"AAAAAG//6Sw=")</f>
        <v>#REF!</v>
      </c>
      <c r="AT105" t="e">
        <f>AND(#REF!,"AAAAAG//6S0=")</f>
        <v>#REF!</v>
      </c>
      <c r="AU105" t="e">
        <f>AND(#REF!,"AAAAAG//6S4=")</f>
        <v>#REF!</v>
      </c>
      <c r="AV105" t="e">
        <f>AND(#REF!,"AAAAAG//6S8=")</f>
        <v>#REF!</v>
      </c>
      <c r="AW105" t="e">
        <f>AND(#REF!,"AAAAAG//6TA=")</f>
        <v>#REF!</v>
      </c>
      <c r="AX105" t="e">
        <f>AND(#REF!,"AAAAAG//6TE=")</f>
        <v>#REF!</v>
      </c>
      <c r="AY105" t="e">
        <f>AND(#REF!,"AAAAAG//6TI=")</f>
        <v>#REF!</v>
      </c>
      <c r="AZ105" t="e">
        <f>AND(#REF!,"AAAAAG//6TM=")</f>
        <v>#REF!</v>
      </c>
      <c r="BA105" t="e">
        <f>AND(#REF!,"AAAAAG//6TQ=")</f>
        <v>#REF!</v>
      </c>
      <c r="BB105" t="e">
        <f>AND(#REF!,"AAAAAG//6TU=")</f>
        <v>#REF!</v>
      </c>
      <c r="BC105" t="e">
        <f>AND(#REF!,"AAAAAG//6TY=")</f>
        <v>#REF!</v>
      </c>
      <c r="BD105" t="e">
        <f>AND(#REF!,"AAAAAG//6Tc=")</f>
        <v>#REF!</v>
      </c>
      <c r="BE105" t="e">
        <f>AND(#REF!,"AAAAAG//6Tg=")</f>
        <v>#REF!</v>
      </c>
      <c r="BF105" t="e">
        <f>AND(#REF!,"AAAAAG//6Tk=")</f>
        <v>#REF!</v>
      </c>
      <c r="BG105" t="e">
        <f>AND(#REF!,"AAAAAG//6To=")</f>
        <v>#REF!</v>
      </c>
      <c r="BH105" t="e">
        <f>AND(#REF!,"AAAAAG//6Ts=")</f>
        <v>#REF!</v>
      </c>
      <c r="BI105" t="e">
        <f>AND(#REF!,"AAAAAG//6Tw=")</f>
        <v>#REF!</v>
      </c>
      <c r="BJ105" t="e">
        <f>AND(#REF!,"AAAAAG//6T0=")</f>
        <v>#REF!</v>
      </c>
      <c r="BK105" t="e">
        <f>AND(#REF!,"AAAAAG//6T4=")</f>
        <v>#REF!</v>
      </c>
      <c r="BL105" t="e">
        <f>AND(#REF!,"AAAAAG//6T8=")</f>
        <v>#REF!</v>
      </c>
      <c r="BM105" t="e">
        <f>AND(#REF!,"AAAAAG//6UA=")</f>
        <v>#REF!</v>
      </c>
      <c r="BN105" t="e">
        <f>AND(#REF!,"AAAAAG//6UE=")</f>
        <v>#REF!</v>
      </c>
      <c r="BO105" t="e">
        <f>AND(#REF!,"AAAAAG//6UI=")</f>
        <v>#REF!</v>
      </c>
      <c r="BP105" t="e">
        <f>AND(#REF!,"AAAAAG//6UM=")</f>
        <v>#REF!</v>
      </c>
      <c r="BQ105" t="e">
        <f>AND(#REF!,"AAAAAG//6UQ=")</f>
        <v>#REF!</v>
      </c>
      <c r="BR105" t="e">
        <f>AND(#REF!,"AAAAAG//6UU=")</f>
        <v>#REF!</v>
      </c>
      <c r="BS105" t="e">
        <f>AND(#REF!,"AAAAAG//6UY=")</f>
        <v>#REF!</v>
      </c>
      <c r="BT105" t="e">
        <f>AND(#REF!,"AAAAAG//6Uc=")</f>
        <v>#REF!</v>
      </c>
      <c r="BU105" t="e">
        <f>AND(#REF!,"AAAAAG//6Ug=")</f>
        <v>#REF!</v>
      </c>
      <c r="BV105" t="e">
        <f>AND(#REF!,"AAAAAG//6Uk=")</f>
        <v>#REF!</v>
      </c>
      <c r="BW105" t="e">
        <f>AND(#REF!,"AAAAAG//6Uo=")</f>
        <v>#REF!</v>
      </c>
      <c r="BX105" t="e">
        <f>AND(#REF!,"AAAAAG//6Us=")</f>
        <v>#REF!</v>
      </c>
      <c r="BY105" t="e">
        <f>AND(#REF!,"AAAAAG//6Uw=")</f>
        <v>#REF!</v>
      </c>
      <c r="BZ105" t="e">
        <f>AND(#REF!,"AAAAAG//6U0=")</f>
        <v>#REF!</v>
      </c>
      <c r="CA105" t="e">
        <f>AND(#REF!,"AAAAAG//6U4=")</f>
        <v>#REF!</v>
      </c>
      <c r="CB105" t="e">
        <f>AND(#REF!,"AAAAAG//6U8=")</f>
        <v>#REF!</v>
      </c>
      <c r="CC105" t="e">
        <f>AND(#REF!,"AAAAAG//6VA=")</f>
        <v>#REF!</v>
      </c>
      <c r="CD105" t="e">
        <f>AND(#REF!,"AAAAAG//6VE=")</f>
        <v>#REF!</v>
      </c>
      <c r="CE105" t="e">
        <f>AND(#REF!,"AAAAAG//6VI=")</f>
        <v>#REF!</v>
      </c>
      <c r="CF105" t="e">
        <f>AND(#REF!,"AAAAAG//6VM=")</f>
        <v>#REF!</v>
      </c>
      <c r="CG105" t="e">
        <f>AND(#REF!,"AAAAAG//6VQ=")</f>
        <v>#REF!</v>
      </c>
      <c r="CH105" t="e">
        <f>AND(#REF!,"AAAAAG//6VU=")</f>
        <v>#REF!</v>
      </c>
      <c r="CI105" t="e">
        <f>AND(#REF!,"AAAAAG//6VY=")</f>
        <v>#REF!</v>
      </c>
      <c r="CJ105" t="e">
        <f>AND(#REF!,"AAAAAG//6Vc=")</f>
        <v>#REF!</v>
      </c>
      <c r="CK105" t="e">
        <f>AND(#REF!,"AAAAAG//6Vg=")</f>
        <v>#REF!</v>
      </c>
      <c r="CL105" t="e">
        <f>AND(#REF!,"AAAAAG//6Vk=")</f>
        <v>#REF!</v>
      </c>
      <c r="CM105" t="e">
        <f>AND(#REF!,"AAAAAG//6Vo=")</f>
        <v>#REF!</v>
      </c>
      <c r="CN105" t="e">
        <f>AND(#REF!,"AAAAAG//6Vs=")</f>
        <v>#REF!</v>
      </c>
      <c r="CO105" t="e">
        <f>AND(#REF!,"AAAAAG//6Vw=")</f>
        <v>#REF!</v>
      </c>
      <c r="CP105" t="e">
        <f>AND(#REF!,"AAAAAG//6V0=")</f>
        <v>#REF!</v>
      </c>
      <c r="CQ105" t="e">
        <f>AND(#REF!,"AAAAAG//6V4=")</f>
        <v>#REF!</v>
      </c>
      <c r="CR105" t="e">
        <f>AND(#REF!,"AAAAAG//6V8=")</f>
        <v>#REF!</v>
      </c>
      <c r="CS105" t="e">
        <f>AND(#REF!,"AAAAAG//6WA=")</f>
        <v>#REF!</v>
      </c>
      <c r="CT105" t="e">
        <f>AND(#REF!,"AAAAAG//6WE=")</f>
        <v>#REF!</v>
      </c>
      <c r="CU105" t="e">
        <f>AND(#REF!,"AAAAAG//6WI=")</f>
        <v>#REF!</v>
      </c>
      <c r="CV105" t="e">
        <f>AND(#REF!,"AAAAAG//6WM=")</f>
        <v>#REF!</v>
      </c>
      <c r="CW105" t="e">
        <f>AND(#REF!,"AAAAAG//6WQ=")</f>
        <v>#REF!</v>
      </c>
      <c r="CX105" t="e">
        <f>AND(#REF!,"AAAAAG//6WU=")</f>
        <v>#REF!</v>
      </c>
      <c r="CY105" t="e">
        <f>AND(#REF!,"AAAAAG//6WY=")</f>
        <v>#REF!</v>
      </c>
      <c r="CZ105" t="e">
        <f>AND(#REF!,"AAAAAG//6Wc=")</f>
        <v>#REF!</v>
      </c>
      <c r="DA105" t="e">
        <f>AND(#REF!,"AAAAAG//6Wg=")</f>
        <v>#REF!</v>
      </c>
      <c r="DB105" t="e">
        <f>AND(#REF!,"AAAAAG//6Wk=")</f>
        <v>#REF!</v>
      </c>
      <c r="DC105" t="e">
        <f>AND(#REF!,"AAAAAG//6Wo=")</f>
        <v>#REF!</v>
      </c>
      <c r="DD105" t="e">
        <f>AND(#REF!,"AAAAAG//6Ws=")</f>
        <v>#REF!</v>
      </c>
      <c r="DE105" t="e">
        <f>AND(#REF!,"AAAAAG//6Ww=")</f>
        <v>#REF!</v>
      </c>
      <c r="DF105" t="e">
        <f>AND(#REF!,"AAAAAG//6W0=")</f>
        <v>#REF!</v>
      </c>
      <c r="DG105" t="e">
        <f>AND(#REF!,"AAAAAG//6W4=")</f>
        <v>#REF!</v>
      </c>
      <c r="DH105" t="e">
        <f>AND(#REF!,"AAAAAG//6W8=")</f>
        <v>#REF!</v>
      </c>
      <c r="DI105" t="e">
        <f>AND(#REF!,"AAAAAG//6XA=")</f>
        <v>#REF!</v>
      </c>
      <c r="DJ105" t="e">
        <f>AND(#REF!,"AAAAAG//6XE=")</f>
        <v>#REF!</v>
      </c>
      <c r="DK105" t="e">
        <f>AND(#REF!,"AAAAAG//6XI=")</f>
        <v>#REF!</v>
      </c>
      <c r="DL105" t="e">
        <f>AND(#REF!,"AAAAAG//6XM=")</f>
        <v>#REF!</v>
      </c>
      <c r="DM105" t="e">
        <f>AND(#REF!,"AAAAAG//6XQ=")</f>
        <v>#REF!</v>
      </c>
      <c r="DN105" t="e">
        <f>AND(#REF!,"AAAAAG//6XU=")</f>
        <v>#REF!</v>
      </c>
      <c r="DO105" t="e">
        <f>AND(#REF!,"AAAAAG//6XY=")</f>
        <v>#REF!</v>
      </c>
      <c r="DP105" t="e">
        <f>AND(#REF!,"AAAAAG//6Xc=")</f>
        <v>#REF!</v>
      </c>
      <c r="DQ105" t="e">
        <f>AND(#REF!,"AAAAAG//6Xg=")</f>
        <v>#REF!</v>
      </c>
      <c r="DR105" t="e">
        <f>AND(#REF!,"AAAAAG//6Xk=")</f>
        <v>#REF!</v>
      </c>
      <c r="DS105" t="e">
        <f>AND(#REF!,"AAAAAG//6Xo=")</f>
        <v>#REF!</v>
      </c>
      <c r="DT105" t="e">
        <f>AND(#REF!,"AAAAAG//6Xs=")</f>
        <v>#REF!</v>
      </c>
      <c r="DU105" t="e">
        <f>AND(#REF!,"AAAAAG//6Xw=")</f>
        <v>#REF!</v>
      </c>
      <c r="DV105" t="e">
        <f>AND(#REF!,"AAAAAG//6X0=")</f>
        <v>#REF!</v>
      </c>
      <c r="DW105" t="e">
        <f>AND(#REF!,"AAAAAG//6X4=")</f>
        <v>#REF!</v>
      </c>
      <c r="DX105" t="e">
        <f>AND(#REF!,"AAAAAG//6X8=")</f>
        <v>#REF!</v>
      </c>
      <c r="DY105" t="e">
        <f>AND(#REF!,"AAAAAG//6YA=")</f>
        <v>#REF!</v>
      </c>
      <c r="DZ105" t="e">
        <f>AND(#REF!,"AAAAAG//6YE=")</f>
        <v>#REF!</v>
      </c>
      <c r="EA105" t="e">
        <f>AND(#REF!,"AAAAAG//6YI=")</f>
        <v>#REF!</v>
      </c>
      <c r="EB105" t="e">
        <f>AND(#REF!,"AAAAAG//6YM=")</f>
        <v>#REF!</v>
      </c>
      <c r="EC105" t="e">
        <f>AND(#REF!,"AAAAAG//6YQ=")</f>
        <v>#REF!</v>
      </c>
      <c r="ED105" t="e">
        <f>AND(#REF!,"AAAAAG//6YU=")</f>
        <v>#REF!</v>
      </c>
      <c r="EE105" t="e">
        <f>AND(#REF!,"AAAAAG//6YY=")</f>
        <v>#REF!</v>
      </c>
      <c r="EF105" t="e">
        <f>AND(#REF!,"AAAAAG//6Yc=")</f>
        <v>#REF!</v>
      </c>
      <c r="EG105" t="e">
        <f>AND(#REF!,"AAAAAG//6Yg=")</f>
        <v>#REF!</v>
      </c>
      <c r="EH105" t="e">
        <f>AND(#REF!,"AAAAAG//6Yk=")</f>
        <v>#REF!</v>
      </c>
      <c r="EI105" t="e">
        <f>AND(#REF!,"AAAAAG//6Yo=")</f>
        <v>#REF!</v>
      </c>
      <c r="EJ105" t="e">
        <f>AND(#REF!,"AAAAAG//6Ys=")</f>
        <v>#REF!</v>
      </c>
      <c r="EK105" t="e">
        <f>AND(#REF!,"AAAAAG//6Yw=")</f>
        <v>#REF!</v>
      </c>
      <c r="EL105" t="e">
        <f>AND(#REF!,"AAAAAG//6Y0=")</f>
        <v>#REF!</v>
      </c>
      <c r="EM105" t="e">
        <f>AND(#REF!,"AAAAAG//6Y4=")</f>
        <v>#REF!</v>
      </c>
      <c r="EN105" t="e">
        <f>AND(#REF!,"AAAAAG//6Y8=")</f>
        <v>#REF!</v>
      </c>
      <c r="EO105" t="e">
        <f>AND(#REF!,"AAAAAG//6ZA=")</f>
        <v>#REF!</v>
      </c>
      <c r="EP105" t="e">
        <f>AND(#REF!,"AAAAAG//6ZE=")</f>
        <v>#REF!</v>
      </c>
      <c r="EQ105" t="e">
        <f>AND(#REF!,"AAAAAG//6ZI=")</f>
        <v>#REF!</v>
      </c>
      <c r="ER105" t="e">
        <f>AND(#REF!,"AAAAAG//6ZM=")</f>
        <v>#REF!</v>
      </c>
      <c r="ES105" t="e">
        <f>AND(#REF!,"AAAAAG//6ZQ=")</f>
        <v>#REF!</v>
      </c>
      <c r="ET105" t="e">
        <f>AND(#REF!,"AAAAAG//6ZU=")</f>
        <v>#REF!</v>
      </c>
      <c r="EU105" t="e">
        <f>AND(#REF!,"AAAAAG//6ZY=")</f>
        <v>#REF!</v>
      </c>
      <c r="EV105" t="e">
        <f>AND(#REF!,"AAAAAG//6Zc=")</f>
        <v>#REF!</v>
      </c>
      <c r="EW105" t="e">
        <f>AND(#REF!,"AAAAAG//6Zg=")</f>
        <v>#REF!</v>
      </c>
      <c r="EX105" t="e">
        <f>AND(#REF!,"AAAAAG//6Zk=")</f>
        <v>#REF!</v>
      </c>
      <c r="EY105" t="e">
        <f>AND(#REF!,"AAAAAG//6Zo=")</f>
        <v>#REF!</v>
      </c>
      <c r="EZ105" t="e">
        <f>AND(#REF!,"AAAAAG//6Zs=")</f>
        <v>#REF!</v>
      </c>
      <c r="FA105" t="e">
        <f>AND(#REF!,"AAAAAG//6Zw=")</f>
        <v>#REF!</v>
      </c>
      <c r="FB105" t="e">
        <f>AND(#REF!,"AAAAAG//6Z0=")</f>
        <v>#REF!</v>
      </c>
      <c r="FC105" t="e">
        <f>AND(#REF!,"AAAAAG//6Z4=")</f>
        <v>#REF!</v>
      </c>
      <c r="FD105" t="e">
        <f>AND(#REF!,"AAAAAG//6Z8=")</f>
        <v>#REF!</v>
      </c>
      <c r="FE105" t="e">
        <f>AND(#REF!,"AAAAAG//6aA=")</f>
        <v>#REF!</v>
      </c>
      <c r="FF105" t="e">
        <f>AND(#REF!,"AAAAAG//6aE=")</f>
        <v>#REF!</v>
      </c>
      <c r="FG105" t="e">
        <f>AND(#REF!,"AAAAAG//6aI=")</f>
        <v>#REF!</v>
      </c>
      <c r="FH105" t="e">
        <f>AND(#REF!,"AAAAAG//6aM=")</f>
        <v>#REF!</v>
      </c>
      <c r="FI105" t="e">
        <f>AND(#REF!,"AAAAAG//6aQ=")</f>
        <v>#REF!</v>
      </c>
      <c r="FJ105" t="e">
        <f>AND(#REF!,"AAAAAG//6aU=")</f>
        <v>#REF!</v>
      </c>
      <c r="FK105" t="e">
        <f>AND(#REF!,"AAAAAG//6aY=")</f>
        <v>#REF!</v>
      </c>
      <c r="FL105" t="e">
        <f>AND(#REF!,"AAAAAG//6ac=")</f>
        <v>#REF!</v>
      </c>
      <c r="FM105" t="e">
        <f>AND(#REF!,"AAAAAG//6ag=")</f>
        <v>#REF!</v>
      </c>
      <c r="FN105" t="e">
        <f>AND(#REF!,"AAAAAG//6ak=")</f>
        <v>#REF!</v>
      </c>
      <c r="FO105" t="e">
        <f>AND(#REF!,"AAAAAG//6ao=")</f>
        <v>#REF!</v>
      </c>
      <c r="FP105" t="e">
        <f>AND(#REF!,"AAAAAG//6as=")</f>
        <v>#REF!</v>
      </c>
      <c r="FQ105" t="e">
        <f>AND(#REF!,"AAAAAG//6aw=")</f>
        <v>#REF!</v>
      </c>
      <c r="FR105" t="e">
        <f>AND(#REF!,"AAAAAG//6a0=")</f>
        <v>#REF!</v>
      </c>
      <c r="FS105" t="e">
        <f>AND(#REF!,"AAAAAG//6a4=")</f>
        <v>#REF!</v>
      </c>
      <c r="FT105" t="e">
        <f>AND(#REF!,"AAAAAG//6a8=")</f>
        <v>#REF!</v>
      </c>
      <c r="FU105" t="e">
        <f>AND(#REF!,"AAAAAG//6bA=")</f>
        <v>#REF!</v>
      </c>
      <c r="FV105" t="e">
        <f>AND(#REF!,"AAAAAG//6bE=")</f>
        <v>#REF!</v>
      </c>
      <c r="FW105" t="e">
        <f>AND(#REF!,"AAAAAG//6bI=")</f>
        <v>#REF!</v>
      </c>
      <c r="FX105" t="e">
        <f>AND(#REF!,"AAAAAG//6bM=")</f>
        <v>#REF!</v>
      </c>
      <c r="FY105" t="e">
        <f>AND(#REF!,"AAAAAG//6bQ=")</f>
        <v>#REF!</v>
      </c>
      <c r="FZ105" t="e">
        <f>AND(#REF!,"AAAAAG//6bU=")</f>
        <v>#REF!</v>
      </c>
      <c r="GA105" t="e">
        <f>AND(#REF!,"AAAAAG//6bY=")</f>
        <v>#REF!</v>
      </c>
      <c r="GB105" t="e">
        <f>AND(#REF!,"AAAAAG//6bc=")</f>
        <v>#REF!</v>
      </c>
      <c r="GC105" t="e">
        <f>AND(#REF!,"AAAAAG//6bg=")</f>
        <v>#REF!</v>
      </c>
      <c r="GD105" t="e">
        <f>AND(#REF!,"AAAAAG//6bk=")</f>
        <v>#REF!</v>
      </c>
      <c r="GE105" t="e">
        <f>AND(#REF!,"AAAAAG//6bo=")</f>
        <v>#REF!</v>
      </c>
      <c r="GF105" t="e">
        <f>AND(#REF!,"AAAAAG//6bs=")</f>
        <v>#REF!</v>
      </c>
      <c r="GG105" t="e">
        <f>AND(#REF!,"AAAAAG//6bw=")</f>
        <v>#REF!</v>
      </c>
      <c r="GH105" t="e">
        <f>AND(#REF!,"AAAAAG//6b0=")</f>
        <v>#REF!</v>
      </c>
      <c r="GI105" t="e">
        <f>AND(#REF!,"AAAAAG//6b4=")</f>
        <v>#REF!</v>
      </c>
      <c r="GJ105" t="e">
        <f>AND(#REF!,"AAAAAG//6b8=")</f>
        <v>#REF!</v>
      </c>
      <c r="GK105" t="e">
        <f>AND(#REF!,"AAAAAG//6cA=")</f>
        <v>#REF!</v>
      </c>
      <c r="GL105" t="e">
        <f>AND(#REF!,"AAAAAG//6cE=")</f>
        <v>#REF!</v>
      </c>
      <c r="GM105" t="e">
        <f>AND(#REF!,"AAAAAG//6cI=")</f>
        <v>#REF!</v>
      </c>
      <c r="GN105" t="e">
        <f>AND(#REF!,"AAAAAG//6cM=")</f>
        <v>#REF!</v>
      </c>
      <c r="GO105" t="e">
        <f>AND(#REF!,"AAAAAG//6cQ=")</f>
        <v>#REF!</v>
      </c>
      <c r="GP105" t="e">
        <f>AND(#REF!,"AAAAAG//6cU=")</f>
        <v>#REF!</v>
      </c>
      <c r="GQ105" t="e">
        <f>AND(#REF!,"AAAAAG//6cY=")</f>
        <v>#REF!</v>
      </c>
      <c r="GR105" t="e">
        <f>AND(#REF!,"AAAAAG//6cc=")</f>
        <v>#REF!</v>
      </c>
      <c r="GS105" t="e">
        <f>AND(#REF!,"AAAAAG//6cg=")</f>
        <v>#REF!</v>
      </c>
      <c r="GT105" t="e">
        <f>AND(#REF!,"AAAAAG//6ck=")</f>
        <v>#REF!</v>
      </c>
      <c r="GU105" t="e">
        <f>AND(#REF!,"AAAAAG//6co=")</f>
        <v>#REF!</v>
      </c>
      <c r="GV105" t="e">
        <f>AND(#REF!,"AAAAAG//6cs=")</f>
        <v>#REF!</v>
      </c>
      <c r="GW105" t="e">
        <f>AND(#REF!,"AAAAAG//6cw=")</f>
        <v>#REF!</v>
      </c>
      <c r="GX105" t="e">
        <f>AND(#REF!,"AAAAAG//6c0=")</f>
        <v>#REF!</v>
      </c>
      <c r="GY105" t="e">
        <f>AND(#REF!,"AAAAAG//6c4=")</f>
        <v>#REF!</v>
      </c>
      <c r="GZ105" t="e">
        <f>AND(#REF!,"AAAAAG//6c8=")</f>
        <v>#REF!</v>
      </c>
      <c r="HA105" t="e">
        <f>AND(#REF!,"AAAAAG//6dA=")</f>
        <v>#REF!</v>
      </c>
      <c r="HB105" t="e">
        <f>AND(#REF!,"AAAAAG//6dE=")</f>
        <v>#REF!</v>
      </c>
      <c r="HC105" t="e">
        <f>AND(#REF!,"AAAAAG//6dI=")</f>
        <v>#REF!</v>
      </c>
      <c r="HD105" t="e">
        <f>AND(#REF!,"AAAAAG//6dM=")</f>
        <v>#REF!</v>
      </c>
      <c r="HE105" t="e">
        <f>AND(#REF!,"AAAAAG//6dQ=")</f>
        <v>#REF!</v>
      </c>
      <c r="HF105" t="e">
        <f>AND(#REF!,"AAAAAG//6dU=")</f>
        <v>#REF!</v>
      </c>
      <c r="HG105" t="e">
        <f>AND(#REF!,"AAAAAG//6dY=")</f>
        <v>#REF!</v>
      </c>
      <c r="HH105" t="e">
        <f>AND(#REF!,"AAAAAG//6dc=")</f>
        <v>#REF!</v>
      </c>
      <c r="HI105" t="e">
        <f>AND(#REF!,"AAAAAG//6dg=")</f>
        <v>#REF!</v>
      </c>
      <c r="HJ105" t="e">
        <f>AND(#REF!,"AAAAAG//6dk=")</f>
        <v>#REF!</v>
      </c>
      <c r="HK105" t="e">
        <f>AND(#REF!,"AAAAAG//6do=")</f>
        <v>#REF!</v>
      </c>
      <c r="HL105" t="e">
        <f>AND(#REF!,"AAAAAG//6ds=")</f>
        <v>#REF!</v>
      </c>
      <c r="HM105" t="e">
        <f>AND(#REF!,"AAAAAG//6dw=")</f>
        <v>#REF!</v>
      </c>
      <c r="HN105" t="e">
        <f>AND(#REF!,"AAAAAG//6d0=")</f>
        <v>#REF!</v>
      </c>
      <c r="HO105" t="e">
        <f>AND(#REF!,"AAAAAG//6d4=")</f>
        <v>#REF!</v>
      </c>
      <c r="HP105" t="e">
        <f>AND(#REF!,"AAAAAG//6d8=")</f>
        <v>#REF!</v>
      </c>
      <c r="HQ105" t="e">
        <f>AND(#REF!,"AAAAAG//6eA=")</f>
        <v>#REF!</v>
      </c>
      <c r="HR105" t="e">
        <f>AND(#REF!,"AAAAAG//6eE=")</f>
        <v>#REF!</v>
      </c>
      <c r="HS105" t="e">
        <f>AND(#REF!,"AAAAAG//6eI=")</f>
        <v>#REF!</v>
      </c>
      <c r="HT105" t="e">
        <f>AND(#REF!,"AAAAAG//6eM=")</f>
        <v>#REF!</v>
      </c>
      <c r="HU105" t="e">
        <f>AND(#REF!,"AAAAAG//6eQ=")</f>
        <v>#REF!</v>
      </c>
      <c r="HV105" t="e">
        <f>AND(#REF!,"AAAAAG//6eU=")</f>
        <v>#REF!</v>
      </c>
      <c r="HW105" t="e">
        <f>AND(#REF!,"AAAAAG//6eY=")</f>
        <v>#REF!</v>
      </c>
      <c r="HX105" t="e">
        <f>AND(#REF!,"AAAAAG//6ec=")</f>
        <v>#REF!</v>
      </c>
      <c r="HY105" t="e">
        <f>AND(#REF!,"AAAAAG//6eg=")</f>
        <v>#REF!</v>
      </c>
      <c r="HZ105" t="e">
        <f>AND(#REF!,"AAAAAG//6ek=")</f>
        <v>#REF!</v>
      </c>
      <c r="IA105" t="e">
        <f>AND(#REF!,"AAAAAG//6eo=")</f>
        <v>#REF!</v>
      </c>
      <c r="IB105" t="e">
        <f>AND(#REF!,"AAAAAG//6es=")</f>
        <v>#REF!</v>
      </c>
      <c r="IC105" t="e">
        <f>AND(#REF!,"AAAAAG//6ew=")</f>
        <v>#REF!</v>
      </c>
      <c r="ID105" t="e">
        <f>AND(#REF!,"AAAAAG//6e0=")</f>
        <v>#REF!</v>
      </c>
      <c r="IE105" t="e">
        <f>AND(#REF!,"AAAAAG//6e4=")</f>
        <v>#REF!</v>
      </c>
      <c r="IF105" t="e">
        <f>AND(#REF!,"AAAAAG//6e8=")</f>
        <v>#REF!</v>
      </c>
      <c r="IG105" t="e">
        <f>AND(#REF!,"AAAAAG//6fA=")</f>
        <v>#REF!</v>
      </c>
      <c r="IH105" t="e">
        <f>AND(#REF!,"AAAAAG//6fE=")</f>
        <v>#REF!</v>
      </c>
      <c r="II105" t="e">
        <f>AND(#REF!,"AAAAAG//6fI=")</f>
        <v>#REF!</v>
      </c>
      <c r="IJ105" t="e">
        <f>AND(#REF!,"AAAAAG//6fM=")</f>
        <v>#REF!</v>
      </c>
      <c r="IK105" t="e">
        <f>AND(#REF!,"AAAAAG//6fQ=")</f>
        <v>#REF!</v>
      </c>
      <c r="IL105" t="e">
        <f>AND(#REF!,"AAAAAG//6fU=")</f>
        <v>#REF!</v>
      </c>
      <c r="IM105" t="e">
        <f>AND(#REF!,"AAAAAG//6fY=")</f>
        <v>#REF!</v>
      </c>
      <c r="IN105" t="e">
        <f>AND(#REF!,"AAAAAG//6fc=")</f>
        <v>#REF!</v>
      </c>
      <c r="IO105" t="e">
        <f>AND(#REF!,"AAAAAG//6fg=")</f>
        <v>#REF!</v>
      </c>
      <c r="IP105" t="e">
        <f>AND(#REF!,"AAAAAG//6fk=")</f>
        <v>#REF!</v>
      </c>
      <c r="IQ105" t="e">
        <f>AND(#REF!,"AAAAAG//6fo=")</f>
        <v>#REF!</v>
      </c>
      <c r="IR105" t="e">
        <f>AND(#REF!,"AAAAAG//6fs=")</f>
        <v>#REF!</v>
      </c>
      <c r="IS105" t="e">
        <f>AND(#REF!,"AAAAAG//6fw=")</f>
        <v>#REF!</v>
      </c>
      <c r="IT105" t="e">
        <f>AND(#REF!,"AAAAAG//6f0=")</f>
        <v>#REF!</v>
      </c>
      <c r="IU105" t="e">
        <f>AND(#REF!,"AAAAAG//6f4=")</f>
        <v>#REF!</v>
      </c>
      <c r="IV105" t="e">
        <f>AND(#REF!,"AAAAAG//6f8=")</f>
        <v>#REF!</v>
      </c>
    </row>
    <row r="106" spans="1:256">
      <c r="A106" t="e">
        <f>AND(#REF!,"AAAAADd7dAA=")</f>
        <v>#REF!</v>
      </c>
      <c r="B106" t="e">
        <f>AND(#REF!,"AAAAADd7dAE=")</f>
        <v>#REF!</v>
      </c>
      <c r="C106" t="e">
        <f>AND(#REF!,"AAAAADd7dAI=")</f>
        <v>#REF!</v>
      </c>
      <c r="D106" t="e">
        <f>AND(#REF!,"AAAAADd7dAM=")</f>
        <v>#REF!</v>
      </c>
      <c r="E106" t="e">
        <f>AND(#REF!,"AAAAADd7dAQ=")</f>
        <v>#REF!</v>
      </c>
      <c r="F106" t="e">
        <f>AND(#REF!,"AAAAADd7dAU=")</f>
        <v>#REF!</v>
      </c>
      <c r="G106" t="e">
        <f>AND(#REF!,"AAAAADd7dAY=")</f>
        <v>#REF!</v>
      </c>
      <c r="H106" t="e">
        <f>AND(#REF!,"AAAAADd7dAc=")</f>
        <v>#REF!</v>
      </c>
      <c r="I106" t="e">
        <f>AND(#REF!,"AAAAADd7dAg=")</f>
        <v>#REF!</v>
      </c>
      <c r="J106" t="e">
        <f>AND(#REF!,"AAAAADd7dAk=")</f>
        <v>#REF!</v>
      </c>
      <c r="K106" t="e">
        <f>AND(#REF!,"AAAAADd7dAo=")</f>
        <v>#REF!</v>
      </c>
      <c r="L106" t="e">
        <f>AND(#REF!,"AAAAADd7dAs=")</f>
        <v>#REF!</v>
      </c>
      <c r="M106" t="e">
        <f>AND(#REF!,"AAAAADd7dAw=")</f>
        <v>#REF!</v>
      </c>
      <c r="N106" t="e">
        <f>AND(#REF!,"AAAAADd7dA0=")</f>
        <v>#REF!</v>
      </c>
      <c r="O106" t="e">
        <f>AND(#REF!,"AAAAADd7dA4=")</f>
        <v>#REF!</v>
      </c>
      <c r="P106" t="e">
        <f>AND(#REF!,"AAAAADd7dA8=")</f>
        <v>#REF!</v>
      </c>
      <c r="Q106" t="e">
        <f>AND(#REF!,"AAAAADd7dBA=")</f>
        <v>#REF!</v>
      </c>
      <c r="R106" t="e">
        <f>AND(#REF!,"AAAAADd7dBE=")</f>
        <v>#REF!</v>
      </c>
      <c r="S106" t="e">
        <f>AND(#REF!,"AAAAADd7dBI=")</f>
        <v>#REF!</v>
      </c>
      <c r="T106" t="e">
        <f>AND(#REF!,"AAAAADd7dBM=")</f>
        <v>#REF!</v>
      </c>
      <c r="U106" t="e">
        <f>AND(#REF!,"AAAAADd7dBQ=")</f>
        <v>#REF!</v>
      </c>
      <c r="V106" t="e">
        <f>AND(#REF!,"AAAAADd7dBU=")</f>
        <v>#REF!</v>
      </c>
      <c r="W106" t="e">
        <f>AND(#REF!,"AAAAADd7dBY=")</f>
        <v>#REF!</v>
      </c>
      <c r="X106" t="e">
        <f>AND(#REF!,"AAAAADd7dBc=")</f>
        <v>#REF!</v>
      </c>
      <c r="Y106" t="e">
        <f>AND(#REF!,"AAAAADd7dBg=")</f>
        <v>#REF!</v>
      </c>
      <c r="Z106" t="e">
        <f>AND(#REF!,"AAAAADd7dBk=")</f>
        <v>#REF!</v>
      </c>
      <c r="AA106" t="e">
        <f>AND(#REF!,"AAAAADd7dBo=")</f>
        <v>#REF!</v>
      </c>
      <c r="AB106" t="e">
        <f>AND(#REF!,"AAAAADd7dBs=")</f>
        <v>#REF!</v>
      </c>
      <c r="AC106" t="e">
        <f>AND(#REF!,"AAAAADd7dBw=")</f>
        <v>#REF!</v>
      </c>
      <c r="AD106" t="e">
        <f>AND(#REF!,"AAAAADd7dB0=")</f>
        <v>#REF!</v>
      </c>
      <c r="AE106" t="e">
        <f>AND(#REF!,"AAAAADd7dB4=")</f>
        <v>#REF!</v>
      </c>
      <c r="AF106" t="e">
        <f>AND(#REF!,"AAAAADd7dB8=")</f>
        <v>#REF!</v>
      </c>
      <c r="AG106" t="e">
        <f>AND(#REF!,"AAAAADd7dCA=")</f>
        <v>#REF!</v>
      </c>
      <c r="AH106" t="e">
        <f>AND(#REF!,"AAAAADd7dCE=")</f>
        <v>#REF!</v>
      </c>
      <c r="AI106" t="e">
        <f>AND(#REF!,"AAAAADd7dCI=")</f>
        <v>#REF!</v>
      </c>
      <c r="AJ106" t="e">
        <f>AND(#REF!,"AAAAADd7dCM=")</f>
        <v>#REF!</v>
      </c>
      <c r="AK106" t="e">
        <f>AND(#REF!,"AAAAADd7dCQ=")</f>
        <v>#REF!</v>
      </c>
      <c r="AL106" t="e">
        <f>AND(#REF!,"AAAAADd7dCU=")</f>
        <v>#REF!</v>
      </c>
      <c r="AM106" t="e">
        <f>AND(#REF!,"AAAAADd7dCY=")</f>
        <v>#REF!</v>
      </c>
      <c r="AN106" t="e">
        <f>AND(#REF!,"AAAAADd7dCc=")</f>
        <v>#REF!</v>
      </c>
      <c r="AO106" t="e">
        <f>AND(#REF!,"AAAAADd7dCg=")</f>
        <v>#REF!</v>
      </c>
      <c r="AP106" t="e">
        <f>AND(#REF!,"AAAAADd7dCk=")</f>
        <v>#REF!</v>
      </c>
      <c r="AQ106" t="e">
        <f>AND(#REF!,"AAAAADd7dCo=")</f>
        <v>#REF!</v>
      </c>
      <c r="AR106" t="e">
        <f>AND(#REF!,"AAAAADd7dCs=")</f>
        <v>#REF!</v>
      </c>
      <c r="AS106" t="e">
        <f>AND(#REF!,"AAAAADd7dCw=")</f>
        <v>#REF!</v>
      </c>
      <c r="AT106" t="e">
        <f>AND(#REF!,"AAAAADd7dC0=")</f>
        <v>#REF!</v>
      </c>
      <c r="AU106" t="e">
        <f>AND(#REF!,"AAAAADd7dC4=")</f>
        <v>#REF!</v>
      </c>
      <c r="AV106" t="e">
        <f>AND(#REF!,"AAAAADd7dC8=")</f>
        <v>#REF!</v>
      </c>
      <c r="AW106" t="e">
        <f>AND(#REF!,"AAAAADd7dDA=")</f>
        <v>#REF!</v>
      </c>
      <c r="AX106" t="e">
        <f>AND(#REF!,"AAAAADd7dDE=")</f>
        <v>#REF!</v>
      </c>
      <c r="AY106" t="e">
        <f>AND(#REF!,"AAAAADd7dDI=")</f>
        <v>#REF!</v>
      </c>
      <c r="AZ106" t="e">
        <f>AND(#REF!,"AAAAADd7dDM=")</f>
        <v>#REF!</v>
      </c>
      <c r="BA106" t="e">
        <f>AND(#REF!,"AAAAADd7dDQ=")</f>
        <v>#REF!</v>
      </c>
      <c r="BB106" t="e">
        <f>AND(#REF!,"AAAAADd7dDU=")</f>
        <v>#REF!</v>
      </c>
      <c r="BC106" t="e">
        <f>AND(#REF!,"AAAAADd7dDY=")</f>
        <v>#REF!</v>
      </c>
      <c r="BD106" t="e">
        <f>AND(#REF!,"AAAAADd7dDc=")</f>
        <v>#REF!</v>
      </c>
      <c r="BE106" t="e">
        <f>AND(#REF!,"AAAAADd7dDg=")</f>
        <v>#REF!</v>
      </c>
      <c r="BF106" t="e">
        <f>AND(#REF!,"AAAAADd7dDk=")</f>
        <v>#REF!</v>
      </c>
      <c r="BG106" t="e">
        <f>AND(#REF!,"AAAAADd7dDo=")</f>
        <v>#REF!</v>
      </c>
      <c r="BH106" t="e">
        <f>AND(#REF!,"AAAAADd7dDs=")</f>
        <v>#REF!</v>
      </c>
      <c r="BI106" t="e">
        <f>AND(#REF!,"AAAAADd7dDw=")</f>
        <v>#REF!</v>
      </c>
      <c r="BJ106" t="e">
        <f>AND(#REF!,"AAAAADd7dD0=")</f>
        <v>#REF!</v>
      </c>
      <c r="BK106" t="e">
        <f>AND(#REF!,"AAAAADd7dD4=")</f>
        <v>#REF!</v>
      </c>
      <c r="BL106" t="e">
        <f>AND(#REF!,"AAAAADd7dD8=")</f>
        <v>#REF!</v>
      </c>
      <c r="BM106" t="e">
        <f>AND(#REF!,"AAAAADd7dEA=")</f>
        <v>#REF!</v>
      </c>
      <c r="BN106" t="e">
        <f>AND(#REF!,"AAAAADd7dEE=")</f>
        <v>#REF!</v>
      </c>
      <c r="BO106" t="e">
        <f>AND(#REF!,"AAAAADd7dEI=")</f>
        <v>#REF!</v>
      </c>
      <c r="BP106" t="e">
        <f>AND(#REF!,"AAAAADd7dEM=")</f>
        <v>#REF!</v>
      </c>
      <c r="BQ106" t="e">
        <f>AND(#REF!,"AAAAADd7dEQ=")</f>
        <v>#REF!</v>
      </c>
      <c r="BR106" t="e">
        <f>AND(#REF!,"AAAAADd7dEU=")</f>
        <v>#REF!</v>
      </c>
      <c r="BS106" t="e">
        <f>AND(#REF!,"AAAAADd7dEY=")</f>
        <v>#REF!</v>
      </c>
      <c r="BT106" t="e">
        <f>AND(#REF!,"AAAAADd7dEc=")</f>
        <v>#REF!</v>
      </c>
      <c r="BU106" t="e">
        <f>AND(#REF!,"AAAAADd7dEg=")</f>
        <v>#REF!</v>
      </c>
      <c r="BV106" t="e">
        <f>AND(#REF!,"AAAAADd7dEk=")</f>
        <v>#REF!</v>
      </c>
      <c r="BW106" t="e">
        <f>AND(#REF!,"AAAAADd7dEo=")</f>
        <v>#REF!</v>
      </c>
      <c r="BX106" t="e">
        <f>AND(#REF!,"AAAAADd7dEs=")</f>
        <v>#REF!</v>
      </c>
      <c r="BY106" t="e">
        <f>AND(#REF!,"AAAAADd7dEw=")</f>
        <v>#REF!</v>
      </c>
      <c r="BZ106" t="e">
        <f>AND(#REF!,"AAAAADd7dE0=")</f>
        <v>#REF!</v>
      </c>
      <c r="CA106" t="e">
        <f>AND(#REF!,"AAAAADd7dE4=")</f>
        <v>#REF!</v>
      </c>
      <c r="CB106" t="e">
        <f>AND(#REF!,"AAAAADd7dE8=")</f>
        <v>#REF!</v>
      </c>
      <c r="CC106" t="e">
        <f>AND(#REF!,"AAAAADd7dFA=")</f>
        <v>#REF!</v>
      </c>
      <c r="CD106" t="e">
        <f>AND(#REF!,"AAAAADd7dFE=")</f>
        <v>#REF!</v>
      </c>
      <c r="CE106" t="e">
        <f>AND(#REF!,"AAAAADd7dFI=")</f>
        <v>#REF!</v>
      </c>
      <c r="CF106" t="e">
        <f>AND(#REF!,"AAAAADd7dFM=")</f>
        <v>#REF!</v>
      </c>
      <c r="CG106" t="e">
        <f>AND(#REF!,"AAAAADd7dFQ=")</f>
        <v>#REF!</v>
      </c>
      <c r="CH106" t="e">
        <f>AND(#REF!,"AAAAADd7dFU=")</f>
        <v>#REF!</v>
      </c>
      <c r="CI106" t="e">
        <f>AND(#REF!,"AAAAADd7dFY=")</f>
        <v>#REF!</v>
      </c>
      <c r="CJ106" t="e">
        <f>AND(#REF!,"AAAAADd7dFc=")</f>
        <v>#REF!</v>
      </c>
      <c r="CK106" t="e">
        <f>AND(#REF!,"AAAAADd7dFg=")</f>
        <v>#REF!</v>
      </c>
      <c r="CL106" t="e">
        <f>AND(#REF!,"AAAAADd7dFk=")</f>
        <v>#REF!</v>
      </c>
      <c r="CM106" t="e">
        <f>AND(#REF!,"AAAAADd7dFo=")</f>
        <v>#REF!</v>
      </c>
      <c r="CN106" t="e">
        <f>AND(#REF!,"AAAAADd7dFs=")</f>
        <v>#REF!</v>
      </c>
      <c r="CO106" t="e">
        <f>AND(#REF!,"AAAAADd7dFw=")</f>
        <v>#REF!</v>
      </c>
      <c r="CP106" t="e">
        <f>AND(#REF!,"AAAAADd7dF0=")</f>
        <v>#REF!</v>
      </c>
      <c r="CQ106" t="e">
        <f>AND(#REF!,"AAAAADd7dF4=")</f>
        <v>#REF!</v>
      </c>
      <c r="CR106" t="e">
        <f>AND(#REF!,"AAAAADd7dF8=")</f>
        <v>#REF!</v>
      </c>
      <c r="CS106" t="e">
        <f>AND(#REF!,"AAAAADd7dGA=")</f>
        <v>#REF!</v>
      </c>
      <c r="CT106" t="e">
        <f>AND(#REF!,"AAAAADd7dGE=")</f>
        <v>#REF!</v>
      </c>
      <c r="CU106" t="e">
        <f>AND(#REF!,"AAAAADd7dGI=")</f>
        <v>#REF!</v>
      </c>
      <c r="CV106" t="e">
        <f>AND(#REF!,"AAAAADd7dGM=")</f>
        <v>#REF!</v>
      </c>
      <c r="CW106" t="e">
        <f>AND(#REF!,"AAAAADd7dGQ=")</f>
        <v>#REF!</v>
      </c>
      <c r="CX106" t="e">
        <f>AND(#REF!,"AAAAADd7dGU=")</f>
        <v>#REF!</v>
      </c>
      <c r="CY106" t="e">
        <f>AND(#REF!,"AAAAADd7dGY=")</f>
        <v>#REF!</v>
      </c>
      <c r="CZ106" t="e">
        <f>AND(#REF!,"AAAAADd7dGc=")</f>
        <v>#REF!</v>
      </c>
      <c r="DA106" t="e">
        <f>AND(#REF!,"AAAAADd7dGg=")</f>
        <v>#REF!</v>
      </c>
      <c r="DB106" t="e">
        <f>AND(#REF!,"AAAAADd7dGk=")</f>
        <v>#REF!</v>
      </c>
      <c r="DC106" t="e">
        <f>AND(#REF!,"AAAAADd7dGo=")</f>
        <v>#REF!</v>
      </c>
      <c r="DD106" t="e">
        <f>AND(#REF!,"AAAAADd7dGs=")</f>
        <v>#REF!</v>
      </c>
      <c r="DE106" t="e">
        <f>AND(#REF!,"AAAAADd7dGw=")</f>
        <v>#REF!</v>
      </c>
      <c r="DF106" t="e">
        <f>AND(#REF!,"AAAAADd7dG0=")</f>
        <v>#REF!</v>
      </c>
      <c r="DG106" t="e">
        <f>AND(#REF!,"AAAAADd7dG4=")</f>
        <v>#REF!</v>
      </c>
      <c r="DH106" t="e">
        <f>AND(#REF!,"AAAAADd7dG8=")</f>
        <v>#REF!</v>
      </c>
      <c r="DI106" t="e">
        <f>AND(#REF!,"AAAAADd7dHA=")</f>
        <v>#REF!</v>
      </c>
      <c r="DJ106" t="e">
        <f>AND(#REF!,"AAAAADd7dHE=")</f>
        <v>#REF!</v>
      </c>
      <c r="DK106" t="e">
        <f>AND(#REF!,"AAAAADd7dHI=")</f>
        <v>#REF!</v>
      </c>
      <c r="DL106" t="e">
        <f>AND(#REF!,"AAAAADd7dHM=")</f>
        <v>#REF!</v>
      </c>
      <c r="DM106" t="e">
        <f>AND(#REF!,"AAAAADd7dHQ=")</f>
        <v>#REF!</v>
      </c>
      <c r="DN106" t="e">
        <f>AND(#REF!,"AAAAADd7dHU=")</f>
        <v>#REF!</v>
      </c>
      <c r="DO106" t="e">
        <f>AND(#REF!,"AAAAADd7dHY=")</f>
        <v>#REF!</v>
      </c>
      <c r="DP106" t="e">
        <f>AND(#REF!,"AAAAADd7dHc=")</f>
        <v>#REF!</v>
      </c>
      <c r="DQ106" t="e">
        <f>AND(#REF!,"AAAAADd7dHg=")</f>
        <v>#REF!</v>
      </c>
      <c r="DR106" t="e">
        <f>AND(#REF!,"AAAAADd7dHk=")</f>
        <v>#REF!</v>
      </c>
      <c r="DS106" t="e">
        <f>AND(#REF!,"AAAAADd7dHo=")</f>
        <v>#REF!</v>
      </c>
      <c r="DT106" t="e">
        <f>AND(#REF!,"AAAAADd7dHs=")</f>
        <v>#REF!</v>
      </c>
      <c r="DU106" t="e">
        <f>AND(#REF!,"AAAAADd7dHw=")</f>
        <v>#REF!</v>
      </c>
      <c r="DV106" t="e">
        <f>AND(#REF!,"AAAAADd7dH0=")</f>
        <v>#REF!</v>
      </c>
      <c r="DW106" t="e">
        <f>AND(#REF!,"AAAAADd7dH4=")</f>
        <v>#REF!</v>
      </c>
      <c r="DX106" t="e">
        <f>AND(#REF!,"AAAAADd7dH8=")</f>
        <v>#REF!</v>
      </c>
      <c r="DY106" t="e">
        <f>AND(#REF!,"AAAAADd7dIA=")</f>
        <v>#REF!</v>
      </c>
      <c r="DZ106" t="e">
        <f>AND(#REF!,"AAAAADd7dIE=")</f>
        <v>#REF!</v>
      </c>
      <c r="EA106" t="e">
        <f>AND(#REF!,"AAAAADd7dII=")</f>
        <v>#REF!</v>
      </c>
      <c r="EB106" t="e">
        <f>AND(#REF!,"AAAAADd7dIM=")</f>
        <v>#REF!</v>
      </c>
      <c r="EC106" t="e">
        <f>AND(#REF!,"AAAAADd7dIQ=")</f>
        <v>#REF!</v>
      </c>
      <c r="ED106" t="e">
        <f>AND(#REF!,"AAAAADd7dIU=")</f>
        <v>#REF!</v>
      </c>
      <c r="EE106" t="e">
        <f>AND(#REF!,"AAAAADd7dIY=")</f>
        <v>#REF!</v>
      </c>
      <c r="EF106" t="e">
        <f>AND(#REF!,"AAAAADd7dIc=")</f>
        <v>#REF!</v>
      </c>
      <c r="EG106" t="e">
        <f>AND(#REF!,"AAAAADd7dIg=")</f>
        <v>#REF!</v>
      </c>
      <c r="EH106" t="e">
        <f>AND(#REF!,"AAAAADd7dIk=")</f>
        <v>#REF!</v>
      </c>
      <c r="EI106" t="e">
        <f>AND(#REF!,"AAAAADd7dIo=")</f>
        <v>#REF!</v>
      </c>
      <c r="EJ106" t="e">
        <f>AND(#REF!,"AAAAADd7dIs=")</f>
        <v>#REF!</v>
      </c>
      <c r="EK106" t="e">
        <f>AND(#REF!,"AAAAADd7dIw=")</f>
        <v>#REF!</v>
      </c>
      <c r="EL106" t="e">
        <f>AND(#REF!,"AAAAADd7dI0=")</f>
        <v>#REF!</v>
      </c>
      <c r="EM106" t="e">
        <f>AND(#REF!,"AAAAADd7dI4=")</f>
        <v>#REF!</v>
      </c>
      <c r="EN106" t="e">
        <f>AND(#REF!,"AAAAADd7dI8=")</f>
        <v>#REF!</v>
      </c>
      <c r="EO106" t="e">
        <f>AND(#REF!,"AAAAADd7dJA=")</f>
        <v>#REF!</v>
      </c>
      <c r="EP106" t="e">
        <f>AND(#REF!,"AAAAADd7dJE=")</f>
        <v>#REF!</v>
      </c>
      <c r="EQ106" t="e">
        <f>AND(#REF!,"AAAAADd7dJI=")</f>
        <v>#REF!</v>
      </c>
      <c r="ER106" t="e">
        <f>AND(#REF!,"AAAAADd7dJM=")</f>
        <v>#REF!</v>
      </c>
      <c r="ES106" t="e">
        <f>AND(#REF!,"AAAAADd7dJQ=")</f>
        <v>#REF!</v>
      </c>
      <c r="ET106" t="e">
        <f>AND(#REF!,"AAAAADd7dJU=")</f>
        <v>#REF!</v>
      </c>
      <c r="EU106" t="e">
        <f>AND(#REF!,"AAAAADd7dJY=")</f>
        <v>#REF!</v>
      </c>
      <c r="EV106" t="e">
        <f>AND(#REF!,"AAAAADd7dJc=")</f>
        <v>#REF!</v>
      </c>
      <c r="EW106" t="e">
        <f>AND(#REF!,"AAAAADd7dJg=")</f>
        <v>#REF!</v>
      </c>
      <c r="EX106" t="e">
        <f>AND(#REF!,"AAAAADd7dJk=")</f>
        <v>#REF!</v>
      </c>
      <c r="EY106" t="e">
        <f>AND(#REF!,"AAAAADd7dJo=")</f>
        <v>#REF!</v>
      </c>
      <c r="EZ106" t="e">
        <f>AND(#REF!,"AAAAADd7dJs=")</f>
        <v>#REF!</v>
      </c>
      <c r="FA106" t="e">
        <f>AND(#REF!,"AAAAADd7dJw=")</f>
        <v>#REF!</v>
      </c>
      <c r="FB106" t="e">
        <f>AND(#REF!,"AAAAADd7dJ0=")</f>
        <v>#REF!</v>
      </c>
      <c r="FC106" t="e">
        <f>AND(#REF!,"AAAAADd7dJ4=")</f>
        <v>#REF!</v>
      </c>
      <c r="FD106" t="e">
        <f>AND(#REF!,"AAAAADd7dJ8=")</f>
        <v>#REF!</v>
      </c>
      <c r="FE106" t="e">
        <f>AND(#REF!,"AAAAADd7dKA=")</f>
        <v>#REF!</v>
      </c>
      <c r="FF106" t="e">
        <f>AND(#REF!,"AAAAADd7dKE=")</f>
        <v>#REF!</v>
      </c>
      <c r="FG106" t="e">
        <f>AND(#REF!,"AAAAADd7dKI=")</f>
        <v>#REF!</v>
      </c>
      <c r="FH106" t="e">
        <f>AND(#REF!,"AAAAADd7dKM=")</f>
        <v>#REF!</v>
      </c>
      <c r="FI106" t="e">
        <f>AND(#REF!,"AAAAADd7dKQ=")</f>
        <v>#REF!</v>
      </c>
      <c r="FJ106" t="e">
        <f>AND(#REF!,"AAAAADd7dKU=")</f>
        <v>#REF!</v>
      </c>
      <c r="FK106" t="e">
        <f>AND(#REF!,"AAAAADd7dKY=")</f>
        <v>#REF!</v>
      </c>
      <c r="FL106" t="e">
        <f>AND(#REF!,"AAAAADd7dKc=")</f>
        <v>#REF!</v>
      </c>
      <c r="FM106" t="e">
        <f>AND(#REF!,"AAAAADd7dKg=")</f>
        <v>#REF!</v>
      </c>
      <c r="FN106" t="e">
        <f>AND(#REF!,"AAAAADd7dKk=")</f>
        <v>#REF!</v>
      </c>
      <c r="FO106" t="e">
        <f>AND(#REF!,"AAAAADd7dKo=")</f>
        <v>#REF!</v>
      </c>
      <c r="FP106" t="e">
        <f>AND(#REF!,"AAAAADd7dKs=")</f>
        <v>#REF!</v>
      </c>
      <c r="FQ106" t="e">
        <f>AND(#REF!,"AAAAADd7dKw=")</f>
        <v>#REF!</v>
      </c>
      <c r="FR106" t="e">
        <f>AND(#REF!,"AAAAADd7dK0=")</f>
        <v>#REF!</v>
      </c>
      <c r="FS106" t="e">
        <f>AND(#REF!,"AAAAADd7dK4=")</f>
        <v>#REF!</v>
      </c>
      <c r="FT106" t="e">
        <f>AND(#REF!,"AAAAADd7dK8=")</f>
        <v>#REF!</v>
      </c>
      <c r="FU106" t="e">
        <f>AND(#REF!,"AAAAADd7dLA=")</f>
        <v>#REF!</v>
      </c>
      <c r="FV106" t="e">
        <f>AND(#REF!,"AAAAADd7dLE=")</f>
        <v>#REF!</v>
      </c>
      <c r="FW106" t="e">
        <f>AND(#REF!,"AAAAADd7dLI=")</f>
        <v>#REF!</v>
      </c>
      <c r="FX106" t="e">
        <f>AND(#REF!,"AAAAADd7dLM=")</f>
        <v>#REF!</v>
      </c>
      <c r="FY106" t="e">
        <f>AND(#REF!,"AAAAADd7dLQ=")</f>
        <v>#REF!</v>
      </c>
      <c r="FZ106" t="e">
        <f>AND(#REF!,"AAAAADd7dLU=")</f>
        <v>#REF!</v>
      </c>
      <c r="GA106" t="e">
        <f>AND(#REF!,"AAAAADd7dLY=")</f>
        <v>#REF!</v>
      </c>
      <c r="GB106" t="e">
        <f>AND(#REF!,"AAAAADd7dLc=")</f>
        <v>#REF!</v>
      </c>
      <c r="GC106" t="e">
        <f>AND(#REF!,"AAAAADd7dLg=")</f>
        <v>#REF!</v>
      </c>
      <c r="GD106" t="e">
        <f>AND(#REF!,"AAAAADd7dLk=")</f>
        <v>#REF!</v>
      </c>
      <c r="GE106" t="e">
        <f>AND(#REF!,"AAAAADd7dLo=")</f>
        <v>#REF!</v>
      </c>
      <c r="GF106" t="e">
        <f>AND(#REF!,"AAAAADd7dLs=")</f>
        <v>#REF!</v>
      </c>
      <c r="GG106" t="e">
        <f>AND(#REF!,"AAAAADd7dLw=")</f>
        <v>#REF!</v>
      </c>
      <c r="GH106" t="e">
        <f>AND(#REF!,"AAAAADd7dL0=")</f>
        <v>#REF!</v>
      </c>
      <c r="GI106" t="e">
        <f>AND(#REF!,"AAAAADd7dL4=")</f>
        <v>#REF!</v>
      </c>
      <c r="GJ106" t="e">
        <f>AND(#REF!,"AAAAADd7dL8=")</f>
        <v>#REF!</v>
      </c>
      <c r="GK106" t="e">
        <f>AND(#REF!,"AAAAADd7dMA=")</f>
        <v>#REF!</v>
      </c>
      <c r="GL106" t="e">
        <f>AND(#REF!,"AAAAADd7dME=")</f>
        <v>#REF!</v>
      </c>
      <c r="GM106" t="e">
        <f>AND(#REF!,"AAAAADd7dMI=")</f>
        <v>#REF!</v>
      </c>
      <c r="GN106" t="e">
        <f>AND(#REF!,"AAAAADd7dMM=")</f>
        <v>#REF!</v>
      </c>
      <c r="GO106" t="e">
        <f>AND(#REF!,"AAAAADd7dMQ=")</f>
        <v>#REF!</v>
      </c>
      <c r="GP106" t="e">
        <f>AND(#REF!,"AAAAADd7dMU=")</f>
        <v>#REF!</v>
      </c>
      <c r="GQ106" t="e">
        <f>AND(#REF!,"AAAAADd7dMY=")</f>
        <v>#REF!</v>
      </c>
      <c r="GR106" t="e">
        <f>AND(#REF!,"AAAAADd7dMc=")</f>
        <v>#REF!</v>
      </c>
      <c r="GS106" t="e">
        <f>AND(#REF!,"AAAAADd7dMg=")</f>
        <v>#REF!</v>
      </c>
      <c r="GT106" t="e">
        <f>AND(#REF!,"AAAAADd7dMk=")</f>
        <v>#REF!</v>
      </c>
      <c r="GU106" t="e">
        <f>AND(#REF!,"AAAAADd7dMo=")</f>
        <v>#REF!</v>
      </c>
      <c r="GV106" t="e">
        <f>AND(#REF!,"AAAAADd7dMs=")</f>
        <v>#REF!</v>
      </c>
      <c r="GW106" t="e">
        <f>AND(#REF!,"AAAAADd7dMw=")</f>
        <v>#REF!</v>
      </c>
      <c r="GX106" t="e">
        <f>AND(#REF!,"AAAAADd7dM0=")</f>
        <v>#REF!</v>
      </c>
      <c r="GY106" t="e">
        <f>AND(#REF!,"AAAAADd7dM4=")</f>
        <v>#REF!</v>
      </c>
      <c r="GZ106" t="e">
        <f>AND(#REF!,"AAAAADd7dM8=")</f>
        <v>#REF!</v>
      </c>
      <c r="HA106" t="e">
        <f>AND(#REF!,"AAAAADd7dNA=")</f>
        <v>#REF!</v>
      </c>
      <c r="HB106" t="e">
        <f>AND(#REF!,"AAAAADd7dNE=")</f>
        <v>#REF!</v>
      </c>
      <c r="HC106" t="e">
        <f>AND(#REF!,"AAAAADd7dNI=")</f>
        <v>#REF!</v>
      </c>
      <c r="HD106" t="e">
        <f>AND(#REF!,"AAAAADd7dNM=")</f>
        <v>#REF!</v>
      </c>
      <c r="HE106" t="e">
        <f>AND(#REF!,"AAAAADd7dNQ=")</f>
        <v>#REF!</v>
      </c>
      <c r="HF106" t="e">
        <f>AND(#REF!,"AAAAADd7dNU=")</f>
        <v>#REF!</v>
      </c>
      <c r="HG106" t="e">
        <f>AND(#REF!,"AAAAADd7dNY=")</f>
        <v>#REF!</v>
      </c>
      <c r="HH106" t="e">
        <f>AND(#REF!,"AAAAADd7dNc=")</f>
        <v>#REF!</v>
      </c>
      <c r="HI106" t="e">
        <f>AND(#REF!,"AAAAADd7dNg=")</f>
        <v>#REF!</v>
      </c>
      <c r="HJ106" t="e">
        <f>AND(#REF!,"AAAAADd7dNk=")</f>
        <v>#REF!</v>
      </c>
      <c r="HK106" t="e">
        <f>AND(#REF!,"AAAAADd7dNo=")</f>
        <v>#REF!</v>
      </c>
      <c r="HL106" t="e">
        <f>AND(#REF!,"AAAAADd7dNs=")</f>
        <v>#REF!</v>
      </c>
      <c r="HM106" t="e">
        <f>AND(#REF!,"AAAAADd7dNw=")</f>
        <v>#REF!</v>
      </c>
      <c r="HN106" t="e">
        <f>AND(#REF!,"AAAAADd7dN0=")</f>
        <v>#REF!</v>
      </c>
      <c r="HO106" t="e">
        <f>AND(#REF!,"AAAAADd7dN4=")</f>
        <v>#REF!</v>
      </c>
      <c r="HP106" t="e">
        <f>AND(#REF!,"AAAAADd7dN8=")</f>
        <v>#REF!</v>
      </c>
      <c r="HQ106" t="e">
        <f>AND(#REF!,"AAAAADd7dOA=")</f>
        <v>#REF!</v>
      </c>
      <c r="HR106" t="e">
        <f>AND(#REF!,"AAAAADd7dOE=")</f>
        <v>#REF!</v>
      </c>
      <c r="HS106" t="e">
        <f>AND(#REF!,"AAAAADd7dOI=")</f>
        <v>#REF!</v>
      </c>
      <c r="HT106" t="e">
        <f>AND(#REF!,"AAAAADd7dOM=")</f>
        <v>#REF!</v>
      </c>
      <c r="HU106" t="e">
        <f>AND(#REF!,"AAAAADd7dOQ=")</f>
        <v>#REF!</v>
      </c>
      <c r="HV106" t="e">
        <f>AND(#REF!,"AAAAADd7dOU=")</f>
        <v>#REF!</v>
      </c>
      <c r="HW106" t="e">
        <f>AND(#REF!,"AAAAADd7dOY=")</f>
        <v>#REF!</v>
      </c>
      <c r="HX106" t="e">
        <f>AND(#REF!,"AAAAADd7dOc=")</f>
        <v>#REF!</v>
      </c>
      <c r="HY106" t="e">
        <f>AND(#REF!,"AAAAADd7dOg=")</f>
        <v>#REF!</v>
      </c>
      <c r="HZ106" t="e">
        <f>AND(#REF!,"AAAAADd7dOk=")</f>
        <v>#REF!</v>
      </c>
      <c r="IA106" t="e">
        <f>AND(#REF!,"AAAAADd7dOo=")</f>
        <v>#REF!</v>
      </c>
      <c r="IB106" t="e">
        <f>AND(#REF!,"AAAAADd7dOs=")</f>
        <v>#REF!</v>
      </c>
      <c r="IC106" t="e">
        <f>AND(#REF!,"AAAAADd7dOw=")</f>
        <v>#REF!</v>
      </c>
      <c r="ID106" t="e">
        <f>AND(#REF!,"AAAAADd7dO0=")</f>
        <v>#REF!</v>
      </c>
      <c r="IE106" t="e">
        <f>AND(#REF!,"AAAAADd7dO4=")</f>
        <v>#REF!</v>
      </c>
      <c r="IF106" t="e">
        <f>AND(#REF!,"AAAAADd7dO8=")</f>
        <v>#REF!</v>
      </c>
      <c r="IG106" t="e">
        <f>AND(#REF!,"AAAAADd7dPA=")</f>
        <v>#REF!</v>
      </c>
      <c r="IH106" t="e">
        <f>AND(#REF!,"AAAAADd7dPE=")</f>
        <v>#REF!</v>
      </c>
      <c r="II106" t="e">
        <f>AND(#REF!,"AAAAADd7dPI=")</f>
        <v>#REF!</v>
      </c>
      <c r="IJ106" t="e">
        <f>AND(#REF!,"AAAAADd7dPM=")</f>
        <v>#REF!</v>
      </c>
      <c r="IK106" t="e">
        <f>AND(#REF!,"AAAAADd7dPQ=")</f>
        <v>#REF!</v>
      </c>
      <c r="IL106" t="e">
        <f>AND(#REF!,"AAAAADd7dPU=")</f>
        <v>#REF!</v>
      </c>
      <c r="IM106" t="e">
        <f>AND(#REF!,"AAAAADd7dPY=")</f>
        <v>#REF!</v>
      </c>
      <c r="IN106" t="e">
        <f>AND(#REF!,"AAAAADd7dPc=")</f>
        <v>#REF!</v>
      </c>
      <c r="IO106" t="e">
        <f>AND(#REF!,"AAAAADd7dPg=")</f>
        <v>#REF!</v>
      </c>
      <c r="IP106" t="e">
        <f>AND(#REF!,"AAAAADd7dPk=")</f>
        <v>#REF!</v>
      </c>
      <c r="IQ106" t="e">
        <f>AND(#REF!,"AAAAADd7dPo=")</f>
        <v>#REF!</v>
      </c>
      <c r="IR106" t="e">
        <f>AND(#REF!,"AAAAADd7dPs=")</f>
        <v>#REF!</v>
      </c>
      <c r="IS106" t="e">
        <f>AND(#REF!,"AAAAADd7dPw=")</f>
        <v>#REF!</v>
      </c>
      <c r="IT106" t="e">
        <f>AND(#REF!,"AAAAADd7dP0=")</f>
        <v>#REF!</v>
      </c>
      <c r="IU106" t="e">
        <f>AND(#REF!,"AAAAADd7dP4=")</f>
        <v>#REF!</v>
      </c>
      <c r="IV106" t="e">
        <f>AND(#REF!,"AAAAADd7dP8=")</f>
        <v>#REF!</v>
      </c>
    </row>
    <row r="107" spans="1:256">
      <c r="A107" t="e">
        <f>AND(#REF!,"AAAAAGt2+gA=")</f>
        <v>#REF!</v>
      </c>
      <c r="B107" t="e">
        <f>AND(#REF!,"AAAAAGt2+gE=")</f>
        <v>#REF!</v>
      </c>
      <c r="C107" t="e">
        <f>AND(#REF!,"AAAAAGt2+gI=")</f>
        <v>#REF!</v>
      </c>
      <c r="D107" t="e">
        <f>AND(#REF!,"AAAAAGt2+gM=")</f>
        <v>#REF!</v>
      </c>
      <c r="E107" t="e">
        <f>AND(#REF!,"AAAAAGt2+gQ=")</f>
        <v>#REF!</v>
      </c>
      <c r="F107" t="e">
        <f>AND(#REF!,"AAAAAGt2+gU=")</f>
        <v>#REF!</v>
      </c>
      <c r="G107" t="e">
        <f>AND(#REF!,"AAAAAGt2+gY=")</f>
        <v>#REF!</v>
      </c>
      <c r="H107" t="e">
        <f>AND(#REF!,"AAAAAGt2+gc=")</f>
        <v>#REF!</v>
      </c>
      <c r="I107" t="e">
        <f>AND(#REF!,"AAAAAGt2+gg=")</f>
        <v>#REF!</v>
      </c>
      <c r="J107" t="e">
        <f>AND(#REF!,"AAAAAGt2+gk=")</f>
        <v>#REF!</v>
      </c>
      <c r="K107" t="e">
        <f>AND(#REF!,"AAAAAGt2+go=")</f>
        <v>#REF!</v>
      </c>
      <c r="L107" t="e">
        <f>AND(#REF!,"AAAAAGt2+gs=")</f>
        <v>#REF!</v>
      </c>
      <c r="M107" t="e">
        <f>AND(#REF!,"AAAAAGt2+gw=")</f>
        <v>#REF!</v>
      </c>
      <c r="N107" t="e">
        <f>AND(#REF!,"AAAAAGt2+g0=")</f>
        <v>#REF!</v>
      </c>
      <c r="O107" t="e">
        <f>AND(#REF!,"AAAAAGt2+g4=")</f>
        <v>#REF!</v>
      </c>
      <c r="P107" t="e">
        <f>AND(#REF!,"AAAAAGt2+g8=")</f>
        <v>#REF!</v>
      </c>
      <c r="Q107" t="e">
        <f>AND(#REF!,"AAAAAGt2+hA=")</f>
        <v>#REF!</v>
      </c>
      <c r="R107" t="e">
        <f>AND(#REF!,"AAAAAGt2+hE=")</f>
        <v>#REF!</v>
      </c>
      <c r="S107" t="e">
        <f>AND(#REF!,"AAAAAGt2+hI=")</f>
        <v>#REF!</v>
      </c>
      <c r="T107" t="e">
        <f>AND(#REF!,"AAAAAGt2+hM=")</f>
        <v>#REF!</v>
      </c>
      <c r="U107" t="e">
        <f>AND(#REF!,"AAAAAGt2+hQ=")</f>
        <v>#REF!</v>
      </c>
      <c r="V107" t="e">
        <f>AND(#REF!,"AAAAAGt2+hU=")</f>
        <v>#REF!</v>
      </c>
      <c r="W107" t="e">
        <f>AND(#REF!,"AAAAAGt2+hY=")</f>
        <v>#REF!</v>
      </c>
      <c r="X107" t="e">
        <f>AND(#REF!,"AAAAAGt2+hc=")</f>
        <v>#REF!</v>
      </c>
      <c r="Y107" t="e">
        <f>AND(#REF!,"AAAAAGt2+hg=")</f>
        <v>#REF!</v>
      </c>
      <c r="Z107" t="e">
        <f>AND(#REF!,"AAAAAGt2+hk=")</f>
        <v>#REF!</v>
      </c>
      <c r="AA107" t="e">
        <f>AND(#REF!,"AAAAAGt2+ho=")</f>
        <v>#REF!</v>
      </c>
      <c r="AB107" t="e">
        <f>AND(#REF!,"AAAAAGt2+hs=")</f>
        <v>#REF!</v>
      </c>
      <c r="AC107" t="e">
        <f>AND(#REF!,"AAAAAGt2+hw=")</f>
        <v>#REF!</v>
      </c>
      <c r="AD107" t="e">
        <f>AND(#REF!,"AAAAAGt2+h0=")</f>
        <v>#REF!</v>
      </c>
      <c r="AE107" t="e">
        <f>AND(#REF!,"AAAAAGt2+h4=")</f>
        <v>#REF!</v>
      </c>
      <c r="AF107" t="e">
        <f>AND(#REF!,"AAAAAGt2+h8=")</f>
        <v>#REF!</v>
      </c>
      <c r="AG107" t="e">
        <f>AND(#REF!,"AAAAAGt2+iA=")</f>
        <v>#REF!</v>
      </c>
      <c r="AH107" t="e">
        <f>AND(#REF!,"AAAAAGt2+iE=")</f>
        <v>#REF!</v>
      </c>
      <c r="AI107" t="e">
        <f>AND(#REF!,"AAAAAGt2+iI=")</f>
        <v>#REF!</v>
      </c>
      <c r="AJ107" t="e">
        <f>AND(#REF!,"AAAAAGt2+iM=")</f>
        <v>#REF!</v>
      </c>
      <c r="AK107" t="e">
        <f>AND(#REF!,"AAAAAGt2+iQ=")</f>
        <v>#REF!</v>
      </c>
      <c r="AL107" t="e">
        <f>AND(#REF!,"AAAAAGt2+iU=")</f>
        <v>#REF!</v>
      </c>
      <c r="AM107" t="e">
        <f>AND(#REF!,"AAAAAGt2+iY=")</f>
        <v>#REF!</v>
      </c>
      <c r="AN107" t="e">
        <f>AND(#REF!,"AAAAAGt2+ic=")</f>
        <v>#REF!</v>
      </c>
      <c r="AO107" t="e">
        <f>AND(#REF!,"AAAAAGt2+ig=")</f>
        <v>#REF!</v>
      </c>
      <c r="AP107" t="e">
        <f>AND(#REF!,"AAAAAGt2+ik=")</f>
        <v>#REF!</v>
      </c>
      <c r="AQ107" t="e">
        <f>AND(#REF!,"AAAAAGt2+io=")</f>
        <v>#REF!</v>
      </c>
      <c r="AR107" t="e">
        <f>AND(#REF!,"AAAAAGt2+is=")</f>
        <v>#REF!</v>
      </c>
      <c r="AS107" t="e">
        <f>AND(#REF!,"AAAAAGt2+iw=")</f>
        <v>#REF!</v>
      </c>
      <c r="AT107" t="e">
        <f>AND(#REF!,"AAAAAGt2+i0=")</f>
        <v>#REF!</v>
      </c>
      <c r="AU107" t="e">
        <f>AND(#REF!,"AAAAAGt2+i4=")</f>
        <v>#REF!</v>
      </c>
      <c r="AV107" t="e">
        <f>AND(#REF!,"AAAAAGt2+i8=")</f>
        <v>#REF!</v>
      </c>
      <c r="AW107" t="e">
        <f>AND(#REF!,"AAAAAGt2+jA=")</f>
        <v>#REF!</v>
      </c>
      <c r="AX107" t="e">
        <f>AND(#REF!,"AAAAAGt2+jE=")</f>
        <v>#REF!</v>
      </c>
      <c r="AY107" t="e">
        <f>AND(#REF!,"AAAAAGt2+jI=")</f>
        <v>#REF!</v>
      </c>
      <c r="AZ107" t="e">
        <f>AND(#REF!,"AAAAAGt2+jM=")</f>
        <v>#REF!</v>
      </c>
      <c r="BA107" t="e">
        <f>AND(#REF!,"AAAAAGt2+jQ=")</f>
        <v>#REF!</v>
      </c>
      <c r="BB107" t="e">
        <f>AND(#REF!,"AAAAAGt2+jU=")</f>
        <v>#REF!</v>
      </c>
      <c r="BC107" t="e">
        <f>AND(#REF!,"AAAAAGt2+jY=")</f>
        <v>#REF!</v>
      </c>
      <c r="BD107" t="e">
        <f>AND(#REF!,"AAAAAGt2+jc=")</f>
        <v>#REF!</v>
      </c>
      <c r="BE107" t="e">
        <f>AND(#REF!,"AAAAAGt2+jg=")</f>
        <v>#REF!</v>
      </c>
      <c r="BF107" t="e">
        <f>AND(#REF!,"AAAAAGt2+jk=")</f>
        <v>#REF!</v>
      </c>
      <c r="BG107" t="e">
        <f>AND(#REF!,"AAAAAGt2+jo=")</f>
        <v>#REF!</v>
      </c>
      <c r="BH107" t="e">
        <f>AND(#REF!,"AAAAAGt2+js=")</f>
        <v>#REF!</v>
      </c>
      <c r="BI107" t="e">
        <f>AND(#REF!,"AAAAAGt2+jw=")</f>
        <v>#REF!</v>
      </c>
      <c r="BJ107" t="e">
        <f>AND(#REF!,"AAAAAGt2+j0=")</f>
        <v>#REF!</v>
      </c>
      <c r="BK107" t="e">
        <f>AND(#REF!,"AAAAAGt2+j4=")</f>
        <v>#REF!</v>
      </c>
      <c r="BL107" t="e">
        <f>AND(#REF!,"AAAAAGt2+j8=")</f>
        <v>#REF!</v>
      </c>
      <c r="BM107" t="e">
        <f>AND(#REF!,"AAAAAGt2+kA=")</f>
        <v>#REF!</v>
      </c>
      <c r="BN107" t="e">
        <f>AND(#REF!,"AAAAAGt2+kE=")</f>
        <v>#REF!</v>
      </c>
      <c r="BO107" t="e">
        <f>AND(#REF!,"AAAAAGt2+kI=")</f>
        <v>#REF!</v>
      </c>
      <c r="BP107" t="e">
        <f>AND(#REF!,"AAAAAGt2+kM=")</f>
        <v>#REF!</v>
      </c>
      <c r="BQ107" t="e">
        <f>AND(#REF!,"AAAAAGt2+kQ=")</f>
        <v>#REF!</v>
      </c>
      <c r="BR107" t="e">
        <f>AND(#REF!,"AAAAAGt2+kU=")</f>
        <v>#REF!</v>
      </c>
      <c r="BS107" t="e">
        <f>AND(#REF!,"AAAAAGt2+kY=")</f>
        <v>#REF!</v>
      </c>
      <c r="BT107" t="e">
        <f>AND(#REF!,"AAAAAGt2+kc=")</f>
        <v>#REF!</v>
      </c>
      <c r="BU107" t="e">
        <f>AND(#REF!,"AAAAAGt2+kg=")</f>
        <v>#REF!</v>
      </c>
      <c r="BV107" t="e">
        <f>AND(#REF!,"AAAAAGt2+kk=")</f>
        <v>#REF!</v>
      </c>
      <c r="BW107" t="e">
        <f>AND(#REF!,"AAAAAGt2+ko=")</f>
        <v>#REF!</v>
      </c>
      <c r="BX107" t="e">
        <f>AND(#REF!,"AAAAAGt2+ks=")</f>
        <v>#REF!</v>
      </c>
      <c r="BY107" t="e">
        <f>AND(#REF!,"AAAAAGt2+kw=")</f>
        <v>#REF!</v>
      </c>
      <c r="BZ107" t="e">
        <f>AND(#REF!,"AAAAAGt2+k0=")</f>
        <v>#REF!</v>
      </c>
      <c r="CA107" t="e">
        <f>AND(#REF!,"AAAAAGt2+k4=")</f>
        <v>#REF!</v>
      </c>
      <c r="CB107" t="e">
        <f>AND(#REF!,"AAAAAGt2+k8=")</f>
        <v>#REF!</v>
      </c>
      <c r="CC107" t="e">
        <f>AND(#REF!,"AAAAAGt2+lA=")</f>
        <v>#REF!</v>
      </c>
      <c r="CD107" t="e">
        <f>AND(#REF!,"AAAAAGt2+lE=")</f>
        <v>#REF!</v>
      </c>
      <c r="CE107" t="e">
        <f>AND(#REF!,"AAAAAGt2+lI=")</f>
        <v>#REF!</v>
      </c>
      <c r="CF107" t="e">
        <f>AND(#REF!,"AAAAAGt2+lM=")</f>
        <v>#REF!</v>
      </c>
      <c r="CG107" t="e">
        <f>AND(#REF!,"AAAAAGt2+lQ=")</f>
        <v>#REF!</v>
      </c>
      <c r="CH107" t="e">
        <f>AND(#REF!,"AAAAAGt2+lU=")</f>
        <v>#REF!</v>
      </c>
      <c r="CI107" t="e">
        <f>AND(#REF!,"AAAAAGt2+lY=")</f>
        <v>#REF!</v>
      </c>
      <c r="CJ107" t="e">
        <f>AND(#REF!,"AAAAAGt2+lc=")</f>
        <v>#REF!</v>
      </c>
      <c r="CK107" t="e">
        <f>AND(#REF!,"AAAAAGt2+lg=")</f>
        <v>#REF!</v>
      </c>
      <c r="CL107" t="e">
        <f>AND(#REF!,"AAAAAGt2+lk=")</f>
        <v>#REF!</v>
      </c>
      <c r="CM107" t="e">
        <f>AND(#REF!,"AAAAAGt2+lo=")</f>
        <v>#REF!</v>
      </c>
      <c r="CN107" t="e">
        <f>AND(#REF!,"AAAAAGt2+ls=")</f>
        <v>#REF!</v>
      </c>
      <c r="CO107" t="e">
        <f>AND(#REF!,"AAAAAGt2+lw=")</f>
        <v>#REF!</v>
      </c>
      <c r="CP107" t="e">
        <f>AND(#REF!,"AAAAAGt2+l0=")</f>
        <v>#REF!</v>
      </c>
      <c r="CQ107" t="e">
        <f>AND(#REF!,"AAAAAGt2+l4=")</f>
        <v>#REF!</v>
      </c>
      <c r="CR107" t="e">
        <f>AND(#REF!,"AAAAAGt2+l8=")</f>
        <v>#REF!</v>
      </c>
      <c r="CS107" t="e">
        <f>AND(#REF!,"AAAAAGt2+mA=")</f>
        <v>#REF!</v>
      </c>
      <c r="CT107" t="e">
        <f>AND(#REF!,"AAAAAGt2+mE=")</f>
        <v>#REF!</v>
      </c>
      <c r="CU107" t="e">
        <f>AND(#REF!,"AAAAAGt2+mI=")</f>
        <v>#REF!</v>
      </c>
      <c r="CV107" t="e">
        <f>AND(#REF!,"AAAAAGt2+mM=")</f>
        <v>#REF!</v>
      </c>
      <c r="CW107" t="e">
        <f>AND(#REF!,"AAAAAGt2+mQ=")</f>
        <v>#REF!</v>
      </c>
      <c r="CX107" t="e">
        <f>AND(#REF!,"AAAAAGt2+mU=")</f>
        <v>#REF!</v>
      </c>
      <c r="CY107" t="e">
        <f>AND(#REF!,"AAAAAGt2+mY=")</f>
        <v>#REF!</v>
      </c>
      <c r="CZ107" t="e">
        <f>AND(#REF!,"AAAAAGt2+mc=")</f>
        <v>#REF!</v>
      </c>
      <c r="DA107" t="e">
        <f>AND(#REF!,"AAAAAGt2+mg=")</f>
        <v>#REF!</v>
      </c>
      <c r="DB107" t="e">
        <f>AND(#REF!,"AAAAAGt2+mk=")</f>
        <v>#REF!</v>
      </c>
      <c r="DC107" t="e">
        <f>AND(#REF!,"AAAAAGt2+mo=")</f>
        <v>#REF!</v>
      </c>
      <c r="DD107" t="e">
        <f>AND(#REF!,"AAAAAGt2+ms=")</f>
        <v>#REF!</v>
      </c>
      <c r="DE107" t="e">
        <f>AND(#REF!,"AAAAAGt2+mw=")</f>
        <v>#REF!</v>
      </c>
      <c r="DF107" t="e">
        <f>AND(#REF!,"AAAAAGt2+m0=")</f>
        <v>#REF!</v>
      </c>
      <c r="DG107" t="e">
        <f>AND(#REF!,"AAAAAGt2+m4=")</f>
        <v>#REF!</v>
      </c>
      <c r="DH107" t="e">
        <f>AND(#REF!,"AAAAAGt2+m8=")</f>
        <v>#REF!</v>
      </c>
      <c r="DI107" t="e">
        <f>AND(#REF!,"AAAAAGt2+nA=")</f>
        <v>#REF!</v>
      </c>
      <c r="DJ107" t="e">
        <f>AND(#REF!,"AAAAAGt2+nE=")</f>
        <v>#REF!</v>
      </c>
      <c r="DK107" t="e">
        <f>AND(#REF!,"AAAAAGt2+nI=")</f>
        <v>#REF!</v>
      </c>
      <c r="DL107" t="e">
        <f>AND(#REF!,"AAAAAGt2+nM=")</f>
        <v>#REF!</v>
      </c>
      <c r="DM107" t="e">
        <f>AND(#REF!,"AAAAAGt2+nQ=")</f>
        <v>#REF!</v>
      </c>
      <c r="DN107" t="e">
        <f>AND(#REF!,"AAAAAGt2+nU=")</f>
        <v>#REF!</v>
      </c>
      <c r="DO107" t="e">
        <f>AND(#REF!,"AAAAAGt2+nY=")</f>
        <v>#REF!</v>
      </c>
      <c r="DP107" t="e">
        <f>AND(#REF!,"AAAAAGt2+nc=")</f>
        <v>#REF!</v>
      </c>
      <c r="DQ107" t="e">
        <f>AND(#REF!,"AAAAAGt2+ng=")</f>
        <v>#REF!</v>
      </c>
      <c r="DR107" t="e">
        <f>AND(#REF!,"AAAAAGt2+nk=")</f>
        <v>#REF!</v>
      </c>
      <c r="DS107" t="e">
        <f>AND(#REF!,"AAAAAGt2+no=")</f>
        <v>#REF!</v>
      </c>
      <c r="DT107" t="e">
        <f>AND(#REF!,"AAAAAGt2+ns=")</f>
        <v>#REF!</v>
      </c>
      <c r="DU107" t="e">
        <f>AND(#REF!,"AAAAAGt2+nw=")</f>
        <v>#REF!</v>
      </c>
      <c r="DV107" t="e">
        <f>AND(#REF!,"AAAAAGt2+n0=")</f>
        <v>#REF!</v>
      </c>
      <c r="DW107" t="e">
        <f>AND(#REF!,"AAAAAGt2+n4=")</f>
        <v>#REF!</v>
      </c>
      <c r="DX107" t="e">
        <f>AND(#REF!,"AAAAAGt2+n8=")</f>
        <v>#REF!</v>
      </c>
      <c r="DY107" t="e">
        <f>AND(#REF!,"AAAAAGt2+oA=")</f>
        <v>#REF!</v>
      </c>
      <c r="DZ107" t="e">
        <f>AND(#REF!,"AAAAAGt2+oE=")</f>
        <v>#REF!</v>
      </c>
      <c r="EA107" t="e">
        <f>AND(#REF!,"AAAAAGt2+oI=")</f>
        <v>#REF!</v>
      </c>
      <c r="EB107" t="e">
        <f>AND(#REF!,"AAAAAGt2+oM=")</f>
        <v>#REF!</v>
      </c>
      <c r="EC107" t="e">
        <f>AND(#REF!,"AAAAAGt2+oQ=")</f>
        <v>#REF!</v>
      </c>
      <c r="ED107" t="e">
        <f>AND(#REF!,"AAAAAGt2+oU=")</f>
        <v>#REF!</v>
      </c>
      <c r="EE107" t="e">
        <f>AND(#REF!,"AAAAAGt2+oY=")</f>
        <v>#REF!</v>
      </c>
      <c r="EF107" t="e">
        <f>AND(#REF!,"AAAAAGt2+oc=")</f>
        <v>#REF!</v>
      </c>
      <c r="EG107" t="e">
        <f>AND(#REF!,"AAAAAGt2+og=")</f>
        <v>#REF!</v>
      </c>
      <c r="EH107" t="e">
        <f>AND(#REF!,"AAAAAGt2+ok=")</f>
        <v>#REF!</v>
      </c>
      <c r="EI107" t="e">
        <f>AND(#REF!,"AAAAAGt2+oo=")</f>
        <v>#REF!</v>
      </c>
      <c r="EJ107" t="e">
        <f>AND(#REF!,"AAAAAGt2+os=")</f>
        <v>#REF!</v>
      </c>
      <c r="EK107" t="e">
        <f>AND(#REF!,"AAAAAGt2+ow=")</f>
        <v>#REF!</v>
      </c>
      <c r="EL107" t="e">
        <f>AND(#REF!,"AAAAAGt2+o0=")</f>
        <v>#REF!</v>
      </c>
      <c r="EM107" t="e">
        <f>AND(#REF!,"AAAAAGt2+o4=")</f>
        <v>#REF!</v>
      </c>
      <c r="EN107" t="e">
        <f>AND(#REF!,"AAAAAGt2+o8=")</f>
        <v>#REF!</v>
      </c>
      <c r="EO107" t="e">
        <f>AND(#REF!,"AAAAAGt2+pA=")</f>
        <v>#REF!</v>
      </c>
      <c r="EP107" t="e">
        <f>AND(#REF!,"AAAAAGt2+pE=")</f>
        <v>#REF!</v>
      </c>
      <c r="EQ107" t="e">
        <f>AND(#REF!,"AAAAAGt2+pI=")</f>
        <v>#REF!</v>
      </c>
      <c r="ER107" t="e">
        <f>AND(#REF!,"AAAAAGt2+pM=")</f>
        <v>#REF!</v>
      </c>
      <c r="ES107" t="e">
        <f>AND(#REF!,"AAAAAGt2+pQ=")</f>
        <v>#REF!</v>
      </c>
      <c r="ET107" t="e">
        <f>AND(#REF!,"AAAAAGt2+pU=")</f>
        <v>#REF!</v>
      </c>
      <c r="EU107" t="e">
        <f>AND(#REF!,"AAAAAGt2+pY=")</f>
        <v>#REF!</v>
      </c>
      <c r="EV107" t="e">
        <f>AND(#REF!,"AAAAAGt2+pc=")</f>
        <v>#REF!</v>
      </c>
      <c r="EW107" t="e">
        <f>AND(#REF!,"AAAAAGt2+pg=")</f>
        <v>#REF!</v>
      </c>
      <c r="EX107" t="e">
        <f>AND(#REF!,"AAAAAGt2+pk=")</f>
        <v>#REF!</v>
      </c>
      <c r="EY107" t="e">
        <f>AND(#REF!,"AAAAAGt2+po=")</f>
        <v>#REF!</v>
      </c>
      <c r="EZ107" t="e">
        <f>AND(#REF!,"AAAAAGt2+ps=")</f>
        <v>#REF!</v>
      </c>
      <c r="FA107" t="e">
        <f>AND(#REF!,"AAAAAGt2+pw=")</f>
        <v>#REF!</v>
      </c>
      <c r="FB107" t="e">
        <f>AND(#REF!,"AAAAAGt2+p0=")</f>
        <v>#REF!</v>
      </c>
      <c r="FC107" t="e">
        <f>AND(#REF!,"AAAAAGt2+p4=")</f>
        <v>#REF!</v>
      </c>
      <c r="FD107" t="e">
        <f>AND(#REF!,"AAAAAGt2+p8=")</f>
        <v>#REF!</v>
      </c>
      <c r="FE107" t="e">
        <f>AND(#REF!,"AAAAAGt2+qA=")</f>
        <v>#REF!</v>
      </c>
      <c r="FF107" t="e">
        <f>AND(#REF!,"AAAAAGt2+qE=")</f>
        <v>#REF!</v>
      </c>
      <c r="FG107" t="e">
        <f>AND(#REF!,"AAAAAGt2+qI=")</f>
        <v>#REF!</v>
      </c>
      <c r="FH107" t="e">
        <f>AND(#REF!,"AAAAAGt2+qM=")</f>
        <v>#REF!</v>
      </c>
      <c r="FI107" t="e">
        <f>AND(#REF!,"AAAAAGt2+qQ=")</f>
        <v>#REF!</v>
      </c>
      <c r="FJ107" t="e">
        <f>AND(#REF!,"AAAAAGt2+qU=")</f>
        <v>#REF!</v>
      </c>
      <c r="FK107" t="e">
        <f>AND(#REF!,"AAAAAGt2+qY=")</f>
        <v>#REF!</v>
      </c>
      <c r="FL107" t="e">
        <f>AND(#REF!,"AAAAAGt2+qc=")</f>
        <v>#REF!</v>
      </c>
      <c r="FM107" t="e">
        <f>AND(#REF!,"AAAAAGt2+qg=")</f>
        <v>#REF!</v>
      </c>
      <c r="FN107" t="e">
        <f>AND(#REF!,"AAAAAGt2+qk=")</f>
        <v>#REF!</v>
      </c>
      <c r="FO107" t="e">
        <f>AND(#REF!,"AAAAAGt2+qo=")</f>
        <v>#REF!</v>
      </c>
      <c r="FP107" t="e">
        <f>AND(#REF!,"AAAAAGt2+qs=")</f>
        <v>#REF!</v>
      </c>
      <c r="FQ107" t="e">
        <f>AND(#REF!,"AAAAAGt2+qw=")</f>
        <v>#REF!</v>
      </c>
      <c r="FR107" t="e">
        <f>AND(#REF!,"AAAAAGt2+q0=")</f>
        <v>#REF!</v>
      </c>
      <c r="FS107" t="e">
        <f>AND(#REF!,"AAAAAGt2+q4=")</f>
        <v>#REF!</v>
      </c>
      <c r="FT107" t="e">
        <f>AND(#REF!,"AAAAAGt2+q8=")</f>
        <v>#REF!</v>
      </c>
      <c r="FU107" t="e">
        <f>AND(#REF!,"AAAAAGt2+rA=")</f>
        <v>#REF!</v>
      </c>
      <c r="FV107" t="e">
        <f>AND(#REF!,"AAAAAGt2+rE=")</f>
        <v>#REF!</v>
      </c>
      <c r="FW107" t="e">
        <f>AND(#REF!,"AAAAAGt2+rI=")</f>
        <v>#REF!</v>
      </c>
      <c r="FX107" t="e">
        <f>AND(#REF!,"AAAAAGt2+rM=")</f>
        <v>#REF!</v>
      </c>
      <c r="FY107" t="e">
        <f>AND(#REF!,"AAAAAGt2+rQ=")</f>
        <v>#REF!</v>
      </c>
      <c r="FZ107" t="e">
        <f>AND(#REF!,"AAAAAGt2+rU=")</f>
        <v>#REF!</v>
      </c>
      <c r="GA107" t="e">
        <f>AND(#REF!,"AAAAAGt2+rY=")</f>
        <v>#REF!</v>
      </c>
      <c r="GB107" t="e">
        <f>AND(#REF!,"AAAAAGt2+rc=")</f>
        <v>#REF!</v>
      </c>
      <c r="GC107" t="e">
        <f>AND(#REF!,"AAAAAGt2+rg=")</f>
        <v>#REF!</v>
      </c>
      <c r="GD107" t="e">
        <f>AND(#REF!,"AAAAAGt2+rk=")</f>
        <v>#REF!</v>
      </c>
      <c r="GE107" t="e">
        <f>AND(#REF!,"AAAAAGt2+ro=")</f>
        <v>#REF!</v>
      </c>
      <c r="GF107" t="e">
        <f>AND(#REF!,"AAAAAGt2+rs=")</f>
        <v>#REF!</v>
      </c>
      <c r="GG107" t="e">
        <f>AND(#REF!,"AAAAAGt2+rw=")</f>
        <v>#REF!</v>
      </c>
      <c r="GH107" t="e">
        <f>AND(#REF!,"AAAAAGt2+r0=")</f>
        <v>#REF!</v>
      </c>
      <c r="GI107" t="e">
        <f>AND(#REF!,"AAAAAGt2+r4=")</f>
        <v>#REF!</v>
      </c>
      <c r="GJ107" t="e">
        <f>AND(#REF!,"AAAAAGt2+r8=")</f>
        <v>#REF!</v>
      </c>
      <c r="GK107" t="e">
        <f>AND(#REF!,"AAAAAGt2+sA=")</f>
        <v>#REF!</v>
      </c>
      <c r="GL107" t="e">
        <f>AND(#REF!,"AAAAAGt2+sE=")</f>
        <v>#REF!</v>
      </c>
      <c r="GM107" t="e">
        <f>AND(#REF!,"AAAAAGt2+sI=")</f>
        <v>#REF!</v>
      </c>
      <c r="GN107" t="e">
        <f>AND(#REF!,"AAAAAGt2+sM=")</f>
        <v>#REF!</v>
      </c>
      <c r="GO107" t="e">
        <f>AND(#REF!,"AAAAAGt2+sQ=")</f>
        <v>#REF!</v>
      </c>
      <c r="GP107" t="e">
        <f>AND(#REF!,"AAAAAGt2+sU=")</f>
        <v>#REF!</v>
      </c>
      <c r="GQ107" t="e">
        <f>AND(#REF!,"AAAAAGt2+sY=")</f>
        <v>#REF!</v>
      </c>
      <c r="GR107" t="e">
        <f>AND(#REF!,"AAAAAGt2+sc=")</f>
        <v>#REF!</v>
      </c>
      <c r="GS107" t="e">
        <f>AND(#REF!,"AAAAAGt2+sg=")</f>
        <v>#REF!</v>
      </c>
      <c r="GT107" t="e">
        <f>AND(#REF!,"AAAAAGt2+sk=")</f>
        <v>#REF!</v>
      </c>
      <c r="GU107" t="e">
        <f>AND(#REF!,"AAAAAGt2+so=")</f>
        <v>#REF!</v>
      </c>
      <c r="GV107" t="e">
        <f>AND(#REF!,"AAAAAGt2+ss=")</f>
        <v>#REF!</v>
      </c>
      <c r="GW107" t="e">
        <f>AND(#REF!,"AAAAAGt2+sw=")</f>
        <v>#REF!</v>
      </c>
      <c r="GX107" t="e">
        <f>AND(#REF!,"AAAAAGt2+s0=")</f>
        <v>#REF!</v>
      </c>
      <c r="GY107" t="e">
        <f>AND(#REF!,"AAAAAGt2+s4=")</f>
        <v>#REF!</v>
      </c>
      <c r="GZ107" t="e">
        <f>AND(#REF!,"AAAAAGt2+s8=")</f>
        <v>#REF!</v>
      </c>
      <c r="HA107" t="e">
        <f>AND(#REF!,"AAAAAGt2+tA=")</f>
        <v>#REF!</v>
      </c>
      <c r="HB107" t="e">
        <f>AND(#REF!,"AAAAAGt2+tE=")</f>
        <v>#REF!</v>
      </c>
      <c r="HC107" t="e">
        <f>AND(#REF!,"AAAAAGt2+tI=")</f>
        <v>#REF!</v>
      </c>
      <c r="HD107" t="e">
        <f>AND(#REF!,"AAAAAGt2+tM=")</f>
        <v>#REF!</v>
      </c>
      <c r="HE107" t="e">
        <f>AND(#REF!,"AAAAAGt2+tQ=")</f>
        <v>#REF!</v>
      </c>
      <c r="HF107" t="e">
        <f>AND(#REF!,"AAAAAGt2+tU=")</f>
        <v>#REF!</v>
      </c>
      <c r="HG107" t="e">
        <f>AND(#REF!,"AAAAAGt2+tY=")</f>
        <v>#REF!</v>
      </c>
      <c r="HH107" t="e">
        <f>AND(#REF!,"AAAAAGt2+tc=")</f>
        <v>#REF!</v>
      </c>
      <c r="HI107" t="e">
        <f>AND(#REF!,"AAAAAGt2+tg=")</f>
        <v>#REF!</v>
      </c>
      <c r="HJ107" t="e">
        <f>AND(#REF!,"AAAAAGt2+tk=")</f>
        <v>#REF!</v>
      </c>
      <c r="HK107" t="e">
        <f>AND(#REF!,"AAAAAGt2+to=")</f>
        <v>#REF!</v>
      </c>
      <c r="HL107" t="e">
        <f>AND(#REF!,"AAAAAGt2+ts=")</f>
        <v>#REF!</v>
      </c>
      <c r="HM107" t="e">
        <f>AND(#REF!,"AAAAAGt2+tw=")</f>
        <v>#REF!</v>
      </c>
      <c r="HN107" t="e">
        <f>AND(#REF!,"AAAAAGt2+t0=")</f>
        <v>#REF!</v>
      </c>
      <c r="HO107" t="e">
        <f>AND(#REF!,"AAAAAGt2+t4=")</f>
        <v>#REF!</v>
      </c>
      <c r="HP107" t="e">
        <f>AND(#REF!,"AAAAAGt2+t8=")</f>
        <v>#REF!</v>
      </c>
      <c r="HQ107" t="e">
        <f>AND(#REF!,"AAAAAGt2+uA=")</f>
        <v>#REF!</v>
      </c>
      <c r="HR107" t="e">
        <f>AND(#REF!,"AAAAAGt2+uE=")</f>
        <v>#REF!</v>
      </c>
      <c r="HS107" t="e">
        <f>AND(#REF!,"AAAAAGt2+uI=")</f>
        <v>#REF!</v>
      </c>
      <c r="HT107" t="e">
        <f>AND(#REF!,"AAAAAGt2+uM=")</f>
        <v>#REF!</v>
      </c>
      <c r="HU107" t="e">
        <f>AND(#REF!,"AAAAAGt2+uQ=")</f>
        <v>#REF!</v>
      </c>
      <c r="HV107" t="e">
        <f>AND(#REF!,"AAAAAGt2+uU=")</f>
        <v>#REF!</v>
      </c>
      <c r="HW107" t="e">
        <f>AND(#REF!,"AAAAAGt2+uY=")</f>
        <v>#REF!</v>
      </c>
      <c r="HX107" t="e">
        <f>AND(#REF!,"AAAAAGt2+uc=")</f>
        <v>#REF!</v>
      </c>
      <c r="HY107" t="e">
        <f>AND(#REF!,"AAAAAGt2+ug=")</f>
        <v>#REF!</v>
      </c>
      <c r="HZ107" t="e">
        <f>AND(#REF!,"AAAAAGt2+uk=")</f>
        <v>#REF!</v>
      </c>
      <c r="IA107" t="e">
        <f>AND(#REF!,"AAAAAGt2+uo=")</f>
        <v>#REF!</v>
      </c>
      <c r="IB107" t="e">
        <f>AND(#REF!,"AAAAAGt2+us=")</f>
        <v>#REF!</v>
      </c>
      <c r="IC107" t="e">
        <f>AND(#REF!,"AAAAAGt2+uw=")</f>
        <v>#REF!</v>
      </c>
      <c r="ID107" t="e">
        <f>AND(#REF!,"AAAAAGt2+u0=")</f>
        <v>#REF!</v>
      </c>
      <c r="IE107" t="e">
        <f>AND(#REF!,"AAAAAGt2+u4=")</f>
        <v>#REF!</v>
      </c>
      <c r="IF107" t="e">
        <f>AND(#REF!,"AAAAAGt2+u8=")</f>
        <v>#REF!</v>
      </c>
      <c r="IG107" t="e">
        <f>AND(#REF!,"AAAAAGt2+vA=")</f>
        <v>#REF!</v>
      </c>
      <c r="IH107" t="e">
        <f>AND(#REF!,"AAAAAGt2+vE=")</f>
        <v>#REF!</v>
      </c>
      <c r="II107" t="e">
        <f>AND(#REF!,"AAAAAGt2+vI=")</f>
        <v>#REF!</v>
      </c>
      <c r="IJ107" t="e">
        <f>AND(#REF!,"AAAAAGt2+vM=")</f>
        <v>#REF!</v>
      </c>
      <c r="IK107" t="e">
        <f>AND(#REF!,"AAAAAGt2+vQ=")</f>
        <v>#REF!</v>
      </c>
      <c r="IL107" t="e">
        <f>AND(#REF!,"AAAAAGt2+vU=")</f>
        <v>#REF!</v>
      </c>
      <c r="IM107" t="e">
        <f>AND(#REF!,"AAAAAGt2+vY=")</f>
        <v>#REF!</v>
      </c>
      <c r="IN107" t="e">
        <f>AND(#REF!,"AAAAAGt2+vc=")</f>
        <v>#REF!</v>
      </c>
      <c r="IO107" t="e">
        <f>AND(#REF!,"AAAAAGt2+vg=")</f>
        <v>#REF!</v>
      </c>
      <c r="IP107" t="e">
        <f>AND(#REF!,"AAAAAGt2+vk=")</f>
        <v>#REF!</v>
      </c>
      <c r="IQ107" t="e">
        <f>AND(#REF!,"AAAAAGt2+vo=")</f>
        <v>#REF!</v>
      </c>
      <c r="IR107" t="e">
        <f>AND(#REF!,"AAAAAGt2+vs=")</f>
        <v>#REF!</v>
      </c>
      <c r="IS107" t="e">
        <f>AND(#REF!,"AAAAAGt2+vw=")</f>
        <v>#REF!</v>
      </c>
      <c r="IT107" t="e">
        <f>AND(#REF!,"AAAAAGt2+v0=")</f>
        <v>#REF!</v>
      </c>
      <c r="IU107" t="e">
        <f>AND(#REF!,"AAAAAGt2+v4=")</f>
        <v>#REF!</v>
      </c>
      <c r="IV107" t="e">
        <f>AND(#REF!,"AAAAAGt2+v8=")</f>
        <v>#REF!</v>
      </c>
    </row>
    <row r="108" spans="1:256">
      <c r="A108" t="e">
        <f>AND(#REF!,"AAAAAHfv9gA=")</f>
        <v>#REF!</v>
      </c>
      <c r="B108" t="e">
        <f>AND(#REF!,"AAAAAHfv9gE=")</f>
        <v>#REF!</v>
      </c>
      <c r="C108" t="e">
        <f>AND(#REF!,"AAAAAHfv9gI=")</f>
        <v>#REF!</v>
      </c>
      <c r="D108" t="e">
        <f>AND(#REF!,"AAAAAHfv9gM=")</f>
        <v>#REF!</v>
      </c>
      <c r="E108" t="e">
        <f>AND(#REF!,"AAAAAHfv9gQ=")</f>
        <v>#REF!</v>
      </c>
      <c r="F108" t="e">
        <f>AND(#REF!,"AAAAAHfv9gU=")</f>
        <v>#REF!</v>
      </c>
      <c r="G108" t="e">
        <f>AND(#REF!,"AAAAAHfv9gY=")</f>
        <v>#REF!</v>
      </c>
      <c r="H108" t="e">
        <f>AND(#REF!,"AAAAAHfv9gc=")</f>
        <v>#REF!</v>
      </c>
      <c r="I108" t="e">
        <f>AND(#REF!,"AAAAAHfv9gg=")</f>
        <v>#REF!</v>
      </c>
      <c r="J108" t="e">
        <f>AND(#REF!,"AAAAAHfv9gk=")</f>
        <v>#REF!</v>
      </c>
      <c r="K108" t="e">
        <f>AND(#REF!,"AAAAAHfv9go=")</f>
        <v>#REF!</v>
      </c>
      <c r="L108" t="e">
        <f>AND(#REF!,"AAAAAHfv9gs=")</f>
        <v>#REF!</v>
      </c>
      <c r="M108" t="e">
        <f>AND(#REF!,"AAAAAHfv9gw=")</f>
        <v>#REF!</v>
      </c>
      <c r="N108" t="e">
        <f>AND(#REF!,"AAAAAHfv9g0=")</f>
        <v>#REF!</v>
      </c>
      <c r="O108" t="e">
        <f>AND(#REF!,"AAAAAHfv9g4=")</f>
        <v>#REF!</v>
      </c>
      <c r="P108" t="e">
        <f>AND(#REF!,"AAAAAHfv9g8=")</f>
        <v>#REF!</v>
      </c>
      <c r="Q108" t="e">
        <f>AND(#REF!,"AAAAAHfv9hA=")</f>
        <v>#REF!</v>
      </c>
      <c r="R108" t="e">
        <f>AND(#REF!,"AAAAAHfv9hE=")</f>
        <v>#REF!</v>
      </c>
      <c r="S108" t="e">
        <f>AND(#REF!,"AAAAAHfv9hI=")</f>
        <v>#REF!</v>
      </c>
      <c r="T108" t="e">
        <f>AND(#REF!,"AAAAAHfv9hM=")</f>
        <v>#REF!</v>
      </c>
      <c r="U108" t="e">
        <f>AND(#REF!,"AAAAAHfv9hQ=")</f>
        <v>#REF!</v>
      </c>
      <c r="V108" t="e">
        <f>AND(#REF!,"AAAAAHfv9hU=")</f>
        <v>#REF!</v>
      </c>
      <c r="W108" t="e">
        <f>AND(#REF!,"AAAAAHfv9hY=")</f>
        <v>#REF!</v>
      </c>
      <c r="X108" t="e">
        <f>AND(#REF!,"AAAAAHfv9hc=")</f>
        <v>#REF!</v>
      </c>
      <c r="Y108" t="e">
        <f>AND(#REF!,"AAAAAHfv9hg=")</f>
        <v>#REF!</v>
      </c>
      <c r="Z108" t="e">
        <f>AND(#REF!,"AAAAAHfv9hk=")</f>
        <v>#REF!</v>
      </c>
      <c r="AA108" t="e">
        <f>AND(#REF!,"AAAAAHfv9ho=")</f>
        <v>#REF!</v>
      </c>
      <c r="AB108" t="e">
        <f>AND(#REF!,"AAAAAHfv9hs=")</f>
        <v>#REF!</v>
      </c>
      <c r="AC108" t="e">
        <f>AND(#REF!,"AAAAAHfv9hw=")</f>
        <v>#REF!</v>
      </c>
      <c r="AD108" t="e">
        <f>AND(#REF!,"AAAAAHfv9h0=")</f>
        <v>#REF!</v>
      </c>
      <c r="AE108" t="e">
        <f>AND(#REF!,"AAAAAHfv9h4=")</f>
        <v>#REF!</v>
      </c>
      <c r="AF108" t="e">
        <f>AND(#REF!,"AAAAAHfv9h8=")</f>
        <v>#REF!</v>
      </c>
      <c r="AG108" t="e">
        <f>AND(#REF!,"AAAAAHfv9iA=")</f>
        <v>#REF!</v>
      </c>
      <c r="AH108" t="e">
        <f>AND(#REF!,"AAAAAHfv9iE=")</f>
        <v>#REF!</v>
      </c>
      <c r="AI108" t="e">
        <f>AND(#REF!,"AAAAAHfv9iI=")</f>
        <v>#REF!</v>
      </c>
      <c r="AJ108" t="e">
        <f>AND(#REF!,"AAAAAHfv9iM=")</f>
        <v>#REF!</v>
      </c>
      <c r="AK108" t="e">
        <f>AND(#REF!,"AAAAAHfv9iQ=")</f>
        <v>#REF!</v>
      </c>
      <c r="AL108" t="e">
        <f>AND(#REF!,"AAAAAHfv9iU=")</f>
        <v>#REF!</v>
      </c>
      <c r="AM108" t="e">
        <f>AND(#REF!,"AAAAAHfv9iY=")</f>
        <v>#REF!</v>
      </c>
      <c r="AN108" t="e">
        <f>AND(#REF!,"AAAAAHfv9ic=")</f>
        <v>#REF!</v>
      </c>
      <c r="AO108" t="e">
        <f>AND(#REF!,"AAAAAHfv9ig=")</f>
        <v>#REF!</v>
      </c>
      <c r="AP108" t="e">
        <f>AND(#REF!,"AAAAAHfv9ik=")</f>
        <v>#REF!</v>
      </c>
      <c r="AQ108" t="e">
        <f>AND(#REF!,"AAAAAHfv9io=")</f>
        <v>#REF!</v>
      </c>
      <c r="AR108" t="e">
        <f>AND(#REF!,"AAAAAHfv9is=")</f>
        <v>#REF!</v>
      </c>
      <c r="AS108" t="e">
        <f>AND(#REF!,"AAAAAHfv9iw=")</f>
        <v>#REF!</v>
      </c>
      <c r="AT108" t="e">
        <f>AND(#REF!,"AAAAAHfv9i0=")</f>
        <v>#REF!</v>
      </c>
      <c r="AU108" t="e">
        <f>AND(#REF!,"AAAAAHfv9i4=")</f>
        <v>#REF!</v>
      </c>
      <c r="AV108" t="e">
        <f>AND(#REF!,"AAAAAHfv9i8=")</f>
        <v>#REF!</v>
      </c>
      <c r="AW108" t="e">
        <f>AND(#REF!,"AAAAAHfv9jA=")</f>
        <v>#REF!</v>
      </c>
      <c r="AX108" t="e">
        <f>AND(#REF!,"AAAAAHfv9jE=")</f>
        <v>#REF!</v>
      </c>
      <c r="AY108" t="e">
        <f>AND(#REF!,"AAAAAHfv9jI=")</f>
        <v>#REF!</v>
      </c>
      <c r="AZ108" t="e">
        <f>AND(#REF!,"AAAAAHfv9jM=")</f>
        <v>#REF!</v>
      </c>
      <c r="BA108" t="e">
        <f>AND(#REF!,"AAAAAHfv9jQ=")</f>
        <v>#REF!</v>
      </c>
      <c r="BB108" t="e">
        <f>AND(#REF!,"AAAAAHfv9jU=")</f>
        <v>#REF!</v>
      </c>
      <c r="BC108" t="e">
        <f>AND(#REF!,"AAAAAHfv9jY=")</f>
        <v>#REF!</v>
      </c>
      <c r="BD108" t="e">
        <f>AND(#REF!,"AAAAAHfv9jc=")</f>
        <v>#REF!</v>
      </c>
      <c r="BE108" t="e">
        <f>AND(#REF!,"AAAAAHfv9jg=")</f>
        <v>#REF!</v>
      </c>
      <c r="BF108" t="e">
        <f>AND(#REF!,"AAAAAHfv9jk=")</f>
        <v>#REF!</v>
      </c>
      <c r="BG108" t="e">
        <f>AND(#REF!,"AAAAAHfv9jo=")</f>
        <v>#REF!</v>
      </c>
      <c r="BH108" t="e">
        <f>AND(#REF!,"AAAAAHfv9js=")</f>
        <v>#REF!</v>
      </c>
      <c r="BI108" t="e">
        <f>AND(#REF!,"AAAAAHfv9jw=")</f>
        <v>#REF!</v>
      </c>
      <c r="BJ108" t="e">
        <f>AND(#REF!,"AAAAAHfv9j0=")</f>
        <v>#REF!</v>
      </c>
      <c r="BK108" t="e">
        <f>AND(#REF!,"AAAAAHfv9j4=")</f>
        <v>#REF!</v>
      </c>
      <c r="BL108" t="e">
        <f>AND(#REF!,"AAAAAHfv9j8=")</f>
        <v>#REF!</v>
      </c>
      <c r="BM108" t="e">
        <f>AND(#REF!,"AAAAAHfv9kA=")</f>
        <v>#REF!</v>
      </c>
      <c r="BN108" t="e">
        <f>AND(#REF!,"AAAAAHfv9kE=")</f>
        <v>#REF!</v>
      </c>
      <c r="BO108" t="e">
        <f>AND(#REF!,"AAAAAHfv9kI=")</f>
        <v>#REF!</v>
      </c>
      <c r="BP108" t="e">
        <f>AND(#REF!,"AAAAAHfv9kM=")</f>
        <v>#REF!</v>
      </c>
      <c r="BQ108" t="e">
        <f>AND(#REF!,"AAAAAHfv9kQ=")</f>
        <v>#REF!</v>
      </c>
      <c r="BR108" t="e">
        <f>AND(#REF!,"AAAAAHfv9kU=")</f>
        <v>#REF!</v>
      </c>
      <c r="BS108" t="e">
        <f>AND(#REF!,"AAAAAHfv9kY=")</f>
        <v>#REF!</v>
      </c>
      <c r="BT108" t="e">
        <f>AND(#REF!,"AAAAAHfv9kc=")</f>
        <v>#REF!</v>
      </c>
      <c r="BU108" t="e">
        <f>AND(#REF!,"AAAAAHfv9kg=")</f>
        <v>#REF!</v>
      </c>
      <c r="BV108" t="e">
        <f>AND(#REF!,"AAAAAHfv9kk=")</f>
        <v>#REF!</v>
      </c>
      <c r="BW108" t="e">
        <f>AND(#REF!,"AAAAAHfv9ko=")</f>
        <v>#REF!</v>
      </c>
      <c r="BX108" t="e">
        <f>AND(#REF!,"AAAAAHfv9ks=")</f>
        <v>#REF!</v>
      </c>
      <c r="BY108" t="e">
        <f>AND(#REF!,"AAAAAHfv9kw=")</f>
        <v>#REF!</v>
      </c>
      <c r="BZ108" t="e">
        <f>AND(#REF!,"AAAAAHfv9k0=")</f>
        <v>#REF!</v>
      </c>
      <c r="CA108" t="e">
        <f>AND(#REF!,"AAAAAHfv9k4=")</f>
        <v>#REF!</v>
      </c>
      <c r="CB108" t="e">
        <f>AND(#REF!,"AAAAAHfv9k8=")</f>
        <v>#REF!</v>
      </c>
      <c r="CC108" t="e">
        <f>AND(#REF!,"AAAAAHfv9lA=")</f>
        <v>#REF!</v>
      </c>
      <c r="CD108" t="e">
        <f>AND(#REF!,"AAAAAHfv9lE=")</f>
        <v>#REF!</v>
      </c>
      <c r="CE108" t="e">
        <f>AND(#REF!,"AAAAAHfv9lI=")</f>
        <v>#REF!</v>
      </c>
      <c r="CF108" t="e">
        <f>AND(#REF!,"AAAAAHfv9lM=")</f>
        <v>#REF!</v>
      </c>
      <c r="CG108" t="e">
        <f>AND(#REF!,"AAAAAHfv9lQ=")</f>
        <v>#REF!</v>
      </c>
      <c r="CH108" t="e">
        <f>AND(#REF!,"AAAAAHfv9lU=")</f>
        <v>#REF!</v>
      </c>
      <c r="CI108" t="e">
        <f>AND(#REF!,"AAAAAHfv9lY=")</f>
        <v>#REF!</v>
      </c>
      <c r="CJ108" t="e">
        <f>AND(#REF!,"AAAAAHfv9lc=")</f>
        <v>#REF!</v>
      </c>
      <c r="CK108" t="e">
        <f>AND(#REF!,"AAAAAHfv9lg=")</f>
        <v>#REF!</v>
      </c>
      <c r="CL108" t="e">
        <f>AND(#REF!,"AAAAAHfv9lk=")</f>
        <v>#REF!</v>
      </c>
      <c r="CM108" t="e">
        <f>AND(#REF!,"AAAAAHfv9lo=")</f>
        <v>#REF!</v>
      </c>
      <c r="CN108" t="e">
        <f>AND(#REF!,"AAAAAHfv9ls=")</f>
        <v>#REF!</v>
      </c>
      <c r="CO108" t="e">
        <f>AND(#REF!,"AAAAAHfv9lw=")</f>
        <v>#REF!</v>
      </c>
      <c r="CP108" t="e">
        <f>AND(#REF!,"AAAAAHfv9l0=")</f>
        <v>#REF!</v>
      </c>
      <c r="CQ108" t="e">
        <f>AND(#REF!,"AAAAAHfv9l4=")</f>
        <v>#REF!</v>
      </c>
      <c r="CR108" t="e">
        <f>AND(#REF!,"AAAAAHfv9l8=")</f>
        <v>#REF!</v>
      </c>
      <c r="CS108" t="e">
        <f>AND(#REF!,"AAAAAHfv9mA=")</f>
        <v>#REF!</v>
      </c>
      <c r="CT108" t="e">
        <f>AND(#REF!,"AAAAAHfv9mE=")</f>
        <v>#REF!</v>
      </c>
      <c r="CU108" t="e">
        <f>AND(#REF!,"AAAAAHfv9mI=")</f>
        <v>#REF!</v>
      </c>
      <c r="CV108" t="e">
        <f>AND(#REF!,"AAAAAHfv9mM=")</f>
        <v>#REF!</v>
      </c>
      <c r="CW108" t="e">
        <f>AND(#REF!,"AAAAAHfv9mQ=")</f>
        <v>#REF!</v>
      </c>
      <c r="CX108" t="e">
        <f>AND(#REF!,"AAAAAHfv9mU=")</f>
        <v>#REF!</v>
      </c>
      <c r="CY108" t="e">
        <f>AND(#REF!,"AAAAAHfv9mY=")</f>
        <v>#REF!</v>
      </c>
      <c r="CZ108" t="e">
        <f>AND(#REF!,"AAAAAHfv9mc=")</f>
        <v>#REF!</v>
      </c>
      <c r="DA108" t="e">
        <f>AND(#REF!,"AAAAAHfv9mg=")</f>
        <v>#REF!</v>
      </c>
      <c r="DB108" t="e">
        <f>AND(#REF!,"AAAAAHfv9mk=")</f>
        <v>#REF!</v>
      </c>
      <c r="DC108" t="e">
        <f>AND(#REF!,"AAAAAHfv9mo=")</f>
        <v>#REF!</v>
      </c>
      <c r="DD108" t="e">
        <f>AND(#REF!,"AAAAAHfv9ms=")</f>
        <v>#REF!</v>
      </c>
      <c r="DE108" t="e">
        <f>AND(#REF!,"AAAAAHfv9mw=")</f>
        <v>#REF!</v>
      </c>
      <c r="DF108" t="e">
        <f>AND(#REF!,"AAAAAHfv9m0=")</f>
        <v>#REF!</v>
      </c>
      <c r="DG108" t="e">
        <f>AND(#REF!,"AAAAAHfv9m4=")</f>
        <v>#REF!</v>
      </c>
      <c r="DH108" t="e">
        <f>AND(#REF!,"AAAAAHfv9m8=")</f>
        <v>#REF!</v>
      </c>
      <c r="DI108" t="e">
        <f>AND(#REF!,"AAAAAHfv9nA=")</f>
        <v>#REF!</v>
      </c>
      <c r="DJ108" t="e">
        <f>AND(#REF!,"AAAAAHfv9nE=")</f>
        <v>#REF!</v>
      </c>
      <c r="DK108" t="e">
        <f>AND(#REF!,"AAAAAHfv9nI=")</f>
        <v>#REF!</v>
      </c>
      <c r="DL108" t="e">
        <f>AND(#REF!,"AAAAAHfv9nM=")</f>
        <v>#REF!</v>
      </c>
      <c r="DM108" t="e">
        <f>AND(#REF!,"AAAAAHfv9nQ=")</f>
        <v>#REF!</v>
      </c>
      <c r="DN108" t="e">
        <f>AND(#REF!,"AAAAAHfv9nU=")</f>
        <v>#REF!</v>
      </c>
      <c r="DO108" t="e">
        <f>AND(#REF!,"AAAAAHfv9nY=")</f>
        <v>#REF!</v>
      </c>
      <c r="DP108" t="e">
        <f>AND(#REF!,"AAAAAHfv9nc=")</f>
        <v>#REF!</v>
      </c>
      <c r="DQ108" t="e">
        <f>AND(#REF!,"AAAAAHfv9ng=")</f>
        <v>#REF!</v>
      </c>
      <c r="DR108" t="e">
        <f>AND(#REF!,"AAAAAHfv9nk=")</f>
        <v>#REF!</v>
      </c>
      <c r="DS108" t="e">
        <f>AND(#REF!,"AAAAAHfv9no=")</f>
        <v>#REF!</v>
      </c>
      <c r="DT108" t="e">
        <f>AND(#REF!,"AAAAAHfv9ns=")</f>
        <v>#REF!</v>
      </c>
      <c r="DU108" t="e">
        <f>AND(#REF!,"AAAAAHfv9nw=")</f>
        <v>#REF!</v>
      </c>
      <c r="DV108" t="e">
        <f>AND(#REF!,"AAAAAHfv9n0=")</f>
        <v>#REF!</v>
      </c>
      <c r="DW108" t="e">
        <f>AND(#REF!,"AAAAAHfv9n4=")</f>
        <v>#REF!</v>
      </c>
      <c r="DX108" t="e">
        <f>AND(#REF!,"AAAAAHfv9n8=")</f>
        <v>#REF!</v>
      </c>
      <c r="DY108" t="e">
        <f>AND(#REF!,"AAAAAHfv9oA=")</f>
        <v>#REF!</v>
      </c>
      <c r="DZ108" t="e">
        <f>AND(#REF!,"AAAAAHfv9oE=")</f>
        <v>#REF!</v>
      </c>
      <c r="EA108" t="e">
        <f>AND(#REF!,"AAAAAHfv9oI=")</f>
        <v>#REF!</v>
      </c>
      <c r="EB108" t="e">
        <f>AND(#REF!,"AAAAAHfv9oM=")</f>
        <v>#REF!</v>
      </c>
      <c r="EC108" t="e">
        <f>AND(#REF!,"AAAAAHfv9oQ=")</f>
        <v>#REF!</v>
      </c>
      <c r="ED108" t="e">
        <f>AND(#REF!,"AAAAAHfv9oU=")</f>
        <v>#REF!</v>
      </c>
      <c r="EE108" t="e">
        <f>AND(#REF!,"AAAAAHfv9oY=")</f>
        <v>#REF!</v>
      </c>
      <c r="EF108" t="e">
        <f>AND(#REF!,"AAAAAHfv9oc=")</f>
        <v>#REF!</v>
      </c>
      <c r="EG108" t="e">
        <f>AND(#REF!,"AAAAAHfv9og=")</f>
        <v>#REF!</v>
      </c>
      <c r="EH108" t="e">
        <f>AND(#REF!,"AAAAAHfv9ok=")</f>
        <v>#REF!</v>
      </c>
      <c r="EI108" t="e">
        <f>AND(#REF!,"AAAAAHfv9oo=")</f>
        <v>#REF!</v>
      </c>
      <c r="EJ108" t="e">
        <f>AND(#REF!,"AAAAAHfv9os=")</f>
        <v>#REF!</v>
      </c>
      <c r="EK108" t="e">
        <f>AND(#REF!,"AAAAAHfv9ow=")</f>
        <v>#REF!</v>
      </c>
      <c r="EL108" t="e">
        <f>AND(#REF!,"AAAAAHfv9o0=")</f>
        <v>#REF!</v>
      </c>
      <c r="EM108" t="e">
        <f>AND(#REF!,"AAAAAHfv9o4=")</f>
        <v>#REF!</v>
      </c>
      <c r="EN108" t="e">
        <f>AND(#REF!,"AAAAAHfv9o8=")</f>
        <v>#REF!</v>
      </c>
      <c r="EO108" t="e">
        <f>AND(#REF!,"AAAAAHfv9pA=")</f>
        <v>#REF!</v>
      </c>
      <c r="EP108" t="e">
        <f>AND(#REF!,"AAAAAHfv9pE=")</f>
        <v>#REF!</v>
      </c>
      <c r="EQ108" t="e">
        <f>AND(#REF!,"AAAAAHfv9pI=")</f>
        <v>#REF!</v>
      </c>
      <c r="ER108" t="e">
        <f>AND(#REF!,"AAAAAHfv9pM=")</f>
        <v>#REF!</v>
      </c>
      <c r="ES108" t="e">
        <f>AND(#REF!,"AAAAAHfv9pQ=")</f>
        <v>#REF!</v>
      </c>
      <c r="ET108" t="e">
        <f>AND(#REF!,"AAAAAHfv9pU=")</f>
        <v>#REF!</v>
      </c>
      <c r="EU108" t="e">
        <f>AND(#REF!,"AAAAAHfv9pY=")</f>
        <v>#REF!</v>
      </c>
      <c r="EV108" t="e">
        <f>AND(#REF!,"AAAAAHfv9pc=")</f>
        <v>#REF!</v>
      </c>
      <c r="EW108" t="e">
        <f>AND(#REF!,"AAAAAHfv9pg=")</f>
        <v>#REF!</v>
      </c>
      <c r="EX108" t="e">
        <f>AND(#REF!,"AAAAAHfv9pk=")</f>
        <v>#REF!</v>
      </c>
      <c r="EY108" t="e">
        <f>AND(#REF!,"AAAAAHfv9po=")</f>
        <v>#REF!</v>
      </c>
      <c r="EZ108" t="e">
        <f>AND(#REF!,"AAAAAHfv9ps=")</f>
        <v>#REF!</v>
      </c>
      <c r="FA108" t="e">
        <f>AND(#REF!,"AAAAAHfv9pw=")</f>
        <v>#REF!</v>
      </c>
      <c r="FB108" t="e">
        <f>AND(#REF!,"AAAAAHfv9p0=")</f>
        <v>#REF!</v>
      </c>
      <c r="FC108" t="e">
        <f>AND(#REF!,"AAAAAHfv9p4=")</f>
        <v>#REF!</v>
      </c>
      <c r="FD108" t="e">
        <f>AND(#REF!,"AAAAAHfv9p8=")</f>
        <v>#REF!</v>
      </c>
      <c r="FE108" t="e">
        <f>AND(#REF!,"AAAAAHfv9qA=")</f>
        <v>#REF!</v>
      </c>
      <c r="FF108" t="e">
        <f>AND(#REF!,"AAAAAHfv9qE=")</f>
        <v>#REF!</v>
      </c>
      <c r="FG108" t="e">
        <f>AND(#REF!,"AAAAAHfv9qI=")</f>
        <v>#REF!</v>
      </c>
      <c r="FH108" t="e">
        <f>AND(#REF!,"AAAAAHfv9qM=")</f>
        <v>#REF!</v>
      </c>
      <c r="FI108" t="e">
        <f>AND(#REF!,"AAAAAHfv9qQ=")</f>
        <v>#REF!</v>
      </c>
      <c r="FJ108" t="e">
        <f>AND(#REF!,"AAAAAHfv9qU=")</f>
        <v>#REF!</v>
      </c>
      <c r="FK108" t="e">
        <f>AND(#REF!,"AAAAAHfv9qY=")</f>
        <v>#REF!</v>
      </c>
      <c r="FL108" t="e">
        <f>AND(#REF!,"AAAAAHfv9qc=")</f>
        <v>#REF!</v>
      </c>
      <c r="FM108" t="e">
        <f>AND(#REF!,"AAAAAHfv9qg=")</f>
        <v>#REF!</v>
      </c>
      <c r="FN108" t="e">
        <f>AND(#REF!,"AAAAAHfv9qk=")</f>
        <v>#REF!</v>
      </c>
      <c r="FO108" t="e">
        <f>AND(#REF!,"AAAAAHfv9qo=")</f>
        <v>#REF!</v>
      </c>
      <c r="FP108" t="e">
        <f>AND(#REF!,"AAAAAHfv9qs=")</f>
        <v>#REF!</v>
      </c>
      <c r="FQ108" t="e">
        <f>AND(#REF!,"AAAAAHfv9qw=")</f>
        <v>#REF!</v>
      </c>
      <c r="FR108" t="e">
        <f>AND(#REF!,"AAAAAHfv9q0=")</f>
        <v>#REF!</v>
      </c>
      <c r="FS108" t="e">
        <f>AND(#REF!,"AAAAAHfv9q4=")</f>
        <v>#REF!</v>
      </c>
      <c r="FT108" t="e">
        <f>AND(#REF!,"AAAAAHfv9q8=")</f>
        <v>#REF!</v>
      </c>
      <c r="FU108" t="e">
        <f>AND(#REF!,"AAAAAHfv9rA=")</f>
        <v>#REF!</v>
      </c>
      <c r="FV108" t="e">
        <f>AND(#REF!,"AAAAAHfv9rE=")</f>
        <v>#REF!</v>
      </c>
      <c r="FW108" t="e">
        <f>AND(#REF!,"AAAAAHfv9rI=")</f>
        <v>#REF!</v>
      </c>
      <c r="FX108" t="e">
        <f>AND(#REF!,"AAAAAHfv9rM=")</f>
        <v>#REF!</v>
      </c>
      <c r="FY108" t="e">
        <f>AND(#REF!,"AAAAAHfv9rQ=")</f>
        <v>#REF!</v>
      </c>
      <c r="FZ108" t="e">
        <f>AND(#REF!,"AAAAAHfv9rU=")</f>
        <v>#REF!</v>
      </c>
      <c r="GA108" t="e">
        <f>AND(#REF!,"AAAAAHfv9rY=")</f>
        <v>#REF!</v>
      </c>
      <c r="GB108" t="e">
        <f>AND(#REF!,"AAAAAHfv9rc=")</f>
        <v>#REF!</v>
      </c>
      <c r="GC108" t="e">
        <f>AND(#REF!,"AAAAAHfv9rg=")</f>
        <v>#REF!</v>
      </c>
      <c r="GD108" t="e">
        <f>AND(#REF!,"AAAAAHfv9rk=")</f>
        <v>#REF!</v>
      </c>
      <c r="GE108" t="e">
        <f>AND(#REF!,"AAAAAHfv9ro=")</f>
        <v>#REF!</v>
      </c>
      <c r="GF108" t="e">
        <f>AND(#REF!,"AAAAAHfv9rs=")</f>
        <v>#REF!</v>
      </c>
      <c r="GG108" t="e">
        <f>AND(#REF!,"AAAAAHfv9rw=")</f>
        <v>#REF!</v>
      </c>
      <c r="GH108" t="e">
        <f>AND(#REF!,"AAAAAHfv9r0=")</f>
        <v>#REF!</v>
      </c>
      <c r="GI108" t="e">
        <f>AND(#REF!,"AAAAAHfv9r4=")</f>
        <v>#REF!</v>
      </c>
      <c r="GJ108" t="e">
        <f>AND(#REF!,"AAAAAHfv9r8=")</f>
        <v>#REF!</v>
      </c>
      <c r="GK108" t="e">
        <f>AND(#REF!,"AAAAAHfv9sA=")</f>
        <v>#REF!</v>
      </c>
      <c r="GL108" t="e">
        <f>AND(#REF!,"AAAAAHfv9sE=")</f>
        <v>#REF!</v>
      </c>
      <c r="GM108" t="e">
        <f>AND(#REF!,"AAAAAHfv9sI=")</f>
        <v>#REF!</v>
      </c>
      <c r="GN108" t="e">
        <f>AND(#REF!,"AAAAAHfv9sM=")</f>
        <v>#REF!</v>
      </c>
      <c r="GO108" t="e">
        <f>AND(#REF!,"AAAAAHfv9sQ=")</f>
        <v>#REF!</v>
      </c>
      <c r="GP108" t="e">
        <f>AND(#REF!,"AAAAAHfv9sU=")</f>
        <v>#REF!</v>
      </c>
      <c r="GQ108" t="e">
        <f>AND(#REF!,"AAAAAHfv9sY=")</f>
        <v>#REF!</v>
      </c>
      <c r="GR108" t="e">
        <f>AND(#REF!,"AAAAAHfv9sc=")</f>
        <v>#REF!</v>
      </c>
      <c r="GS108" t="e">
        <f>AND(#REF!,"AAAAAHfv9sg=")</f>
        <v>#REF!</v>
      </c>
      <c r="GT108" t="e">
        <f>AND(#REF!,"AAAAAHfv9sk=")</f>
        <v>#REF!</v>
      </c>
      <c r="GU108" t="e">
        <f>AND(#REF!,"AAAAAHfv9so=")</f>
        <v>#REF!</v>
      </c>
      <c r="GV108" t="e">
        <f>AND(#REF!,"AAAAAHfv9ss=")</f>
        <v>#REF!</v>
      </c>
      <c r="GW108" t="e">
        <f>AND(#REF!,"AAAAAHfv9sw=")</f>
        <v>#REF!</v>
      </c>
      <c r="GX108" t="e">
        <f>AND(#REF!,"AAAAAHfv9s0=")</f>
        <v>#REF!</v>
      </c>
      <c r="GY108" t="e">
        <f>AND(#REF!,"AAAAAHfv9s4=")</f>
        <v>#REF!</v>
      </c>
      <c r="GZ108" t="e">
        <f>AND(#REF!,"AAAAAHfv9s8=")</f>
        <v>#REF!</v>
      </c>
      <c r="HA108" t="e">
        <f>AND(#REF!,"AAAAAHfv9tA=")</f>
        <v>#REF!</v>
      </c>
      <c r="HB108" t="e">
        <f>AND(#REF!,"AAAAAHfv9tE=")</f>
        <v>#REF!</v>
      </c>
      <c r="HC108" t="e">
        <f>AND(#REF!,"AAAAAHfv9tI=")</f>
        <v>#REF!</v>
      </c>
      <c r="HD108" t="e">
        <f>AND(#REF!,"AAAAAHfv9tM=")</f>
        <v>#REF!</v>
      </c>
      <c r="HE108" t="e">
        <f>AND(#REF!,"AAAAAHfv9tQ=")</f>
        <v>#REF!</v>
      </c>
      <c r="HF108" t="e">
        <f>AND(#REF!,"AAAAAHfv9tU=")</f>
        <v>#REF!</v>
      </c>
      <c r="HG108" t="e">
        <f>AND(#REF!,"AAAAAHfv9tY=")</f>
        <v>#REF!</v>
      </c>
      <c r="HH108" t="e">
        <f>AND(#REF!,"AAAAAHfv9tc=")</f>
        <v>#REF!</v>
      </c>
      <c r="HI108" t="e">
        <f>AND(#REF!,"AAAAAHfv9tg=")</f>
        <v>#REF!</v>
      </c>
      <c r="HJ108" t="e">
        <f>AND(#REF!,"AAAAAHfv9tk=")</f>
        <v>#REF!</v>
      </c>
      <c r="HK108" t="e">
        <f>AND(#REF!,"AAAAAHfv9to=")</f>
        <v>#REF!</v>
      </c>
      <c r="HL108" t="e">
        <f>AND(#REF!,"AAAAAHfv9ts=")</f>
        <v>#REF!</v>
      </c>
      <c r="HM108" t="e">
        <f>AND(#REF!,"AAAAAHfv9tw=")</f>
        <v>#REF!</v>
      </c>
      <c r="HN108" t="e">
        <f>AND(#REF!,"AAAAAHfv9t0=")</f>
        <v>#REF!</v>
      </c>
      <c r="HO108" t="e">
        <f>AND(#REF!,"AAAAAHfv9t4=")</f>
        <v>#REF!</v>
      </c>
      <c r="HP108" t="e">
        <f>AND(#REF!,"AAAAAHfv9t8=")</f>
        <v>#REF!</v>
      </c>
      <c r="HQ108" t="e">
        <f>AND(#REF!,"AAAAAHfv9uA=")</f>
        <v>#REF!</v>
      </c>
      <c r="HR108" t="e">
        <f>AND(#REF!,"AAAAAHfv9uE=")</f>
        <v>#REF!</v>
      </c>
      <c r="HS108" t="e">
        <f>AND(#REF!,"AAAAAHfv9uI=")</f>
        <v>#REF!</v>
      </c>
      <c r="HT108" t="e">
        <f>AND(#REF!,"AAAAAHfv9uM=")</f>
        <v>#REF!</v>
      </c>
      <c r="HU108" t="e">
        <f>AND(#REF!,"AAAAAHfv9uQ=")</f>
        <v>#REF!</v>
      </c>
      <c r="HV108" t="e">
        <f>AND(#REF!,"AAAAAHfv9uU=")</f>
        <v>#REF!</v>
      </c>
      <c r="HW108" t="e">
        <f>AND(#REF!,"AAAAAHfv9uY=")</f>
        <v>#REF!</v>
      </c>
      <c r="HX108" t="e">
        <f>AND(#REF!,"AAAAAHfv9uc=")</f>
        <v>#REF!</v>
      </c>
      <c r="HY108" t="e">
        <f>AND(#REF!,"AAAAAHfv9ug=")</f>
        <v>#REF!</v>
      </c>
      <c r="HZ108" t="e">
        <f>AND(#REF!,"AAAAAHfv9uk=")</f>
        <v>#REF!</v>
      </c>
      <c r="IA108" t="e">
        <f>AND(#REF!,"AAAAAHfv9uo=")</f>
        <v>#REF!</v>
      </c>
      <c r="IB108" t="e">
        <f>AND(#REF!,"AAAAAHfv9us=")</f>
        <v>#REF!</v>
      </c>
      <c r="IC108" t="e">
        <f>AND(#REF!,"AAAAAHfv9uw=")</f>
        <v>#REF!</v>
      </c>
      <c r="ID108" t="e">
        <f>AND(#REF!,"AAAAAHfv9u0=")</f>
        <v>#REF!</v>
      </c>
      <c r="IE108" t="e">
        <f>AND(#REF!,"AAAAAHfv9u4=")</f>
        <v>#REF!</v>
      </c>
      <c r="IF108" t="e">
        <f>AND(#REF!,"AAAAAHfv9u8=")</f>
        <v>#REF!</v>
      </c>
      <c r="IG108" t="e">
        <f>AND(#REF!,"AAAAAHfv9vA=")</f>
        <v>#REF!</v>
      </c>
      <c r="IH108" t="e">
        <f>AND(#REF!,"AAAAAHfv9vE=")</f>
        <v>#REF!</v>
      </c>
      <c r="II108" t="e">
        <f>AND(#REF!,"AAAAAHfv9vI=")</f>
        <v>#REF!</v>
      </c>
      <c r="IJ108" t="e">
        <f>AND(#REF!,"AAAAAHfv9vM=")</f>
        <v>#REF!</v>
      </c>
      <c r="IK108" t="e">
        <f>AND(#REF!,"AAAAAHfv9vQ=")</f>
        <v>#REF!</v>
      </c>
      <c r="IL108" t="e">
        <f>AND(#REF!,"AAAAAHfv9vU=")</f>
        <v>#REF!</v>
      </c>
      <c r="IM108" t="e">
        <f>AND(#REF!,"AAAAAHfv9vY=")</f>
        <v>#REF!</v>
      </c>
      <c r="IN108" t="e">
        <f>AND(#REF!,"AAAAAHfv9vc=")</f>
        <v>#REF!</v>
      </c>
      <c r="IO108" t="e">
        <f>AND(#REF!,"AAAAAHfv9vg=")</f>
        <v>#REF!</v>
      </c>
      <c r="IP108" t="e">
        <f>AND(#REF!,"AAAAAHfv9vk=")</f>
        <v>#REF!</v>
      </c>
      <c r="IQ108" t="e">
        <f>AND(#REF!,"AAAAAHfv9vo=")</f>
        <v>#REF!</v>
      </c>
      <c r="IR108" t="e">
        <f>AND(#REF!,"AAAAAHfv9vs=")</f>
        <v>#REF!</v>
      </c>
      <c r="IS108" t="e">
        <f>AND(#REF!,"AAAAAHfv9vw=")</f>
        <v>#REF!</v>
      </c>
      <c r="IT108" t="e">
        <f>AND(#REF!,"AAAAAHfv9v0=")</f>
        <v>#REF!</v>
      </c>
      <c r="IU108" t="e">
        <f>AND(#REF!,"AAAAAHfv9v4=")</f>
        <v>#REF!</v>
      </c>
      <c r="IV108" t="e">
        <f>AND(#REF!,"AAAAAHfv9v8=")</f>
        <v>#REF!</v>
      </c>
    </row>
    <row r="109" spans="1:256">
      <c r="A109" t="e">
        <f>AND(#REF!,"AAAAAH0v6wA=")</f>
        <v>#REF!</v>
      </c>
      <c r="B109" t="e">
        <f>AND(#REF!,"AAAAAH0v6wE=")</f>
        <v>#REF!</v>
      </c>
      <c r="C109" t="e">
        <f>AND(#REF!,"AAAAAH0v6wI=")</f>
        <v>#REF!</v>
      </c>
      <c r="D109" t="e">
        <f>AND(#REF!,"AAAAAH0v6wM=")</f>
        <v>#REF!</v>
      </c>
      <c r="E109" t="e">
        <f>AND(#REF!,"AAAAAH0v6wQ=")</f>
        <v>#REF!</v>
      </c>
      <c r="F109" t="e">
        <f>AND(#REF!,"AAAAAH0v6wU=")</f>
        <v>#REF!</v>
      </c>
      <c r="G109" t="e">
        <f>AND(#REF!,"AAAAAH0v6wY=")</f>
        <v>#REF!</v>
      </c>
      <c r="H109" t="e">
        <f>AND(#REF!,"AAAAAH0v6wc=")</f>
        <v>#REF!</v>
      </c>
      <c r="I109" t="e">
        <f>AND(#REF!,"AAAAAH0v6wg=")</f>
        <v>#REF!</v>
      </c>
      <c r="J109" t="e">
        <f>AND(#REF!,"AAAAAH0v6wk=")</f>
        <v>#REF!</v>
      </c>
      <c r="K109" t="e">
        <f>AND(#REF!,"AAAAAH0v6wo=")</f>
        <v>#REF!</v>
      </c>
      <c r="L109" t="e">
        <f>AND(#REF!,"AAAAAH0v6ws=")</f>
        <v>#REF!</v>
      </c>
      <c r="M109" t="e">
        <f>AND(#REF!,"AAAAAH0v6ww=")</f>
        <v>#REF!</v>
      </c>
      <c r="N109" t="e">
        <f>AND(#REF!,"AAAAAH0v6w0=")</f>
        <v>#REF!</v>
      </c>
      <c r="O109" t="e">
        <f>AND(#REF!,"AAAAAH0v6w4=")</f>
        <v>#REF!</v>
      </c>
      <c r="P109" t="e">
        <f>AND(#REF!,"AAAAAH0v6w8=")</f>
        <v>#REF!</v>
      </c>
      <c r="Q109" t="e">
        <f>AND(#REF!,"AAAAAH0v6xA=")</f>
        <v>#REF!</v>
      </c>
      <c r="R109" t="e">
        <f>AND(#REF!,"AAAAAH0v6xE=")</f>
        <v>#REF!</v>
      </c>
      <c r="S109" t="e">
        <f>AND(#REF!,"AAAAAH0v6xI=")</f>
        <v>#REF!</v>
      </c>
      <c r="T109" t="e">
        <f>AND(#REF!,"AAAAAH0v6xM=")</f>
        <v>#REF!</v>
      </c>
      <c r="U109" t="e">
        <f>AND(#REF!,"AAAAAH0v6xQ=")</f>
        <v>#REF!</v>
      </c>
      <c r="V109" t="e">
        <f>AND(#REF!,"AAAAAH0v6xU=")</f>
        <v>#REF!</v>
      </c>
      <c r="W109" t="e">
        <f>AND(#REF!,"AAAAAH0v6xY=")</f>
        <v>#REF!</v>
      </c>
      <c r="X109" t="e">
        <f>AND(#REF!,"AAAAAH0v6xc=")</f>
        <v>#REF!</v>
      </c>
      <c r="Y109" t="e">
        <f>AND(#REF!,"AAAAAH0v6xg=")</f>
        <v>#REF!</v>
      </c>
      <c r="Z109" t="e">
        <f>AND(#REF!,"AAAAAH0v6xk=")</f>
        <v>#REF!</v>
      </c>
      <c r="AA109" t="e">
        <f>AND(#REF!,"AAAAAH0v6xo=")</f>
        <v>#REF!</v>
      </c>
      <c r="AB109" t="e">
        <f>AND(#REF!,"AAAAAH0v6xs=")</f>
        <v>#REF!</v>
      </c>
      <c r="AC109" t="e">
        <f>AND(#REF!,"AAAAAH0v6xw=")</f>
        <v>#REF!</v>
      </c>
      <c r="AD109" t="e">
        <f>AND(#REF!,"AAAAAH0v6x0=")</f>
        <v>#REF!</v>
      </c>
      <c r="AE109" t="e">
        <f>AND(#REF!,"AAAAAH0v6x4=")</f>
        <v>#REF!</v>
      </c>
      <c r="AF109" t="e">
        <f>AND(#REF!,"AAAAAH0v6x8=")</f>
        <v>#REF!</v>
      </c>
      <c r="AG109" t="e">
        <f>AND(#REF!,"AAAAAH0v6yA=")</f>
        <v>#REF!</v>
      </c>
      <c r="AH109" t="e">
        <f>AND(#REF!,"AAAAAH0v6yE=")</f>
        <v>#REF!</v>
      </c>
      <c r="AI109" t="e">
        <f>AND(#REF!,"AAAAAH0v6yI=")</f>
        <v>#REF!</v>
      </c>
      <c r="AJ109" t="e">
        <f>AND(#REF!,"AAAAAH0v6yM=")</f>
        <v>#REF!</v>
      </c>
      <c r="AK109" t="e">
        <f>AND(#REF!,"AAAAAH0v6yQ=")</f>
        <v>#REF!</v>
      </c>
      <c r="AL109" t="e">
        <f>AND(#REF!,"AAAAAH0v6yU=")</f>
        <v>#REF!</v>
      </c>
      <c r="AM109" t="e">
        <f>AND(#REF!,"AAAAAH0v6yY=")</f>
        <v>#REF!</v>
      </c>
      <c r="AN109" t="e">
        <f>AND(#REF!,"AAAAAH0v6yc=")</f>
        <v>#REF!</v>
      </c>
      <c r="AO109" t="e">
        <f>AND(#REF!,"AAAAAH0v6yg=")</f>
        <v>#REF!</v>
      </c>
      <c r="AP109" t="e">
        <f>AND(#REF!,"AAAAAH0v6yk=")</f>
        <v>#REF!</v>
      </c>
      <c r="AQ109" t="e">
        <f>AND(#REF!,"AAAAAH0v6yo=")</f>
        <v>#REF!</v>
      </c>
      <c r="AR109" t="e">
        <f>AND(#REF!,"AAAAAH0v6ys=")</f>
        <v>#REF!</v>
      </c>
      <c r="AS109" t="e">
        <f>AND(#REF!,"AAAAAH0v6yw=")</f>
        <v>#REF!</v>
      </c>
      <c r="AT109" t="e">
        <f>AND(#REF!,"AAAAAH0v6y0=")</f>
        <v>#REF!</v>
      </c>
      <c r="AU109" t="e">
        <f>AND(#REF!,"AAAAAH0v6y4=")</f>
        <v>#REF!</v>
      </c>
      <c r="AV109" t="e">
        <f>AND(#REF!,"AAAAAH0v6y8=")</f>
        <v>#REF!</v>
      </c>
      <c r="AW109" t="e">
        <f>AND(#REF!,"AAAAAH0v6zA=")</f>
        <v>#REF!</v>
      </c>
      <c r="AX109" t="e">
        <f>AND(#REF!,"AAAAAH0v6zE=")</f>
        <v>#REF!</v>
      </c>
      <c r="AY109" t="e">
        <f>AND(#REF!,"AAAAAH0v6zI=")</f>
        <v>#REF!</v>
      </c>
      <c r="AZ109" t="e">
        <f>AND(#REF!,"AAAAAH0v6zM=")</f>
        <v>#REF!</v>
      </c>
      <c r="BA109" t="e">
        <f>AND(#REF!,"AAAAAH0v6zQ=")</f>
        <v>#REF!</v>
      </c>
      <c r="BB109" t="e">
        <f>AND(#REF!,"AAAAAH0v6zU=")</f>
        <v>#REF!</v>
      </c>
      <c r="BC109" t="e">
        <f>AND(#REF!,"AAAAAH0v6zY=")</f>
        <v>#REF!</v>
      </c>
      <c r="BD109" t="e">
        <f>AND(#REF!,"AAAAAH0v6zc=")</f>
        <v>#REF!</v>
      </c>
      <c r="BE109" t="e">
        <f>AND(#REF!,"AAAAAH0v6zg=")</f>
        <v>#REF!</v>
      </c>
      <c r="BF109" t="e">
        <f>AND(#REF!,"AAAAAH0v6zk=")</f>
        <v>#REF!</v>
      </c>
      <c r="BG109" t="e">
        <f>AND(#REF!,"AAAAAH0v6zo=")</f>
        <v>#REF!</v>
      </c>
      <c r="BH109" t="e">
        <f>AND(#REF!,"AAAAAH0v6zs=")</f>
        <v>#REF!</v>
      </c>
      <c r="BI109" t="e">
        <f>AND(#REF!,"AAAAAH0v6zw=")</f>
        <v>#REF!</v>
      </c>
      <c r="BJ109" t="e">
        <f>AND(#REF!,"AAAAAH0v6z0=")</f>
        <v>#REF!</v>
      </c>
      <c r="BK109" t="e">
        <f>AND(#REF!,"AAAAAH0v6z4=")</f>
        <v>#REF!</v>
      </c>
      <c r="BL109" t="e">
        <f>AND(#REF!,"AAAAAH0v6z8=")</f>
        <v>#REF!</v>
      </c>
      <c r="BM109" t="e">
        <f>AND(#REF!,"AAAAAH0v60A=")</f>
        <v>#REF!</v>
      </c>
      <c r="BN109" t="e">
        <f>AND(#REF!,"AAAAAH0v60E=")</f>
        <v>#REF!</v>
      </c>
      <c r="BO109" t="e">
        <f>AND(#REF!,"AAAAAH0v60I=")</f>
        <v>#REF!</v>
      </c>
      <c r="BP109" t="e">
        <f>AND(#REF!,"AAAAAH0v60M=")</f>
        <v>#REF!</v>
      </c>
      <c r="BQ109" t="e">
        <f>AND(#REF!,"AAAAAH0v60Q=")</f>
        <v>#REF!</v>
      </c>
      <c r="BR109" t="e">
        <f>AND(#REF!,"AAAAAH0v60U=")</f>
        <v>#REF!</v>
      </c>
      <c r="BS109" t="e">
        <f>AND(#REF!,"AAAAAH0v60Y=")</f>
        <v>#REF!</v>
      </c>
      <c r="BT109" t="e">
        <f>AND(#REF!,"AAAAAH0v60c=")</f>
        <v>#REF!</v>
      </c>
      <c r="BU109" t="e">
        <f>AND(#REF!,"AAAAAH0v60g=")</f>
        <v>#REF!</v>
      </c>
      <c r="BV109" t="e">
        <f>AND(#REF!,"AAAAAH0v60k=")</f>
        <v>#REF!</v>
      </c>
      <c r="BW109" t="e">
        <f>AND(#REF!,"AAAAAH0v60o=")</f>
        <v>#REF!</v>
      </c>
      <c r="BX109" t="e">
        <f>AND(#REF!,"AAAAAH0v60s=")</f>
        <v>#REF!</v>
      </c>
      <c r="BY109" t="e">
        <f>AND(#REF!,"AAAAAH0v60w=")</f>
        <v>#REF!</v>
      </c>
      <c r="BZ109" t="e">
        <f>AND(#REF!,"AAAAAH0v600=")</f>
        <v>#REF!</v>
      </c>
      <c r="CA109" t="e">
        <f>AND(#REF!,"AAAAAH0v604=")</f>
        <v>#REF!</v>
      </c>
      <c r="CB109" t="e">
        <f>AND(#REF!,"AAAAAH0v608=")</f>
        <v>#REF!</v>
      </c>
      <c r="CC109" t="e">
        <f>AND(#REF!,"AAAAAH0v61A=")</f>
        <v>#REF!</v>
      </c>
      <c r="CD109" t="e">
        <f>AND(#REF!,"AAAAAH0v61E=")</f>
        <v>#REF!</v>
      </c>
      <c r="CE109" t="e">
        <f>AND(#REF!,"AAAAAH0v61I=")</f>
        <v>#REF!</v>
      </c>
      <c r="CF109" t="e">
        <f>AND(#REF!,"AAAAAH0v61M=")</f>
        <v>#REF!</v>
      </c>
      <c r="CG109" t="e">
        <f>AND(#REF!,"AAAAAH0v61Q=")</f>
        <v>#REF!</v>
      </c>
      <c r="CH109" t="e">
        <f>AND(#REF!,"AAAAAH0v61U=")</f>
        <v>#REF!</v>
      </c>
      <c r="CI109" t="e">
        <f>AND(#REF!,"AAAAAH0v61Y=")</f>
        <v>#REF!</v>
      </c>
      <c r="CJ109" t="e">
        <f>AND(#REF!,"AAAAAH0v61c=")</f>
        <v>#REF!</v>
      </c>
      <c r="CK109" t="e">
        <f>AND(#REF!,"AAAAAH0v61g=")</f>
        <v>#REF!</v>
      </c>
      <c r="CL109" t="e">
        <f>AND(#REF!,"AAAAAH0v61k=")</f>
        <v>#REF!</v>
      </c>
      <c r="CM109" t="e">
        <f>AND(#REF!,"AAAAAH0v61o=")</f>
        <v>#REF!</v>
      </c>
      <c r="CN109" t="e">
        <f>AND(#REF!,"AAAAAH0v61s=")</f>
        <v>#REF!</v>
      </c>
      <c r="CO109" t="e">
        <f>AND(#REF!,"AAAAAH0v61w=")</f>
        <v>#REF!</v>
      </c>
      <c r="CP109" t="e">
        <f>AND(#REF!,"AAAAAH0v610=")</f>
        <v>#REF!</v>
      </c>
      <c r="CQ109" t="e">
        <f>AND(#REF!,"AAAAAH0v614=")</f>
        <v>#REF!</v>
      </c>
      <c r="CR109" t="e">
        <f>AND(#REF!,"AAAAAH0v618=")</f>
        <v>#REF!</v>
      </c>
      <c r="CS109" t="e">
        <f>AND(#REF!,"AAAAAH0v62A=")</f>
        <v>#REF!</v>
      </c>
      <c r="CT109" t="e">
        <f>AND(#REF!,"AAAAAH0v62E=")</f>
        <v>#REF!</v>
      </c>
      <c r="CU109" t="e">
        <f>AND(#REF!,"AAAAAH0v62I=")</f>
        <v>#REF!</v>
      </c>
      <c r="CV109" t="e">
        <f>AND(#REF!,"AAAAAH0v62M=")</f>
        <v>#REF!</v>
      </c>
      <c r="CW109" t="e">
        <f>AND(#REF!,"AAAAAH0v62Q=")</f>
        <v>#REF!</v>
      </c>
      <c r="CX109" t="e">
        <f>AND(#REF!,"AAAAAH0v62U=")</f>
        <v>#REF!</v>
      </c>
      <c r="CY109" t="e">
        <f>AND(#REF!,"AAAAAH0v62Y=")</f>
        <v>#REF!</v>
      </c>
      <c r="CZ109" t="e">
        <f>AND(#REF!,"AAAAAH0v62c=")</f>
        <v>#REF!</v>
      </c>
      <c r="DA109" t="e">
        <f>AND(#REF!,"AAAAAH0v62g=")</f>
        <v>#REF!</v>
      </c>
      <c r="DB109" t="e">
        <f>AND(#REF!,"AAAAAH0v62k=")</f>
        <v>#REF!</v>
      </c>
      <c r="DC109" t="e">
        <f>AND(#REF!,"AAAAAH0v62o=")</f>
        <v>#REF!</v>
      </c>
      <c r="DD109" t="e">
        <f>AND(#REF!,"AAAAAH0v62s=")</f>
        <v>#REF!</v>
      </c>
      <c r="DE109" t="e">
        <f>AND(#REF!,"AAAAAH0v62w=")</f>
        <v>#REF!</v>
      </c>
      <c r="DF109" t="e">
        <f>AND(#REF!,"AAAAAH0v620=")</f>
        <v>#REF!</v>
      </c>
      <c r="DG109" t="e">
        <f>AND(#REF!,"AAAAAH0v624=")</f>
        <v>#REF!</v>
      </c>
      <c r="DH109" t="e">
        <f>AND(#REF!,"AAAAAH0v628=")</f>
        <v>#REF!</v>
      </c>
      <c r="DI109" t="e">
        <f>AND(#REF!,"AAAAAH0v63A=")</f>
        <v>#REF!</v>
      </c>
      <c r="DJ109" t="e">
        <f>AND(#REF!,"AAAAAH0v63E=")</f>
        <v>#REF!</v>
      </c>
      <c r="DK109" t="e">
        <f>AND(#REF!,"AAAAAH0v63I=")</f>
        <v>#REF!</v>
      </c>
      <c r="DL109" t="e">
        <f>AND(#REF!,"AAAAAH0v63M=")</f>
        <v>#REF!</v>
      </c>
      <c r="DM109" t="e">
        <f>AND(#REF!,"AAAAAH0v63Q=")</f>
        <v>#REF!</v>
      </c>
      <c r="DN109" t="e">
        <f>AND(#REF!,"AAAAAH0v63U=")</f>
        <v>#REF!</v>
      </c>
      <c r="DO109" t="e">
        <f>AND(#REF!,"AAAAAH0v63Y=")</f>
        <v>#REF!</v>
      </c>
      <c r="DP109" t="e">
        <f>AND(#REF!,"AAAAAH0v63c=")</f>
        <v>#REF!</v>
      </c>
      <c r="DQ109" t="e">
        <f>AND(#REF!,"AAAAAH0v63g=")</f>
        <v>#REF!</v>
      </c>
      <c r="DR109" t="e">
        <f>AND(#REF!,"AAAAAH0v63k=")</f>
        <v>#REF!</v>
      </c>
      <c r="DS109" t="e">
        <f>AND(#REF!,"AAAAAH0v63o=")</f>
        <v>#REF!</v>
      </c>
      <c r="DT109" t="e">
        <f>AND(#REF!,"AAAAAH0v63s=")</f>
        <v>#REF!</v>
      </c>
      <c r="DU109" t="e">
        <f>AND(#REF!,"AAAAAH0v63w=")</f>
        <v>#REF!</v>
      </c>
      <c r="DV109" t="e">
        <f>AND(#REF!,"AAAAAH0v630=")</f>
        <v>#REF!</v>
      </c>
      <c r="DW109" t="e">
        <f>AND(#REF!,"AAAAAH0v634=")</f>
        <v>#REF!</v>
      </c>
      <c r="DX109" t="e">
        <f>AND(#REF!,"AAAAAH0v638=")</f>
        <v>#REF!</v>
      </c>
      <c r="DY109" t="e">
        <f>AND(#REF!,"AAAAAH0v64A=")</f>
        <v>#REF!</v>
      </c>
      <c r="DZ109" t="e">
        <f>AND(#REF!,"AAAAAH0v64E=")</f>
        <v>#REF!</v>
      </c>
      <c r="EA109" t="e">
        <f>AND(#REF!,"AAAAAH0v64I=")</f>
        <v>#REF!</v>
      </c>
      <c r="EB109" t="e">
        <f>AND(#REF!,"AAAAAH0v64M=")</f>
        <v>#REF!</v>
      </c>
      <c r="EC109" t="e">
        <f>AND(#REF!,"AAAAAH0v64Q=")</f>
        <v>#REF!</v>
      </c>
      <c r="ED109" t="e">
        <f>AND(#REF!,"AAAAAH0v64U=")</f>
        <v>#REF!</v>
      </c>
      <c r="EE109" t="e">
        <f>AND(#REF!,"AAAAAH0v64Y=")</f>
        <v>#REF!</v>
      </c>
      <c r="EF109" t="e">
        <f>AND(#REF!,"AAAAAH0v64c=")</f>
        <v>#REF!</v>
      </c>
      <c r="EG109" t="e">
        <f>AND(#REF!,"AAAAAH0v64g=")</f>
        <v>#REF!</v>
      </c>
      <c r="EH109" t="e">
        <f>AND(#REF!,"AAAAAH0v64k=")</f>
        <v>#REF!</v>
      </c>
      <c r="EI109" t="e">
        <f>AND(#REF!,"AAAAAH0v64o=")</f>
        <v>#REF!</v>
      </c>
      <c r="EJ109" t="e">
        <f>AND(#REF!,"AAAAAH0v64s=")</f>
        <v>#REF!</v>
      </c>
      <c r="EK109" t="e">
        <f>AND(#REF!,"AAAAAH0v64w=")</f>
        <v>#REF!</v>
      </c>
      <c r="EL109" t="e">
        <f>AND(#REF!,"AAAAAH0v640=")</f>
        <v>#REF!</v>
      </c>
      <c r="EM109" t="e">
        <f>AND(#REF!,"AAAAAH0v644=")</f>
        <v>#REF!</v>
      </c>
      <c r="EN109" t="e">
        <f>AND(#REF!,"AAAAAH0v648=")</f>
        <v>#REF!</v>
      </c>
      <c r="EO109" t="e">
        <f>AND(#REF!,"AAAAAH0v65A=")</f>
        <v>#REF!</v>
      </c>
      <c r="EP109" t="e">
        <f>AND(#REF!,"AAAAAH0v65E=")</f>
        <v>#REF!</v>
      </c>
      <c r="EQ109" t="e">
        <f>AND(#REF!,"AAAAAH0v65I=")</f>
        <v>#REF!</v>
      </c>
      <c r="ER109" t="e">
        <f>AND(#REF!,"AAAAAH0v65M=")</f>
        <v>#REF!</v>
      </c>
      <c r="ES109" t="e">
        <f>AND(#REF!,"AAAAAH0v65Q=")</f>
        <v>#REF!</v>
      </c>
      <c r="ET109" t="e">
        <f>AND(#REF!,"AAAAAH0v65U=")</f>
        <v>#REF!</v>
      </c>
      <c r="EU109" t="e">
        <f>AND(#REF!,"AAAAAH0v65Y=")</f>
        <v>#REF!</v>
      </c>
      <c r="EV109" t="e">
        <f>AND(#REF!,"AAAAAH0v65c=")</f>
        <v>#REF!</v>
      </c>
      <c r="EW109" t="e">
        <f>AND(#REF!,"AAAAAH0v65g=")</f>
        <v>#REF!</v>
      </c>
      <c r="EX109" t="e">
        <f>AND(#REF!,"AAAAAH0v65k=")</f>
        <v>#REF!</v>
      </c>
      <c r="EY109" t="e">
        <f>AND(#REF!,"AAAAAH0v65o=")</f>
        <v>#REF!</v>
      </c>
      <c r="EZ109" t="e">
        <f>AND(#REF!,"AAAAAH0v65s=")</f>
        <v>#REF!</v>
      </c>
      <c r="FA109" t="e">
        <f>AND(#REF!,"AAAAAH0v65w=")</f>
        <v>#REF!</v>
      </c>
      <c r="FB109" t="e">
        <f>AND(#REF!,"AAAAAH0v650=")</f>
        <v>#REF!</v>
      </c>
      <c r="FC109" t="e">
        <f>AND(#REF!,"AAAAAH0v654=")</f>
        <v>#REF!</v>
      </c>
      <c r="FD109" t="e">
        <f>AND(#REF!,"AAAAAH0v658=")</f>
        <v>#REF!</v>
      </c>
      <c r="FE109" t="e">
        <f>AND(#REF!,"AAAAAH0v66A=")</f>
        <v>#REF!</v>
      </c>
      <c r="FF109" t="e">
        <f>AND(#REF!,"AAAAAH0v66E=")</f>
        <v>#REF!</v>
      </c>
      <c r="FG109" t="e">
        <f>AND(#REF!,"AAAAAH0v66I=")</f>
        <v>#REF!</v>
      </c>
      <c r="FH109" t="e">
        <f>AND(#REF!,"AAAAAH0v66M=")</f>
        <v>#REF!</v>
      </c>
      <c r="FI109" t="e">
        <f>AND(#REF!,"AAAAAH0v66Q=")</f>
        <v>#REF!</v>
      </c>
      <c r="FJ109" t="e">
        <f>AND(#REF!,"AAAAAH0v66U=")</f>
        <v>#REF!</v>
      </c>
      <c r="FK109" t="e">
        <f>AND(#REF!,"AAAAAH0v66Y=")</f>
        <v>#REF!</v>
      </c>
      <c r="FL109" t="e">
        <f>AND(#REF!,"AAAAAH0v66c=")</f>
        <v>#REF!</v>
      </c>
      <c r="FM109" t="e">
        <f>AND(#REF!,"AAAAAH0v66g=")</f>
        <v>#REF!</v>
      </c>
      <c r="FN109" t="e">
        <f>AND(#REF!,"AAAAAH0v66k=")</f>
        <v>#REF!</v>
      </c>
      <c r="FO109" t="e">
        <f>AND(#REF!,"AAAAAH0v66o=")</f>
        <v>#REF!</v>
      </c>
      <c r="FP109" t="e">
        <f>AND(#REF!,"AAAAAH0v66s=")</f>
        <v>#REF!</v>
      </c>
      <c r="FQ109" t="e">
        <f>AND(#REF!,"AAAAAH0v66w=")</f>
        <v>#REF!</v>
      </c>
      <c r="FR109" t="e">
        <f>AND(#REF!,"AAAAAH0v660=")</f>
        <v>#REF!</v>
      </c>
      <c r="FS109" t="e">
        <f>AND(#REF!,"AAAAAH0v664=")</f>
        <v>#REF!</v>
      </c>
      <c r="FT109" t="e">
        <f>AND(#REF!,"AAAAAH0v668=")</f>
        <v>#REF!</v>
      </c>
      <c r="FU109" t="e">
        <f>AND(#REF!,"AAAAAH0v67A=")</f>
        <v>#REF!</v>
      </c>
      <c r="FV109" t="e">
        <f>AND(#REF!,"AAAAAH0v67E=")</f>
        <v>#REF!</v>
      </c>
      <c r="FW109" t="e">
        <f>AND(#REF!,"AAAAAH0v67I=")</f>
        <v>#REF!</v>
      </c>
      <c r="FX109" t="e">
        <f>AND(#REF!,"AAAAAH0v67M=")</f>
        <v>#REF!</v>
      </c>
      <c r="FY109" t="e">
        <f>AND(#REF!,"AAAAAH0v67Q=")</f>
        <v>#REF!</v>
      </c>
      <c r="FZ109" t="e">
        <f>AND(#REF!,"AAAAAH0v67U=")</f>
        <v>#REF!</v>
      </c>
      <c r="GA109" t="e">
        <f>AND(#REF!,"AAAAAH0v67Y=")</f>
        <v>#REF!</v>
      </c>
      <c r="GB109" t="e">
        <f>AND(#REF!,"AAAAAH0v67c=")</f>
        <v>#REF!</v>
      </c>
      <c r="GC109" t="e">
        <f>AND(#REF!,"AAAAAH0v67g=")</f>
        <v>#REF!</v>
      </c>
      <c r="GD109" t="e">
        <f>AND(#REF!,"AAAAAH0v67k=")</f>
        <v>#REF!</v>
      </c>
      <c r="GE109" t="e">
        <f>AND(#REF!,"AAAAAH0v67o=")</f>
        <v>#REF!</v>
      </c>
      <c r="GF109" t="e">
        <f>AND(#REF!,"AAAAAH0v67s=")</f>
        <v>#REF!</v>
      </c>
      <c r="GG109" t="e">
        <f>AND(#REF!,"AAAAAH0v67w=")</f>
        <v>#REF!</v>
      </c>
      <c r="GH109" t="e">
        <f>AND(#REF!,"AAAAAH0v670=")</f>
        <v>#REF!</v>
      </c>
      <c r="GI109" t="e">
        <f>AND(#REF!,"AAAAAH0v674=")</f>
        <v>#REF!</v>
      </c>
      <c r="GJ109" t="e">
        <f>AND(#REF!,"AAAAAH0v678=")</f>
        <v>#REF!</v>
      </c>
      <c r="GK109" t="e">
        <f>AND(#REF!,"AAAAAH0v68A=")</f>
        <v>#REF!</v>
      </c>
      <c r="GL109" t="e">
        <f>AND(#REF!,"AAAAAH0v68E=")</f>
        <v>#REF!</v>
      </c>
      <c r="GM109" t="e">
        <f>AND(#REF!,"AAAAAH0v68I=")</f>
        <v>#REF!</v>
      </c>
      <c r="GN109" t="e">
        <f>AND(#REF!,"AAAAAH0v68M=")</f>
        <v>#REF!</v>
      </c>
      <c r="GO109" t="e">
        <f>AND(#REF!,"AAAAAH0v68Q=")</f>
        <v>#REF!</v>
      </c>
      <c r="GP109" t="e">
        <f>AND(#REF!,"AAAAAH0v68U=")</f>
        <v>#REF!</v>
      </c>
      <c r="GQ109" t="e">
        <f>AND(#REF!,"AAAAAH0v68Y=")</f>
        <v>#REF!</v>
      </c>
      <c r="GR109" t="e">
        <f>AND(#REF!,"AAAAAH0v68c=")</f>
        <v>#REF!</v>
      </c>
      <c r="GS109" t="e">
        <f>AND(#REF!,"AAAAAH0v68g=")</f>
        <v>#REF!</v>
      </c>
      <c r="GT109" t="e">
        <f>AND(#REF!,"AAAAAH0v68k=")</f>
        <v>#REF!</v>
      </c>
      <c r="GU109" t="e">
        <f>AND(#REF!,"AAAAAH0v68o=")</f>
        <v>#REF!</v>
      </c>
      <c r="GV109" t="e">
        <f>AND(#REF!,"AAAAAH0v68s=")</f>
        <v>#REF!</v>
      </c>
      <c r="GW109" t="e">
        <f>AND(#REF!,"AAAAAH0v68w=")</f>
        <v>#REF!</v>
      </c>
      <c r="GX109" t="e">
        <f>AND(#REF!,"AAAAAH0v680=")</f>
        <v>#REF!</v>
      </c>
      <c r="GY109" t="e">
        <f>AND(#REF!,"AAAAAH0v684=")</f>
        <v>#REF!</v>
      </c>
      <c r="GZ109" t="e">
        <f>AND(#REF!,"AAAAAH0v688=")</f>
        <v>#REF!</v>
      </c>
      <c r="HA109" t="e">
        <f>AND(#REF!,"AAAAAH0v69A=")</f>
        <v>#REF!</v>
      </c>
      <c r="HB109" t="e">
        <f>AND(#REF!,"AAAAAH0v69E=")</f>
        <v>#REF!</v>
      </c>
      <c r="HC109" t="e">
        <f>AND(#REF!,"AAAAAH0v69I=")</f>
        <v>#REF!</v>
      </c>
      <c r="HD109" t="e">
        <f>AND(#REF!,"AAAAAH0v69M=")</f>
        <v>#REF!</v>
      </c>
      <c r="HE109" t="e">
        <f>AND(#REF!,"AAAAAH0v69Q=")</f>
        <v>#REF!</v>
      </c>
      <c r="HF109" t="e">
        <f>AND(#REF!,"AAAAAH0v69U=")</f>
        <v>#REF!</v>
      </c>
      <c r="HG109" t="e">
        <f>AND(#REF!,"AAAAAH0v69Y=")</f>
        <v>#REF!</v>
      </c>
      <c r="HH109" t="e">
        <f>AND(#REF!,"AAAAAH0v69c=")</f>
        <v>#REF!</v>
      </c>
      <c r="HI109" t="e">
        <f>AND(#REF!,"AAAAAH0v69g=")</f>
        <v>#REF!</v>
      </c>
      <c r="HJ109" t="e">
        <f>AND(#REF!,"AAAAAH0v69k=")</f>
        <v>#REF!</v>
      </c>
      <c r="HK109" t="e">
        <f>AND(#REF!,"AAAAAH0v69o=")</f>
        <v>#REF!</v>
      </c>
      <c r="HL109" t="e">
        <f>AND(#REF!,"AAAAAH0v69s=")</f>
        <v>#REF!</v>
      </c>
      <c r="HM109" t="e">
        <f>AND(#REF!,"AAAAAH0v69w=")</f>
        <v>#REF!</v>
      </c>
      <c r="HN109" t="e">
        <f>AND(#REF!,"AAAAAH0v690=")</f>
        <v>#REF!</v>
      </c>
      <c r="HO109" t="e">
        <f>AND(#REF!,"AAAAAH0v694=")</f>
        <v>#REF!</v>
      </c>
      <c r="HP109" t="e">
        <f>AND(#REF!,"AAAAAH0v698=")</f>
        <v>#REF!</v>
      </c>
      <c r="HQ109" t="e">
        <f>AND(#REF!,"AAAAAH0v6+A=")</f>
        <v>#REF!</v>
      </c>
      <c r="HR109" t="e">
        <f>AND(#REF!,"AAAAAH0v6+E=")</f>
        <v>#REF!</v>
      </c>
      <c r="HS109" t="e">
        <f>AND(#REF!,"AAAAAH0v6+I=")</f>
        <v>#REF!</v>
      </c>
      <c r="HT109" t="e">
        <f>AND(#REF!,"AAAAAH0v6+M=")</f>
        <v>#REF!</v>
      </c>
      <c r="HU109" t="e">
        <f>AND(#REF!,"AAAAAH0v6+Q=")</f>
        <v>#REF!</v>
      </c>
      <c r="HV109" t="e">
        <f>AND(#REF!,"AAAAAH0v6+U=")</f>
        <v>#REF!</v>
      </c>
      <c r="HW109" t="e">
        <f>AND(#REF!,"AAAAAH0v6+Y=")</f>
        <v>#REF!</v>
      </c>
      <c r="HX109" t="e">
        <f>AND(#REF!,"AAAAAH0v6+c=")</f>
        <v>#REF!</v>
      </c>
      <c r="HY109" t="e">
        <f>AND(#REF!,"AAAAAH0v6+g=")</f>
        <v>#REF!</v>
      </c>
      <c r="HZ109" t="e">
        <f>AND(#REF!,"AAAAAH0v6+k=")</f>
        <v>#REF!</v>
      </c>
      <c r="IA109" t="e">
        <f>AND(#REF!,"AAAAAH0v6+o=")</f>
        <v>#REF!</v>
      </c>
      <c r="IB109" t="e">
        <f>AND(#REF!,"AAAAAH0v6+s=")</f>
        <v>#REF!</v>
      </c>
      <c r="IC109" t="e">
        <f>AND(#REF!,"AAAAAH0v6+w=")</f>
        <v>#REF!</v>
      </c>
      <c r="ID109" t="e">
        <f>AND(#REF!,"AAAAAH0v6+0=")</f>
        <v>#REF!</v>
      </c>
      <c r="IE109" t="e">
        <f>AND(#REF!,"AAAAAH0v6+4=")</f>
        <v>#REF!</v>
      </c>
      <c r="IF109" t="e">
        <f>AND(#REF!,"AAAAAH0v6+8=")</f>
        <v>#REF!</v>
      </c>
      <c r="IG109" t="e">
        <f>AND(#REF!,"AAAAAH0v6/A=")</f>
        <v>#REF!</v>
      </c>
      <c r="IH109" t="e">
        <f>AND(#REF!,"AAAAAH0v6/E=")</f>
        <v>#REF!</v>
      </c>
      <c r="II109" t="e">
        <f>AND(#REF!,"AAAAAH0v6/I=")</f>
        <v>#REF!</v>
      </c>
      <c r="IJ109" t="e">
        <f>AND(#REF!,"AAAAAH0v6/M=")</f>
        <v>#REF!</v>
      </c>
      <c r="IK109" t="e">
        <f>AND(#REF!,"AAAAAH0v6/Q=")</f>
        <v>#REF!</v>
      </c>
      <c r="IL109" t="e">
        <f>AND(#REF!,"AAAAAH0v6/U=")</f>
        <v>#REF!</v>
      </c>
      <c r="IM109" t="e">
        <f>AND(#REF!,"AAAAAH0v6/Y=")</f>
        <v>#REF!</v>
      </c>
      <c r="IN109" t="e">
        <f>AND(#REF!,"AAAAAH0v6/c=")</f>
        <v>#REF!</v>
      </c>
      <c r="IO109" t="e">
        <f>AND(#REF!,"AAAAAH0v6/g=")</f>
        <v>#REF!</v>
      </c>
      <c r="IP109" t="e">
        <f>AND(#REF!,"AAAAAH0v6/k=")</f>
        <v>#REF!</v>
      </c>
      <c r="IQ109" t="e">
        <f>AND(#REF!,"AAAAAH0v6/o=")</f>
        <v>#REF!</v>
      </c>
      <c r="IR109" t="e">
        <f>AND(#REF!,"AAAAAH0v6/s=")</f>
        <v>#REF!</v>
      </c>
      <c r="IS109" t="e">
        <f>AND(#REF!,"AAAAAH0v6/w=")</f>
        <v>#REF!</v>
      </c>
      <c r="IT109" t="e">
        <f>AND(#REF!,"AAAAAH0v6/0=")</f>
        <v>#REF!</v>
      </c>
      <c r="IU109" t="e">
        <f>AND(#REF!,"AAAAAH0v6/4=")</f>
        <v>#REF!</v>
      </c>
      <c r="IV109" t="e">
        <f>AND(#REF!,"AAAAAH0v6/8=")</f>
        <v>#REF!</v>
      </c>
    </row>
    <row r="110" spans="1:256">
      <c r="A110" t="e">
        <f>AND(#REF!,"AAAAADv/+QA=")</f>
        <v>#REF!</v>
      </c>
      <c r="B110" t="e">
        <f>AND(#REF!,"AAAAADv/+QE=")</f>
        <v>#REF!</v>
      </c>
      <c r="C110" t="e">
        <f>AND(#REF!,"AAAAADv/+QI=")</f>
        <v>#REF!</v>
      </c>
      <c r="D110" t="e">
        <f>AND(#REF!,"AAAAADv/+QM=")</f>
        <v>#REF!</v>
      </c>
      <c r="E110" t="e">
        <f>AND(#REF!,"AAAAADv/+QQ=")</f>
        <v>#REF!</v>
      </c>
      <c r="F110" t="e">
        <f>AND(#REF!,"AAAAADv/+QU=")</f>
        <v>#REF!</v>
      </c>
      <c r="G110" t="e">
        <f>AND(#REF!,"AAAAADv/+QY=")</f>
        <v>#REF!</v>
      </c>
      <c r="H110" t="e">
        <f>AND(#REF!,"AAAAADv/+Qc=")</f>
        <v>#REF!</v>
      </c>
      <c r="I110" t="e">
        <f>AND(#REF!,"AAAAADv/+Qg=")</f>
        <v>#REF!</v>
      </c>
      <c r="J110" t="e">
        <f>AND(#REF!,"AAAAADv/+Qk=")</f>
        <v>#REF!</v>
      </c>
      <c r="K110" t="e">
        <f>AND(#REF!,"AAAAADv/+Qo=")</f>
        <v>#REF!</v>
      </c>
      <c r="L110" t="e">
        <f>AND(#REF!,"AAAAADv/+Qs=")</f>
        <v>#REF!</v>
      </c>
      <c r="M110" t="e">
        <f>AND(#REF!,"AAAAADv/+Qw=")</f>
        <v>#REF!</v>
      </c>
      <c r="N110" t="e">
        <f>AND(#REF!,"AAAAADv/+Q0=")</f>
        <v>#REF!</v>
      </c>
      <c r="O110" t="e">
        <f>AND(#REF!,"AAAAADv/+Q4=")</f>
        <v>#REF!</v>
      </c>
      <c r="P110" t="e">
        <f>AND(#REF!,"AAAAADv/+Q8=")</f>
        <v>#REF!</v>
      </c>
      <c r="Q110" t="e">
        <f>AND(#REF!,"AAAAADv/+RA=")</f>
        <v>#REF!</v>
      </c>
      <c r="R110" t="e">
        <f>AND(#REF!,"AAAAADv/+RE=")</f>
        <v>#REF!</v>
      </c>
      <c r="S110" t="e">
        <f>AND(#REF!,"AAAAADv/+RI=")</f>
        <v>#REF!</v>
      </c>
      <c r="T110" t="e">
        <f>AND(#REF!,"AAAAADv/+RM=")</f>
        <v>#REF!</v>
      </c>
      <c r="U110" t="e">
        <f>AND(#REF!,"AAAAADv/+RQ=")</f>
        <v>#REF!</v>
      </c>
      <c r="V110" t="e">
        <f>AND(#REF!,"AAAAADv/+RU=")</f>
        <v>#REF!</v>
      </c>
      <c r="W110" t="e">
        <f>AND(#REF!,"AAAAADv/+RY=")</f>
        <v>#REF!</v>
      </c>
      <c r="X110" t="e">
        <f>AND(#REF!,"AAAAADv/+Rc=")</f>
        <v>#REF!</v>
      </c>
      <c r="Y110" t="e">
        <f>AND(#REF!,"AAAAADv/+Rg=")</f>
        <v>#REF!</v>
      </c>
      <c r="Z110" t="e">
        <f>AND(#REF!,"AAAAADv/+Rk=")</f>
        <v>#REF!</v>
      </c>
      <c r="AA110" t="e">
        <f>AND(#REF!,"AAAAADv/+Ro=")</f>
        <v>#REF!</v>
      </c>
      <c r="AB110" t="e">
        <f>AND(#REF!,"AAAAADv/+Rs=")</f>
        <v>#REF!</v>
      </c>
      <c r="AC110" t="e">
        <f>AND(#REF!,"AAAAADv/+Rw=")</f>
        <v>#REF!</v>
      </c>
      <c r="AD110" t="e">
        <f>AND(#REF!,"AAAAADv/+R0=")</f>
        <v>#REF!</v>
      </c>
      <c r="AE110" t="e">
        <f>AND(#REF!,"AAAAADv/+R4=")</f>
        <v>#REF!</v>
      </c>
      <c r="AF110" t="e">
        <f>AND(#REF!,"AAAAADv/+R8=")</f>
        <v>#REF!</v>
      </c>
      <c r="AG110" t="e">
        <f>AND(#REF!,"AAAAADv/+SA=")</f>
        <v>#REF!</v>
      </c>
      <c r="AH110" t="e">
        <f>AND(#REF!,"AAAAADv/+SE=")</f>
        <v>#REF!</v>
      </c>
      <c r="AI110" t="e">
        <f>AND(#REF!,"AAAAADv/+SI=")</f>
        <v>#REF!</v>
      </c>
      <c r="AJ110" t="e">
        <f>AND(#REF!,"AAAAADv/+SM=")</f>
        <v>#REF!</v>
      </c>
      <c r="AK110" t="e">
        <f>AND(#REF!,"AAAAADv/+SQ=")</f>
        <v>#REF!</v>
      </c>
      <c r="AL110" t="e">
        <f>AND(#REF!,"AAAAADv/+SU=")</f>
        <v>#REF!</v>
      </c>
      <c r="AM110" t="e">
        <f>AND(#REF!,"AAAAADv/+SY=")</f>
        <v>#REF!</v>
      </c>
      <c r="AN110" t="e">
        <f>AND(#REF!,"AAAAADv/+Sc=")</f>
        <v>#REF!</v>
      </c>
      <c r="AO110" t="e">
        <f>AND(#REF!,"AAAAADv/+Sg=")</f>
        <v>#REF!</v>
      </c>
      <c r="AP110" t="e">
        <f>AND(#REF!,"AAAAADv/+Sk=")</f>
        <v>#REF!</v>
      </c>
      <c r="AQ110" t="e">
        <f>AND(#REF!,"AAAAADv/+So=")</f>
        <v>#REF!</v>
      </c>
      <c r="AR110" t="e">
        <f>AND(#REF!,"AAAAADv/+Ss=")</f>
        <v>#REF!</v>
      </c>
      <c r="AS110" t="e">
        <f>AND(#REF!,"AAAAADv/+Sw=")</f>
        <v>#REF!</v>
      </c>
      <c r="AT110" t="e">
        <f>AND(#REF!,"AAAAADv/+S0=")</f>
        <v>#REF!</v>
      </c>
      <c r="AU110" t="e">
        <f>AND(#REF!,"AAAAADv/+S4=")</f>
        <v>#REF!</v>
      </c>
      <c r="AV110" t="e">
        <f>AND(#REF!,"AAAAADv/+S8=")</f>
        <v>#REF!</v>
      </c>
      <c r="AW110" t="e">
        <f>AND(#REF!,"AAAAADv/+TA=")</f>
        <v>#REF!</v>
      </c>
      <c r="AX110" t="e">
        <f>AND(#REF!,"AAAAADv/+TE=")</f>
        <v>#REF!</v>
      </c>
      <c r="AY110" t="e">
        <f>AND(#REF!,"AAAAADv/+TI=")</f>
        <v>#REF!</v>
      </c>
      <c r="AZ110" t="e">
        <f>AND(#REF!,"AAAAADv/+TM=")</f>
        <v>#REF!</v>
      </c>
      <c r="BA110" t="e">
        <f>AND(#REF!,"AAAAADv/+TQ=")</f>
        <v>#REF!</v>
      </c>
      <c r="BB110" t="e">
        <f>AND(#REF!,"AAAAADv/+TU=")</f>
        <v>#REF!</v>
      </c>
      <c r="BC110" t="e">
        <f>AND(#REF!,"AAAAADv/+TY=")</f>
        <v>#REF!</v>
      </c>
      <c r="BD110" t="e">
        <f>AND(#REF!,"AAAAADv/+Tc=")</f>
        <v>#REF!</v>
      </c>
      <c r="BE110" t="e">
        <f>AND(#REF!,"AAAAADv/+Tg=")</f>
        <v>#REF!</v>
      </c>
      <c r="BF110" t="e">
        <f>AND(#REF!,"AAAAADv/+Tk=")</f>
        <v>#REF!</v>
      </c>
      <c r="BG110" t="e">
        <f>AND(#REF!,"AAAAADv/+To=")</f>
        <v>#REF!</v>
      </c>
      <c r="BH110" t="e">
        <f>AND(#REF!,"AAAAADv/+Ts=")</f>
        <v>#REF!</v>
      </c>
      <c r="BI110" t="e">
        <f>AND(#REF!,"AAAAADv/+Tw=")</f>
        <v>#REF!</v>
      </c>
      <c r="BJ110" t="e">
        <f>AND(#REF!,"AAAAADv/+T0=")</f>
        <v>#REF!</v>
      </c>
      <c r="BK110" t="e">
        <f>AND(#REF!,"AAAAADv/+T4=")</f>
        <v>#REF!</v>
      </c>
      <c r="BL110" t="e">
        <f>AND(#REF!,"AAAAADv/+T8=")</f>
        <v>#REF!</v>
      </c>
      <c r="BM110" t="e">
        <f>AND(#REF!,"AAAAADv/+UA=")</f>
        <v>#REF!</v>
      </c>
      <c r="BN110" t="e">
        <f>AND(#REF!,"AAAAADv/+UE=")</f>
        <v>#REF!</v>
      </c>
      <c r="BO110" t="e">
        <f>AND(#REF!,"AAAAADv/+UI=")</f>
        <v>#REF!</v>
      </c>
      <c r="BP110" t="e">
        <f>AND(#REF!,"AAAAADv/+UM=")</f>
        <v>#REF!</v>
      </c>
      <c r="BQ110" t="e">
        <f>AND(#REF!,"AAAAADv/+UQ=")</f>
        <v>#REF!</v>
      </c>
      <c r="BR110" t="e">
        <f>AND(#REF!,"AAAAADv/+UU=")</f>
        <v>#REF!</v>
      </c>
      <c r="BS110" t="e">
        <f>AND(#REF!,"AAAAADv/+UY=")</f>
        <v>#REF!</v>
      </c>
      <c r="BT110" t="e">
        <f>AND(#REF!,"AAAAADv/+Uc=")</f>
        <v>#REF!</v>
      </c>
      <c r="BU110" t="e">
        <f>AND(#REF!,"AAAAADv/+Ug=")</f>
        <v>#REF!</v>
      </c>
      <c r="BV110" t="e">
        <f>AND(#REF!,"AAAAADv/+Uk=")</f>
        <v>#REF!</v>
      </c>
      <c r="BW110" t="e">
        <f>AND(#REF!,"AAAAADv/+Uo=")</f>
        <v>#REF!</v>
      </c>
      <c r="BX110" t="e">
        <f>AND(#REF!,"AAAAADv/+Us=")</f>
        <v>#REF!</v>
      </c>
      <c r="BY110" t="e">
        <f>AND(#REF!,"AAAAADv/+Uw=")</f>
        <v>#REF!</v>
      </c>
      <c r="BZ110" t="e">
        <f>AND(#REF!,"AAAAADv/+U0=")</f>
        <v>#REF!</v>
      </c>
      <c r="CA110" t="e">
        <f>AND(#REF!,"AAAAADv/+U4=")</f>
        <v>#REF!</v>
      </c>
      <c r="CB110" t="e">
        <f>AND(#REF!,"AAAAADv/+U8=")</f>
        <v>#REF!</v>
      </c>
      <c r="CC110" t="e">
        <f>AND(#REF!,"AAAAADv/+VA=")</f>
        <v>#REF!</v>
      </c>
      <c r="CD110" t="e">
        <f>AND(#REF!,"AAAAADv/+VE=")</f>
        <v>#REF!</v>
      </c>
      <c r="CE110" t="e">
        <f>AND(#REF!,"AAAAADv/+VI=")</f>
        <v>#REF!</v>
      </c>
      <c r="CF110" t="e">
        <f>AND(#REF!,"AAAAADv/+VM=")</f>
        <v>#REF!</v>
      </c>
      <c r="CG110" t="e">
        <f>AND(#REF!,"AAAAADv/+VQ=")</f>
        <v>#REF!</v>
      </c>
      <c r="CH110" t="e">
        <f>AND(#REF!,"AAAAADv/+VU=")</f>
        <v>#REF!</v>
      </c>
      <c r="CI110" t="e">
        <f>AND(#REF!,"AAAAADv/+VY=")</f>
        <v>#REF!</v>
      </c>
      <c r="CJ110" t="e">
        <f>AND(#REF!,"AAAAADv/+Vc=")</f>
        <v>#REF!</v>
      </c>
      <c r="CK110" t="e">
        <f>AND(#REF!,"AAAAADv/+Vg=")</f>
        <v>#REF!</v>
      </c>
      <c r="CL110" t="e">
        <f>AND(#REF!,"AAAAADv/+Vk=")</f>
        <v>#REF!</v>
      </c>
      <c r="CM110" t="e">
        <f>AND(#REF!,"AAAAADv/+Vo=")</f>
        <v>#REF!</v>
      </c>
      <c r="CN110" t="e">
        <f>AND(#REF!,"AAAAADv/+Vs=")</f>
        <v>#REF!</v>
      </c>
      <c r="CO110" t="e">
        <f>AND(#REF!,"AAAAADv/+Vw=")</f>
        <v>#REF!</v>
      </c>
      <c r="CP110" t="e">
        <f>AND(#REF!,"AAAAADv/+V0=")</f>
        <v>#REF!</v>
      </c>
      <c r="CQ110" t="e">
        <f>AND(#REF!,"AAAAADv/+V4=")</f>
        <v>#REF!</v>
      </c>
      <c r="CR110" t="e">
        <f>AND(#REF!,"AAAAADv/+V8=")</f>
        <v>#REF!</v>
      </c>
      <c r="CS110" t="e">
        <f>AND(#REF!,"AAAAADv/+WA=")</f>
        <v>#REF!</v>
      </c>
      <c r="CT110" t="e">
        <f>AND(#REF!,"AAAAADv/+WE=")</f>
        <v>#REF!</v>
      </c>
      <c r="CU110" t="e">
        <f>AND(#REF!,"AAAAADv/+WI=")</f>
        <v>#REF!</v>
      </c>
      <c r="CV110" t="e">
        <f>AND(#REF!,"AAAAADv/+WM=")</f>
        <v>#REF!</v>
      </c>
      <c r="CW110" t="e">
        <f>AND(#REF!,"AAAAADv/+WQ=")</f>
        <v>#REF!</v>
      </c>
      <c r="CX110" t="e">
        <f>AND(#REF!,"AAAAADv/+WU=")</f>
        <v>#REF!</v>
      </c>
      <c r="CY110" t="e">
        <f>AND(#REF!,"AAAAADv/+WY=")</f>
        <v>#REF!</v>
      </c>
      <c r="CZ110" t="e">
        <f>AND(#REF!,"AAAAADv/+Wc=")</f>
        <v>#REF!</v>
      </c>
      <c r="DA110" t="e">
        <f>AND(#REF!,"AAAAADv/+Wg=")</f>
        <v>#REF!</v>
      </c>
      <c r="DB110" t="e">
        <f>AND(#REF!,"AAAAADv/+Wk=")</f>
        <v>#REF!</v>
      </c>
      <c r="DC110" t="e">
        <f>AND(#REF!,"AAAAADv/+Wo=")</f>
        <v>#REF!</v>
      </c>
      <c r="DD110" t="e">
        <f>AND(#REF!,"AAAAADv/+Ws=")</f>
        <v>#REF!</v>
      </c>
      <c r="DE110" t="e">
        <f>AND(#REF!,"AAAAADv/+Ww=")</f>
        <v>#REF!</v>
      </c>
      <c r="DF110" t="e">
        <f>AND(#REF!,"AAAAADv/+W0=")</f>
        <v>#REF!</v>
      </c>
      <c r="DG110" t="e">
        <f>AND(#REF!,"AAAAADv/+W4=")</f>
        <v>#REF!</v>
      </c>
      <c r="DH110" t="e">
        <f>AND(#REF!,"AAAAADv/+W8=")</f>
        <v>#REF!</v>
      </c>
      <c r="DI110" t="e">
        <f>AND(#REF!,"AAAAADv/+XA=")</f>
        <v>#REF!</v>
      </c>
      <c r="DJ110" t="e">
        <f>AND(#REF!,"AAAAADv/+XE=")</f>
        <v>#REF!</v>
      </c>
      <c r="DK110" t="e">
        <f>AND(#REF!,"AAAAADv/+XI=")</f>
        <v>#REF!</v>
      </c>
      <c r="DL110" t="e">
        <f>AND(#REF!,"AAAAADv/+XM=")</f>
        <v>#REF!</v>
      </c>
      <c r="DM110" t="e">
        <f>AND(#REF!,"AAAAADv/+XQ=")</f>
        <v>#REF!</v>
      </c>
      <c r="DN110" t="e">
        <f>AND(#REF!,"AAAAADv/+XU=")</f>
        <v>#REF!</v>
      </c>
      <c r="DO110" t="e">
        <f>AND(#REF!,"AAAAADv/+XY=")</f>
        <v>#REF!</v>
      </c>
      <c r="DP110" t="e">
        <f>AND(#REF!,"AAAAADv/+Xc=")</f>
        <v>#REF!</v>
      </c>
      <c r="DQ110" t="e">
        <f>AND(#REF!,"AAAAADv/+Xg=")</f>
        <v>#REF!</v>
      </c>
      <c r="DR110" t="e">
        <f>AND(#REF!,"AAAAADv/+Xk=")</f>
        <v>#REF!</v>
      </c>
      <c r="DS110" t="e">
        <f>AND(#REF!,"AAAAADv/+Xo=")</f>
        <v>#REF!</v>
      </c>
      <c r="DT110" t="e">
        <f>AND(#REF!,"AAAAADv/+Xs=")</f>
        <v>#REF!</v>
      </c>
      <c r="DU110" t="e">
        <f>AND(#REF!,"AAAAADv/+Xw=")</f>
        <v>#REF!</v>
      </c>
      <c r="DV110" t="e">
        <f>AND(#REF!,"AAAAADv/+X0=")</f>
        <v>#REF!</v>
      </c>
      <c r="DW110" t="e">
        <f>AND(#REF!,"AAAAADv/+X4=")</f>
        <v>#REF!</v>
      </c>
      <c r="DX110" t="e">
        <f>AND(#REF!,"AAAAADv/+X8=")</f>
        <v>#REF!</v>
      </c>
      <c r="DY110" t="e">
        <f>AND(#REF!,"AAAAADv/+YA=")</f>
        <v>#REF!</v>
      </c>
      <c r="DZ110" t="e">
        <f>AND(#REF!,"AAAAADv/+YE=")</f>
        <v>#REF!</v>
      </c>
      <c r="EA110" t="e">
        <f>AND(#REF!,"AAAAADv/+YI=")</f>
        <v>#REF!</v>
      </c>
      <c r="EB110" t="e">
        <f>AND(#REF!,"AAAAADv/+YM=")</f>
        <v>#REF!</v>
      </c>
      <c r="EC110" t="e">
        <f>AND(#REF!,"AAAAADv/+YQ=")</f>
        <v>#REF!</v>
      </c>
      <c r="ED110" t="e">
        <f>AND(#REF!,"AAAAADv/+YU=")</f>
        <v>#REF!</v>
      </c>
      <c r="EE110" t="e">
        <f>AND(#REF!,"AAAAADv/+YY=")</f>
        <v>#REF!</v>
      </c>
      <c r="EF110" t="e">
        <f>AND(#REF!,"AAAAADv/+Yc=")</f>
        <v>#REF!</v>
      </c>
      <c r="EG110" t="e">
        <f>AND(#REF!,"AAAAADv/+Yg=")</f>
        <v>#REF!</v>
      </c>
      <c r="EH110" t="e">
        <f>AND(#REF!,"AAAAADv/+Yk=")</f>
        <v>#REF!</v>
      </c>
      <c r="EI110" t="e">
        <f>AND(#REF!,"AAAAADv/+Yo=")</f>
        <v>#REF!</v>
      </c>
      <c r="EJ110" t="e">
        <f>AND(#REF!,"AAAAADv/+Ys=")</f>
        <v>#REF!</v>
      </c>
      <c r="EK110" t="e">
        <f>AND(#REF!,"AAAAADv/+Yw=")</f>
        <v>#REF!</v>
      </c>
      <c r="EL110" t="e">
        <f>AND(#REF!,"AAAAADv/+Y0=")</f>
        <v>#REF!</v>
      </c>
      <c r="EM110" t="e">
        <f>AND(#REF!,"AAAAADv/+Y4=")</f>
        <v>#REF!</v>
      </c>
      <c r="EN110" t="e">
        <f>AND(#REF!,"AAAAADv/+Y8=")</f>
        <v>#REF!</v>
      </c>
      <c r="EO110" t="e">
        <f>AND(#REF!,"AAAAADv/+ZA=")</f>
        <v>#REF!</v>
      </c>
      <c r="EP110" t="e">
        <f>AND(#REF!,"AAAAADv/+ZE=")</f>
        <v>#REF!</v>
      </c>
      <c r="EQ110" t="e">
        <f>AND(#REF!,"AAAAADv/+ZI=")</f>
        <v>#REF!</v>
      </c>
      <c r="ER110" t="e">
        <f>AND(#REF!,"AAAAADv/+ZM=")</f>
        <v>#REF!</v>
      </c>
      <c r="ES110" t="e">
        <f>AND(#REF!,"AAAAADv/+ZQ=")</f>
        <v>#REF!</v>
      </c>
      <c r="ET110" t="e">
        <f>AND(#REF!,"AAAAADv/+ZU=")</f>
        <v>#REF!</v>
      </c>
      <c r="EU110" t="e">
        <f>AND(#REF!,"AAAAADv/+ZY=")</f>
        <v>#REF!</v>
      </c>
      <c r="EV110" t="e">
        <f>AND(#REF!,"AAAAADv/+Zc=")</f>
        <v>#REF!</v>
      </c>
      <c r="EW110" t="e">
        <f>AND(#REF!,"AAAAADv/+Zg=")</f>
        <v>#REF!</v>
      </c>
      <c r="EX110" t="e">
        <f>AND(#REF!,"AAAAADv/+Zk=")</f>
        <v>#REF!</v>
      </c>
      <c r="EY110" t="e">
        <f>AND(#REF!,"AAAAADv/+Zo=")</f>
        <v>#REF!</v>
      </c>
      <c r="EZ110" t="e">
        <f>AND(#REF!,"AAAAADv/+Zs=")</f>
        <v>#REF!</v>
      </c>
      <c r="FA110" t="e">
        <f>AND(#REF!,"AAAAADv/+Zw=")</f>
        <v>#REF!</v>
      </c>
      <c r="FB110" t="e">
        <f>AND(#REF!,"AAAAADv/+Z0=")</f>
        <v>#REF!</v>
      </c>
      <c r="FC110" t="e">
        <f>AND(#REF!,"AAAAADv/+Z4=")</f>
        <v>#REF!</v>
      </c>
      <c r="FD110" t="e">
        <f>AND(#REF!,"AAAAADv/+Z8=")</f>
        <v>#REF!</v>
      </c>
      <c r="FE110" t="e">
        <f>AND(#REF!,"AAAAADv/+aA=")</f>
        <v>#REF!</v>
      </c>
      <c r="FF110" t="e">
        <f>AND(#REF!,"AAAAADv/+aE=")</f>
        <v>#REF!</v>
      </c>
      <c r="FG110" t="e">
        <f>AND(#REF!,"AAAAADv/+aI=")</f>
        <v>#REF!</v>
      </c>
      <c r="FH110" t="e">
        <f>AND(#REF!,"AAAAADv/+aM=")</f>
        <v>#REF!</v>
      </c>
      <c r="FI110" t="e">
        <f>AND(#REF!,"AAAAADv/+aQ=")</f>
        <v>#REF!</v>
      </c>
      <c r="FJ110" t="e">
        <f>AND(#REF!,"AAAAADv/+aU=")</f>
        <v>#REF!</v>
      </c>
      <c r="FK110" t="e">
        <f>AND(#REF!,"AAAAADv/+aY=")</f>
        <v>#REF!</v>
      </c>
      <c r="FL110" t="e">
        <f>AND(#REF!,"AAAAADv/+ac=")</f>
        <v>#REF!</v>
      </c>
      <c r="FM110" t="e">
        <f>AND(#REF!,"AAAAADv/+ag=")</f>
        <v>#REF!</v>
      </c>
      <c r="FN110" t="e">
        <f>AND(#REF!,"AAAAADv/+ak=")</f>
        <v>#REF!</v>
      </c>
      <c r="FO110" t="e">
        <f>AND(#REF!,"AAAAADv/+ao=")</f>
        <v>#REF!</v>
      </c>
      <c r="FP110" t="e">
        <f>AND(#REF!,"AAAAADv/+as=")</f>
        <v>#REF!</v>
      </c>
      <c r="FQ110" t="e">
        <f>AND(#REF!,"AAAAADv/+aw=")</f>
        <v>#REF!</v>
      </c>
      <c r="FR110" t="e">
        <f>AND(#REF!,"AAAAADv/+a0=")</f>
        <v>#REF!</v>
      </c>
      <c r="FS110" t="e">
        <f>AND(#REF!,"AAAAADv/+a4=")</f>
        <v>#REF!</v>
      </c>
      <c r="FT110" t="e">
        <f>AND(#REF!,"AAAAADv/+a8=")</f>
        <v>#REF!</v>
      </c>
      <c r="FU110" t="e">
        <f>AND(#REF!,"AAAAADv/+bA=")</f>
        <v>#REF!</v>
      </c>
      <c r="FV110" t="e">
        <f>AND(#REF!,"AAAAADv/+bE=")</f>
        <v>#REF!</v>
      </c>
      <c r="FW110" t="e">
        <f>AND(#REF!,"AAAAADv/+bI=")</f>
        <v>#REF!</v>
      </c>
      <c r="FX110" t="e">
        <f>AND(#REF!,"AAAAADv/+bM=")</f>
        <v>#REF!</v>
      </c>
      <c r="FY110" t="e">
        <f>AND(#REF!,"AAAAADv/+bQ=")</f>
        <v>#REF!</v>
      </c>
      <c r="FZ110" t="e">
        <f>AND(#REF!,"AAAAADv/+bU=")</f>
        <v>#REF!</v>
      </c>
      <c r="GA110" t="e">
        <f>AND(#REF!,"AAAAADv/+bY=")</f>
        <v>#REF!</v>
      </c>
      <c r="GB110" t="e">
        <f>AND(#REF!,"AAAAADv/+bc=")</f>
        <v>#REF!</v>
      </c>
      <c r="GC110" t="e">
        <f>AND(#REF!,"AAAAADv/+bg=")</f>
        <v>#REF!</v>
      </c>
      <c r="GD110" t="e">
        <f>AND(#REF!,"AAAAADv/+bk=")</f>
        <v>#REF!</v>
      </c>
      <c r="GE110" t="e">
        <f>AND(#REF!,"AAAAADv/+bo=")</f>
        <v>#REF!</v>
      </c>
      <c r="GF110" t="e">
        <f>AND(#REF!,"AAAAADv/+bs=")</f>
        <v>#REF!</v>
      </c>
      <c r="GG110" t="e">
        <f>AND(#REF!,"AAAAADv/+bw=")</f>
        <v>#REF!</v>
      </c>
      <c r="GH110" t="e">
        <f>AND(#REF!,"AAAAADv/+b0=")</f>
        <v>#REF!</v>
      </c>
      <c r="GI110" t="e">
        <f>AND(#REF!,"AAAAADv/+b4=")</f>
        <v>#REF!</v>
      </c>
      <c r="GJ110" t="e">
        <f>AND(#REF!,"AAAAADv/+b8=")</f>
        <v>#REF!</v>
      </c>
      <c r="GK110" t="e">
        <f>AND(#REF!,"AAAAADv/+cA=")</f>
        <v>#REF!</v>
      </c>
      <c r="GL110" t="e">
        <f>AND(#REF!,"AAAAADv/+cE=")</f>
        <v>#REF!</v>
      </c>
      <c r="GM110" t="e">
        <f>AND(#REF!,"AAAAADv/+cI=")</f>
        <v>#REF!</v>
      </c>
      <c r="GN110" t="e">
        <f>AND(#REF!,"AAAAADv/+cM=")</f>
        <v>#REF!</v>
      </c>
      <c r="GO110" t="e">
        <f>AND(#REF!,"AAAAADv/+cQ=")</f>
        <v>#REF!</v>
      </c>
      <c r="GP110" t="e">
        <f>AND(#REF!,"AAAAADv/+cU=")</f>
        <v>#REF!</v>
      </c>
      <c r="GQ110" t="e">
        <f>AND(#REF!,"AAAAADv/+cY=")</f>
        <v>#REF!</v>
      </c>
      <c r="GR110" t="e">
        <f>AND(#REF!,"AAAAADv/+cc=")</f>
        <v>#REF!</v>
      </c>
      <c r="GS110" t="e">
        <f>AND(#REF!,"AAAAADv/+cg=")</f>
        <v>#REF!</v>
      </c>
      <c r="GT110" t="e">
        <f>AND(#REF!,"AAAAADv/+ck=")</f>
        <v>#REF!</v>
      </c>
      <c r="GU110" t="e">
        <f>AND(#REF!,"AAAAADv/+co=")</f>
        <v>#REF!</v>
      </c>
      <c r="GV110" t="e">
        <f>AND(#REF!,"AAAAADv/+cs=")</f>
        <v>#REF!</v>
      </c>
      <c r="GW110" t="e">
        <f>AND(#REF!,"AAAAADv/+cw=")</f>
        <v>#REF!</v>
      </c>
      <c r="GX110" t="e">
        <f>AND(#REF!,"AAAAADv/+c0=")</f>
        <v>#REF!</v>
      </c>
      <c r="GY110" t="e">
        <f>AND(#REF!,"AAAAADv/+c4=")</f>
        <v>#REF!</v>
      </c>
      <c r="GZ110" t="e">
        <f>AND(#REF!,"AAAAADv/+c8=")</f>
        <v>#REF!</v>
      </c>
      <c r="HA110" t="e">
        <f>AND(#REF!,"AAAAADv/+dA=")</f>
        <v>#REF!</v>
      </c>
      <c r="HB110" t="e">
        <f>AND(#REF!,"AAAAADv/+dE=")</f>
        <v>#REF!</v>
      </c>
      <c r="HC110" t="e">
        <f>AND(#REF!,"AAAAADv/+dI=")</f>
        <v>#REF!</v>
      </c>
      <c r="HD110" t="e">
        <f>AND(#REF!,"AAAAADv/+dM=")</f>
        <v>#REF!</v>
      </c>
      <c r="HE110" t="e">
        <f>AND(#REF!,"AAAAADv/+dQ=")</f>
        <v>#REF!</v>
      </c>
      <c r="HF110" t="e">
        <f>AND(#REF!,"AAAAADv/+dU=")</f>
        <v>#REF!</v>
      </c>
      <c r="HG110" t="e">
        <f>AND(#REF!,"AAAAADv/+dY=")</f>
        <v>#REF!</v>
      </c>
      <c r="HH110" t="e">
        <f>AND(#REF!,"AAAAADv/+dc=")</f>
        <v>#REF!</v>
      </c>
      <c r="HI110" t="e">
        <f>AND(#REF!,"AAAAADv/+dg=")</f>
        <v>#REF!</v>
      </c>
      <c r="HJ110" t="e">
        <f>AND(#REF!,"AAAAADv/+dk=")</f>
        <v>#REF!</v>
      </c>
      <c r="HK110" t="e">
        <f>AND(#REF!,"AAAAADv/+do=")</f>
        <v>#REF!</v>
      </c>
      <c r="HL110" t="e">
        <f>AND(#REF!,"AAAAADv/+ds=")</f>
        <v>#REF!</v>
      </c>
      <c r="HM110" t="e">
        <f>AND(#REF!,"AAAAADv/+dw=")</f>
        <v>#REF!</v>
      </c>
      <c r="HN110" t="e">
        <f>AND(#REF!,"AAAAADv/+d0=")</f>
        <v>#REF!</v>
      </c>
      <c r="HO110" t="e">
        <f>AND(#REF!,"AAAAADv/+d4=")</f>
        <v>#REF!</v>
      </c>
      <c r="HP110" t="e">
        <f>AND(#REF!,"AAAAADv/+d8=")</f>
        <v>#REF!</v>
      </c>
      <c r="HQ110" t="e">
        <f>AND(#REF!,"AAAAADv/+eA=")</f>
        <v>#REF!</v>
      </c>
      <c r="HR110" t="e">
        <f>AND(#REF!,"AAAAADv/+eE=")</f>
        <v>#REF!</v>
      </c>
      <c r="HS110" t="e">
        <f>AND(#REF!,"AAAAADv/+eI=")</f>
        <v>#REF!</v>
      </c>
      <c r="HT110" t="e">
        <f>AND(#REF!,"AAAAADv/+eM=")</f>
        <v>#REF!</v>
      </c>
      <c r="HU110" t="e">
        <f>AND(#REF!,"AAAAADv/+eQ=")</f>
        <v>#REF!</v>
      </c>
      <c r="HV110" t="e">
        <f>AND(#REF!,"AAAAADv/+eU=")</f>
        <v>#REF!</v>
      </c>
      <c r="HW110" t="e">
        <f>AND(#REF!,"AAAAADv/+eY=")</f>
        <v>#REF!</v>
      </c>
      <c r="HX110" t="e">
        <f>AND(#REF!,"AAAAADv/+ec=")</f>
        <v>#REF!</v>
      </c>
      <c r="HY110" t="e">
        <f>AND(#REF!,"AAAAADv/+eg=")</f>
        <v>#REF!</v>
      </c>
      <c r="HZ110" t="e">
        <f>AND(#REF!,"AAAAADv/+ek=")</f>
        <v>#REF!</v>
      </c>
      <c r="IA110" t="e">
        <f>AND(#REF!,"AAAAADv/+eo=")</f>
        <v>#REF!</v>
      </c>
      <c r="IB110" t="e">
        <f>AND(#REF!,"AAAAADv/+es=")</f>
        <v>#REF!</v>
      </c>
      <c r="IC110" t="e">
        <f>AND(#REF!,"AAAAADv/+ew=")</f>
        <v>#REF!</v>
      </c>
      <c r="ID110" t="e">
        <f>AND(#REF!,"AAAAADv/+e0=")</f>
        <v>#REF!</v>
      </c>
      <c r="IE110" t="e">
        <f>AND(#REF!,"AAAAADv/+e4=")</f>
        <v>#REF!</v>
      </c>
      <c r="IF110" t="e">
        <f>AND(#REF!,"AAAAADv/+e8=")</f>
        <v>#REF!</v>
      </c>
      <c r="IG110" t="e">
        <f>AND(#REF!,"AAAAADv/+fA=")</f>
        <v>#REF!</v>
      </c>
      <c r="IH110" t="e">
        <f>AND(#REF!,"AAAAADv/+fE=")</f>
        <v>#REF!</v>
      </c>
      <c r="II110" t="e">
        <f>AND(#REF!,"AAAAADv/+fI=")</f>
        <v>#REF!</v>
      </c>
      <c r="IJ110" t="e">
        <f>AND(#REF!,"AAAAADv/+fM=")</f>
        <v>#REF!</v>
      </c>
      <c r="IK110" t="e">
        <f>AND(#REF!,"AAAAADv/+fQ=")</f>
        <v>#REF!</v>
      </c>
      <c r="IL110" t="e">
        <f>AND(#REF!,"AAAAADv/+fU=")</f>
        <v>#REF!</v>
      </c>
      <c r="IM110" t="e">
        <f>AND(#REF!,"AAAAADv/+fY=")</f>
        <v>#REF!</v>
      </c>
      <c r="IN110" t="e">
        <f>AND(#REF!,"AAAAADv/+fc=")</f>
        <v>#REF!</v>
      </c>
      <c r="IO110" t="e">
        <f>AND(#REF!,"AAAAADv/+fg=")</f>
        <v>#REF!</v>
      </c>
      <c r="IP110" t="e">
        <f>AND(#REF!,"AAAAADv/+fk=")</f>
        <v>#REF!</v>
      </c>
      <c r="IQ110" t="e">
        <f>AND(#REF!,"AAAAADv/+fo=")</f>
        <v>#REF!</v>
      </c>
      <c r="IR110" t="e">
        <f>AND(#REF!,"AAAAADv/+fs=")</f>
        <v>#REF!</v>
      </c>
      <c r="IS110" t="e">
        <f>AND(#REF!,"AAAAADv/+fw=")</f>
        <v>#REF!</v>
      </c>
      <c r="IT110" t="e">
        <f>AND(#REF!,"AAAAADv/+f0=")</f>
        <v>#REF!</v>
      </c>
      <c r="IU110" t="e">
        <f>AND(#REF!,"AAAAADv/+f4=")</f>
        <v>#REF!</v>
      </c>
      <c r="IV110" t="e">
        <f>AND(#REF!,"AAAAADv/+f8=")</f>
        <v>#REF!</v>
      </c>
    </row>
    <row r="111" spans="1:256">
      <c r="A111" t="e">
        <f>AND(#REF!,"AAAAAEP6/wA=")</f>
        <v>#REF!</v>
      </c>
      <c r="B111" t="e">
        <f>AND(#REF!,"AAAAAEP6/wE=")</f>
        <v>#REF!</v>
      </c>
      <c r="C111" t="e">
        <f>AND(#REF!,"AAAAAEP6/wI=")</f>
        <v>#REF!</v>
      </c>
      <c r="D111" t="e">
        <f>AND(#REF!,"AAAAAEP6/wM=")</f>
        <v>#REF!</v>
      </c>
      <c r="E111" t="e">
        <f>AND(#REF!,"AAAAAEP6/wQ=")</f>
        <v>#REF!</v>
      </c>
      <c r="F111" t="e">
        <f>AND(#REF!,"AAAAAEP6/wU=")</f>
        <v>#REF!</v>
      </c>
      <c r="G111" t="e">
        <f>AND(#REF!,"AAAAAEP6/wY=")</f>
        <v>#REF!</v>
      </c>
      <c r="H111" t="e">
        <f>AND(#REF!,"AAAAAEP6/wc=")</f>
        <v>#REF!</v>
      </c>
      <c r="I111" t="e">
        <f>AND(#REF!,"AAAAAEP6/wg=")</f>
        <v>#REF!</v>
      </c>
      <c r="J111" t="e">
        <f>AND(#REF!,"AAAAAEP6/wk=")</f>
        <v>#REF!</v>
      </c>
      <c r="K111" t="e">
        <f>AND(#REF!,"AAAAAEP6/wo=")</f>
        <v>#REF!</v>
      </c>
      <c r="L111" t="e">
        <f>AND(#REF!,"AAAAAEP6/ws=")</f>
        <v>#REF!</v>
      </c>
      <c r="M111" t="e">
        <f>AND(#REF!,"AAAAAEP6/ww=")</f>
        <v>#REF!</v>
      </c>
      <c r="N111" t="e">
        <f>AND(#REF!,"AAAAAEP6/w0=")</f>
        <v>#REF!</v>
      </c>
      <c r="O111" t="e">
        <f>AND(#REF!,"AAAAAEP6/w4=")</f>
        <v>#REF!</v>
      </c>
      <c r="P111" t="e">
        <f>AND(#REF!,"AAAAAEP6/w8=")</f>
        <v>#REF!</v>
      </c>
      <c r="Q111" t="e">
        <f>AND(#REF!,"AAAAAEP6/xA=")</f>
        <v>#REF!</v>
      </c>
      <c r="R111" t="e">
        <f>AND(#REF!,"AAAAAEP6/xE=")</f>
        <v>#REF!</v>
      </c>
      <c r="S111" t="e">
        <f>AND(#REF!,"AAAAAEP6/xI=")</f>
        <v>#REF!</v>
      </c>
      <c r="T111" t="e">
        <f>AND(#REF!,"AAAAAEP6/xM=")</f>
        <v>#REF!</v>
      </c>
      <c r="U111" t="e">
        <f>AND(#REF!,"AAAAAEP6/xQ=")</f>
        <v>#REF!</v>
      </c>
      <c r="V111" t="e">
        <f>AND(#REF!,"AAAAAEP6/xU=")</f>
        <v>#REF!</v>
      </c>
      <c r="W111" t="e">
        <f>AND(#REF!,"AAAAAEP6/xY=")</f>
        <v>#REF!</v>
      </c>
      <c r="X111" t="e">
        <f>AND(#REF!,"AAAAAEP6/xc=")</f>
        <v>#REF!</v>
      </c>
      <c r="Y111" t="e">
        <f>AND(#REF!,"AAAAAEP6/xg=")</f>
        <v>#REF!</v>
      </c>
      <c r="Z111" t="e">
        <f>AND(#REF!,"AAAAAEP6/xk=")</f>
        <v>#REF!</v>
      </c>
      <c r="AA111" t="e">
        <f>AND(#REF!,"AAAAAEP6/xo=")</f>
        <v>#REF!</v>
      </c>
      <c r="AB111" t="e">
        <f>AND(#REF!,"AAAAAEP6/xs=")</f>
        <v>#REF!</v>
      </c>
      <c r="AC111" t="e">
        <f>AND(#REF!,"AAAAAEP6/xw=")</f>
        <v>#REF!</v>
      </c>
      <c r="AD111" t="e">
        <f>AND(#REF!,"AAAAAEP6/x0=")</f>
        <v>#REF!</v>
      </c>
      <c r="AE111" t="e">
        <f>AND(#REF!,"AAAAAEP6/x4=")</f>
        <v>#REF!</v>
      </c>
      <c r="AF111" t="e">
        <f>AND(#REF!,"AAAAAEP6/x8=")</f>
        <v>#REF!</v>
      </c>
      <c r="AG111" t="e">
        <f>AND(#REF!,"AAAAAEP6/yA=")</f>
        <v>#REF!</v>
      </c>
      <c r="AH111" t="e">
        <f>AND(#REF!,"AAAAAEP6/yE=")</f>
        <v>#REF!</v>
      </c>
      <c r="AI111" t="e">
        <f>AND(#REF!,"AAAAAEP6/yI=")</f>
        <v>#REF!</v>
      </c>
      <c r="AJ111" t="e">
        <f>AND(#REF!,"AAAAAEP6/yM=")</f>
        <v>#REF!</v>
      </c>
      <c r="AK111" t="e">
        <f>AND(#REF!,"AAAAAEP6/yQ=")</f>
        <v>#REF!</v>
      </c>
      <c r="AL111" t="e">
        <f>AND(#REF!,"AAAAAEP6/yU=")</f>
        <v>#REF!</v>
      </c>
      <c r="AM111" t="e">
        <f>AND(#REF!,"AAAAAEP6/yY=")</f>
        <v>#REF!</v>
      </c>
      <c r="AN111" t="e">
        <f>AND(#REF!,"AAAAAEP6/yc=")</f>
        <v>#REF!</v>
      </c>
      <c r="AO111" t="e">
        <f>AND(#REF!,"AAAAAEP6/yg=")</f>
        <v>#REF!</v>
      </c>
      <c r="AP111" t="e">
        <f>AND(#REF!,"AAAAAEP6/yk=")</f>
        <v>#REF!</v>
      </c>
      <c r="AQ111" t="e">
        <f>AND(#REF!,"AAAAAEP6/yo=")</f>
        <v>#REF!</v>
      </c>
      <c r="AR111" t="e">
        <f>AND(#REF!,"AAAAAEP6/ys=")</f>
        <v>#REF!</v>
      </c>
      <c r="AS111" t="e">
        <f>AND(#REF!,"AAAAAEP6/yw=")</f>
        <v>#REF!</v>
      </c>
      <c r="AT111" t="e">
        <f>AND(#REF!,"AAAAAEP6/y0=")</f>
        <v>#REF!</v>
      </c>
      <c r="AU111" t="e">
        <f>AND(#REF!,"AAAAAEP6/y4=")</f>
        <v>#REF!</v>
      </c>
      <c r="AV111" t="e">
        <f>AND(#REF!,"AAAAAEP6/y8=")</f>
        <v>#REF!</v>
      </c>
      <c r="AW111" t="e">
        <f>AND(#REF!,"AAAAAEP6/zA=")</f>
        <v>#REF!</v>
      </c>
      <c r="AX111" t="e">
        <f>AND(#REF!,"AAAAAEP6/zE=")</f>
        <v>#REF!</v>
      </c>
      <c r="AY111" t="e">
        <f>AND(#REF!,"AAAAAEP6/zI=")</f>
        <v>#REF!</v>
      </c>
      <c r="AZ111" t="e">
        <f>AND(#REF!,"AAAAAEP6/zM=")</f>
        <v>#REF!</v>
      </c>
      <c r="BA111" t="e">
        <f>AND(#REF!,"AAAAAEP6/zQ=")</f>
        <v>#REF!</v>
      </c>
      <c r="BB111" t="e">
        <f>AND(#REF!,"AAAAAEP6/zU=")</f>
        <v>#REF!</v>
      </c>
      <c r="BC111" t="e">
        <f>AND(#REF!,"AAAAAEP6/zY=")</f>
        <v>#REF!</v>
      </c>
      <c r="BD111" t="e">
        <f>AND(#REF!,"AAAAAEP6/zc=")</f>
        <v>#REF!</v>
      </c>
      <c r="BE111" t="e">
        <f>AND(#REF!,"AAAAAEP6/zg=")</f>
        <v>#REF!</v>
      </c>
      <c r="BF111" t="e">
        <f>AND(#REF!,"AAAAAEP6/zk=")</f>
        <v>#REF!</v>
      </c>
      <c r="BG111" t="e">
        <f>AND(#REF!,"AAAAAEP6/zo=")</f>
        <v>#REF!</v>
      </c>
      <c r="BH111" t="e">
        <f>AND(#REF!,"AAAAAEP6/zs=")</f>
        <v>#REF!</v>
      </c>
      <c r="BI111" t="e">
        <f>AND(#REF!,"AAAAAEP6/zw=")</f>
        <v>#REF!</v>
      </c>
      <c r="BJ111" t="e">
        <f>AND(#REF!,"AAAAAEP6/z0=")</f>
        <v>#REF!</v>
      </c>
      <c r="BK111" t="e">
        <f>AND(#REF!,"AAAAAEP6/z4=")</f>
        <v>#REF!</v>
      </c>
      <c r="BL111" t="e">
        <f>AND(#REF!,"AAAAAEP6/z8=")</f>
        <v>#REF!</v>
      </c>
      <c r="BM111" t="e">
        <f>AND(#REF!,"AAAAAEP6/0A=")</f>
        <v>#REF!</v>
      </c>
      <c r="BN111" t="e">
        <f>AND(#REF!,"AAAAAEP6/0E=")</f>
        <v>#REF!</v>
      </c>
      <c r="BO111" t="e">
        <f>AND(#REF!,"AAAAAEP6/0I=")</f>
        <v>#REF!</v>
      </c>
      <c r="BP111" t="e">
        <f>AND(#REF!,"AAAAAEP6/0M=")</f>
        <v>#REF!</v>
      </c>
      <c r="BQ111" t="e">
        <f>AND(#REF!,"AAAAAEP6/0Q=")</f>
        <v>#REF!</v>
      </c>
      <c r="BR111" t="e">
        <f>AND(#REF!,"AAAAAEP6/0U=")</f>
        <v>#REF!</v>
      </c>
      <c r="BS111" t="e">
        <f>AND(#REF!,"AAAAAEP6/0Y=")</f>
        <v>#REF!</v>
      </c>
      <c r="BT111" t="e">
        <f>AND(#REF!,"AAAAAEP6/0c=")</f>
        <v>#REF!</v>
      </c>
      <c r="BU111" t="e">
        <f>AND(#REF!,"AAAAAEP6/0g=")</f>
        <v>#REF!</v>
      </c>
      <c r="BV111" t="e">
        <f>AND(#REF!,"AAAAAEP6/0k=")</f>
        <v>#REF!</v>
      </c>
      <c r="BW111" t="e">
        <f>AND(#REF!,"AAAAAEP6/0o=")</f>
        <v>#REF!</v>
      </c>
      <c r="BX111" t="e">
        <f>AND(#REF!,"AAAAAEP6/0s=")</f>
        <v>#REF!</v>
      </c>
      <c r="BY111" t="e">
        <f>AND(#REF!,"AAAAAEP6/0w=")</f>
        <v>#REF!</v>
      </c>
      <c r="BZ111" t="e">
        <f>AND(#REF!,"AAAAAEP6/00=")</f>
        <v>#REF!</v>
      </c>
      <c r="CA111" t="e">
        <f>AND(#REF!,"AAAAAEP6/04=")</f>
        <v>#REF!</v>
      </c>
      <c r="CB111" t="e">
        <f>AND(#REF!,"AAAAAEP6/08=")</f>
        <v>#REF!</v>
      </c>
      <c r="CC111" t="e">
        <f>AND(#REF!,"AAAAAEP6/1A=")</f>
        <v>#REF!</v>
      </c>
      <c r="CD111" t="e">
        <f>AND(#REF!,"AAAAAEP6/1E=")</f>
        <v>#REF!</v>
      </c>
      <c r="CE111" t="e">
        <f>AND(#REF!,"AAAAAEP6/1I=")</f>
        <v>#REF!</v>
      </c>
      <c r="CF111" t="e">
        <f>AND(#REF!,"AAAAAEP6/1M=")</f>
        <v>#REF!</v>
      </c>
      <c r="CG111" t="e">
        <f>AND(#REF!,"AAAAAEP6/1Q=")</f>
        <v>#REF!</v>
      </c>
      <c r="CH111" t="e">
        <f>AND(#REF!,"AAAAAEP6/1U=")</f>
        <v>#REF!</v>
      </c>
      <c r="CI111" t="e">
        <f>AND(#REF!,"AAAAAEP6/1Y=")</f>
        <v>#REF!</v>
      </c>
      <c r="CJ111" t="e">
        <f>AND(#REF!,"AAAAAEP6/1c=")</f>
        <v>#REF!</v>
      </c>
      <c r="CK111" t="e">
        <f>AND(#REF!,"AAAAAEP6/1g=")</f>
        <v>#REF!</v>
      </c>
      <c r="CL111" t="e">
        <f>AND(#REF!,"AAAAAEP6/1k=")</f>
        <v>#REF!</v>
      </c>
      <c r="CM111" t="e">
        <f>AND(#REF!,"AAAAAEP6/1o=")</f>
        <v>#REF!</v>
      </c>
      <c r="CN111" t="e">
        <f>AND(#REF!,"AAAAAEP6/1s=")</f>
        <v>#REF!</v>
      </c>
      <c r="CO111" t="e">
        <f>AND(#REF!,"AAAAAEP6/1w=")</f>
        <v>#REF!</v>
      </c>
      <c r="CP111" t="e">
        <f>AND(#REF!,"AAAAAEP6/10=")</f>
        <v>#REF!</v>
      </c>
      <c r="CQ111" t="e">
        <f>AND(#REF!,"AAAAAEP6/14=")</f>
        <v>#REF!</v>
      </c>
      <c r="CR111" t="e">
        <f>AND(#REF!,"AAAAAEP6/18=")</f>
        <v>#REF!</v>
      </c>
      <c r="CS111" t="e">
        <f>AND(#REF!,"AAAAAEP6/2A=")</f>
        <v>#REF!</v>
      </c>
      <c r="CT111" t="e">
        <f>AND(#REF!,"AAAAAEP6/2E=")</f>
        <v>#REF!</v>
      </c>
      <c r="CU111" t="e">
        <f>AND(#REF!,"AAAAAEP6/2I=")</f>
        <v>#REF!</v>
      </c>
      <c r="CV111" t="e">
        <f>AND(#REF!,"AAAAAEP6/2M=")</f>
        <v>#REF!</v>
      </c>
      <c r="CW111" t="e">
        <f>AND(#REF!,"AAAAAEP6/2Q=")</f>
        <v>#REF!</v>
      </c>
      <c r="CX111" t="e">
        <f>AND(#REF!,"AAAAAEP6/2U=")</f>
        <v>#REF!</v>
      </c>
      <c r="CY111" t="e">
        <f>AND(#REF!,"AAAAAEP6/2Y=")</f>
        <v>#REF!</v>
      </c>
      <c r="CZ111" t="e">
        <f>AND(#REF!,"AAAAAEP6/2c=")</f>
        <v>#REF!</v>
      </c>
      <c r="DA111" t="e">
        <f>AND(#REF!,"AAAAAEP6/2g=")</f>
        <v>#REF!</v>
      </c>
      <c r="DB111" t="e">
        <f>AND(#REF!,"AAAAAEP6/2k=")</f>
        <v>#REF!</v>
      </c>
      <c r="DC111" t="e">
        <f>AND(#REF!,"AAAAAEP6/2o=")</f>
        <v>#REF!</v>
      </c>
      <c r="DD111" t="e">
        <f>AND(#REF!,"AAAAAEP6/2s=")</f>
        <v>#REF!</v>
      </c>
      <c r="DE111" t="e">
        <f>AND(#REF!,"AAAAAEP6/2w=")</f>
        <v>#REF!</v>
      </c>
      <c r="DF111" t="e">
        <f>AND(#REF!,"AAAAAEP6/20=")</f>
        <v>#REF!</v>
      </c>
      <c r="DG111" t="e">
        <f>AND(#REF!,"AAAAAEP6/24=")</f>
        <v>#REF!</v>
      </c>
      <c r="DH111" t="e">
        <f>AND(#REF!,"AAAAAEP6/28=")</f>
        <v>#REF!</v>
      </c>
      <c r="DI111" t="e">
        <f>AND(#REF!,"AAAAAEP6/3A=")</f>
        <v>#REF!</v>
      </c>
      <c r="DJ111" t="e">
        <f>AND(#REF!,"AAAAAEP6/3E=")</f>
        <v>#REF!</v>
      </c>
      <c r="DK111" t="e">
        <f>AND(#REF!,"AAAAAEP6/3I=")</f>
        <v>#REF!</v>
      </c>
      <c r="DL111" t="e">
        <f>AND(#REF!,"AAAAAEP6/3M=")</f>
        <v>#REF!</v>
      </c>
      <c r="DM111" t="e">
        <f>AND(#REF!,"AAAAAEP6/3Q=")</f>
        <v>#REF!</v>
      </c>
      <c r="DN111" t="e">
        <f>AND(#REF!,"AAAAAEP6/3U=")</f>
        <v>#REF!</v>
      </c>
      <c r="DO111" t="e">
        <f>AND(#REF!,"AAAAAEP6/3Y=")</f>
        <v>#REF!</v>
      </c>
      <c r="DP111" t="e">
        <f>AND(#REF!,"AAAAAEP6/3c=")</f>
        <v>#REF!</v>
      </c>
      <c r="DQ111" t="e">
        <f>AND(#REF!,"AAAAAEP6/3g=")</f>
        <v>#REF!</v>
      </c>
      <c r="DR111" t="e">
        <f>AND(#REF!,"AAAAAEP6/3k=")</f>
        <v>#REF!</v>
      </c>
      <c r="DS111" t="e">
        <f>AND(#REF!,"AAAAAEP6/3o=")</f>
        <v>#REF!</v>
      </c>
      <c r="DT111" t="e">
        <f>AND(#REF!,"AAAAAEP6/3s=")</f>
        <v>#REF!</v>
      </c>
      <c r="DU111" t="e">
        <f>AND(#REF!,"AAAAAEP6/3w=")</f>
        <v>#REF!</v>
      </c>
      <c r="DV111" t="e">
        <f>AND(#REF!,"AAAAAEP6/30=")</f>
        <v>#REF!</v>
      </c>
      <c r="DW111" t="e">
        <f>AND(#REF!,"AAAAAEP6/34=")</f>
        <v>#REF!</v>
      </c>
      <c r="DX111" t="e">
        <f>AND(#REF!,"AAAAAEP6/38=")</f>
        <v>#REF!</v>
      </c>
      <c r="DY111" t="e">
        <f>AND(#REF!,"AAAAAEP6/4A=")</f>
        <v>#REF!</v>
      </c>
      <c r="DZ111" t="e">
        <f>AND(#REF!,"AAAAAEP6/4E=")</f>
        <v>#REF!</v>
      </c>
      <c r="EA111" t="e">
        <f>AND(#REF!,"AAAAAEP6/4I=")</f>
        <v>#REF!</v>
      </c>
      <c r="EB111" t="e">
        <f>AND(#REF!,"AAAAAEP6/4M=")</f>
        <v>#REF!</v>
      </c>
      <c r="EC111" t="e">
        <f>AND(#REF!,"AAAAAEP6/4Q=")</f>
        <v>#REF!</v>
      </c>
      <c r="ED111" t="e">
        <f>AND(#REF!,"AAAAAEP6/4U=")</f>
        <v>#REF!</v>
      </c>
      <c r="EE111" t="e">
        <f>AND(#REF!,"AAAAAEP6/4Y=")</f>
        <v>#REF!</v>
      </c>
      <c r="EF111" t="e">
        <f>AND(#REF!,"AAAAAEP6/4c=")</f>
        <v>#REF!</v>
      </c>
      <c r="EG111" t="e">
        <f>AND(#REF!,"AAAAAEP6/4g=")</f>
        <v>#REF!</v>
      </c>
      <c r="EH111" t="e">
        <f>AND(#REF!,"AAAAAEP6/4k=")</f>
        <v>#REF!</v>
      </c>
      <c r="EI111" t="e">
        <f>AND(#REF!,"AAAAAEP6/4o=")</f>
        <v>#REF!</v>
      </c>
      <c r="EJ111" t="e">
        <f>AND(#REF!,"AAAAAEP6/4s=")</f>
        <v>#REF!</v>
      </c>
      <c r="EK111" t="e">
        <f>AND(#REF!,"AAAAAEP6/4w=")</f>
        <v>#REF!</v>
      </c>
      <c r="EL111" t="e">
        <f>AND(#REF!,"AAAAAEP6/40=")</f>
        <v>#REF!</v>
      </c>
      <c r="EM111" t="e">
        <f>AND(#REF!,"AAAAAEP6/44=")</f>
        <v>#REF!</v>
      </c>
      <c r="EN111" t="e">
        <f>AND(#REF!,"AAAAAEP6/48=")</f>
        <v>#REF!</v>
      </c>
      <c r="EO111" t="e">
        <f>AND(#REF!,"AAAAAEP6/5A=")</f>
        <v>#REF!</v>
      </c>
      <c r="EP111" t="e">
        <f>AND(#REF!,"AAAAAEP6/5E=")</f>
        <v>#REF!</v>
      </c>
      <c r="EQ111" t="e">
        <f>AND(#REF!,"AAAAAEP6/5I=")</f>
        <v>#REF!</v>
      </c>
      <c r="ER111" t="e">
        <f>AND(#REF!,"AAAAAEP6/5M=")</f>
        <v>#REF!</v>
      </c>
      <c r="ES111" t="e">
        <f>AND(#REF!,"AAAAAEP6/5Q=")</f>
        <v>#REF!</v>
      </c>
      <c r="ET111" t="e">
        <f>AND(#REF!,"AAAAAEP6/5U=")</f>
        <v>#REF!</v>
      </c>
      <c r="EU111" t="e">
        <f>AND(#REF!,"AAAAAEP6/5Y=")</f>
        <v>#REF!</v>
      </c>
      <c r="EV111" t="e">
        <f>AND(#REF!,"AAAAAEP6/5c=")</f>
        <v>#REF!</v>
      </c>
      <c r="EW111" t="e">
        <f>AND(#REF!,"AAAAAEP6/5g=")</f>
        <v>#REF!</v>
      </c>
      <c r="EX111" t="e">
        <f>AND(#REF!,"AAAAAEP6/5k=")</f>
        <v>#REF!</v>
      </c>
      <c r="EY111" t="e">
        <f>AND(#REF!,"AAAAAEP6/5o=")</f>
        <v>#REF!</v>
      </c>
      <c r="EZ111" t="e">
        <f>AND(#REF!,"AAAAAEP6/5s=")</f>
        <v>#REF!</v>
      </c>
      <c r="FA111" t="e">
        <f>AND(#REF!,"AAAAAEP6/5w=")</f>
        <v>#REF!</v>
      </c>
      <c r="FB111" t="e">
        <f>AND(#REF!,"AAAAAEP6/50=")</f>
        <v>#REF!</v>
      </c>
      <c r="FC111" t="e">
        <f>AND(#REF!,"AAAAAEP6/54=")</f>
        <v>#REF!</v>
      </c>
      <c r="FD111" t="e">
        <f>AND(#REF!,"AAAAAEP6/58=")</f>
        <v>#REF!</v>
      </c>
      <c r="FE111" t="e">
        <f>AND(#REF!,"AAAAAEP6/6A=")</f>
        <v>#REF!</v>
      </c>
      <c r="FF111" t="e">
        <f>AND(#REF!,"AAAAAEP6/6E=")</f>
        <v>#REF!</v>
      </c>
      <c r="FG111" t="e">
        <f>AND(#REF!,"AAAAAEP6/6I=")</f>
        <v>#REF!</v>
      </c>
      <c r="FH111" t="e">
        <f>AND(#REF!,"AAAAAEP6/6M=")</f>
        <v>#REF!</v>
      </c>
      <c r="FI111" t="e">
        <f>AND(#REF!,"AAAAAEP6/6Q=")</f>
        <v>#REF!</v>
      </c>
      <c r="FJ111" t="e">
        <f>AND(#REF!,"AAAAAEP6/6U=")</f>
        <v>#REF!</v>
      </c>
      <c r="FK111" t="e">
        <f>AND(#REF!,"AAAAAEP6/6Y=")</f>
        <v>#REF!</v>
      </c>
      <c r="FL111" t="e">
        <f>AND(#REF!,"AAAAAEP6/6c=")</f>
        <v>#REF!</v>
      </c>
      <c r="FM111" t="e">
        <f>AND(#REF!,"AAAAAEP6/6g=")</f>
        <v>#REF!</v>
      </c>
      <c r="FN111" t="e">
        <f>AND(#REF!,"AAAAAEP6/6k=")</f>
        <v>#REF!</v>
      </c>
      <c r="FO111" t="e">
        <f>AND(#REF!,"AAAAAEP6/6o=")</f>
        <v>#REF!</v>
      </c>
      <c r="FP111" t="e">
        <f>AND(#REF!,"AAAAAEP6/6s=")</f>
        <v>#REF!</v>
      </c>
      <c r="FQ111" t="e">
        <f>AND(#REF!,"AAAAAEP6/6w=")</f>
        <v>#REF!</v>
      </c>
      <c r="FR111" t="e">
        <f>AND(#REF!,"AAAAAEP6/60=")</f>
        <v>#REF!</v>
      </c>
      <c r="FS111" t="e">
        <f>AND(#REF!,"AAAAAEP6/64=")</f>
        <v>#REF!</v>
      </c>
      <c r="FT111" t="e">
        <f>AND(#REF!,"AAAAAEP6/68=")</f>
        <v>#REF!</v>
      </c>
      <c r="FU111" t="e">
        <f>AND(#REF!,"AAAAAEP6/7A=")</f>
        <v>#REF!</v>
      </c>
      <c r="FV111" t="e">
        <f>AND(#REF!,"AAAAAEP6/7E=")</f>
        <v>#REF!</v>
      </c>
      <c r="FW111" t="e">
        <f>AND(#REF!,"AAAAAEP6/7I=")</f>
        <v>#REF!</v>
      </c>
      <c r="FX111" t="e">
        <f>AND(#REF!,"AAAAAEP6/7M=")</f>
        <v>#REF!</v>
      </c>
      <c r="FY111" t="e">
        <f>AND(#REF!,"AAAAAEP6/7Q=")</f>
        <v>#REF!</v>
      </c>
      <c r="FZ111" t="e">
        <f>AND(#REF!,"AAAAAEP6/7U=")</f>
        <v>#REF!</v>
      </c>
      <c r="GA111" t="e">
        <f>AND(#REF!,"AAAAAEP6/7Y=")</f>
        <v>#REF!</v>
      </c>
      <c r="GB111" t="e">
        <f>AND(#REF!,"AAAAAEP6/7c=")</f>
        <v>#REF!</v>
      </c>
      <c r="GC111" t="e">
        <f>AND(#REF!,"AAAAAEP6/7g=")</f>
        <v>#REF!</v>
      </c>
      <c r="GD111" t="e">
        <f>AND(#REF!,"AAAAAEP6/7k=")</f>
        <v>#REF!</v>
      </c>
      <c r="GE111" t="e">
        <f>AND(#REF!,"AAAAAEP6/7o=")</f>
        <v>#REF!</v>
      </c>
      <c r="GF111" t="e">
        <f>AND(#REF!,"AAAAAEP6/7s=")</f>
        <v>#REF!</v>
      </c>
      <c r="GG111" t="e">
        <f>AND(#REF!,"AAAAAEP6/7w=")</f>
        <v>#REF!</v>
      </c>
      <c r="GH111" t="e">
        <f>AND(#REF!,"AAAAAEP6/70=")</f>
        <v>#REF!</v>
      </c>
      <c r="GI111" t="e">
        <f>AND(#REF!,"AAAAAEP6/74=")</f>
        <v>#REF!</v>
      </c>
      <c r="GJ111" t="e">
        <f>AND(#REF!,"AAAAAEP6/78=")</f>
        <v>#REF!</v>
      </c>
      <c r="GK111" t="e">
        <f>AND(#REF!,"AAAAAEP6/8A=")</f>
        <v>#REF!</v>
      </c>
      <c r="GL111" t="e">
        <f>AND(#REF!,"AAAAAEP6/8E=")</f>
        <v>#REF!</v>
      </c>
      <c r="GM111" t="e">
        <f>AND(#REF!,"AAAAAEP6/8I=")</f>
        <v>#REF!</v>
      </c>
      <c r="GN111" t="e">
        <f>AND(#REF!,"AAAAAEP6/8M=")</f>
        <v>#REF!</v>
      </c>
      <c r="GO111" t="e">
        <f>AND(#REF!,"AAAAAEP6/8Q=")</f>
        <v>#REF!</v>
      </c>
      <c r="GP111" t="e">
        <f>AND(#REF!,"AAAAAEP6/8U=")</f>
        <v>#REF!</v>
      </c>
      <c r="GQ111" t="e">
        <f>AND(#REF!,"AAAAAEP6/8Y=")</f>
        <v>#REF!</v>
      </c>
      <c r="GR111" t="e">
        <f>AND(#REF!,"AAAAAEP6/8c=")</f>
        <v>#REF!</v>
      </c>
      <c r="GS111" t="e">
        <f>AND(#REF!,"AAAAAEP6/8g=")</f>
        <v>#REF!</v>
      </c>
      <c r="GT111" t="e">
        <f>AND(#REF!,"AAAAAEP6/8k=")</f>
        <v>#REF!</v>
      </c>
      <c r="GU111" t="e">
        <f>AND(#REF!,"AAAAAEP6/8o=")</f>
        <v>#REF!</v>
      </c>
      <c r="GV111" t="e">
        <f>AND(#REF!,"AAAAAEP6/8s=")</f>
        <v>#REF!</v>
      </c>
      <c r="GW111" t="e">
        <f>AND(#REF!,"AAAAAEP6/8w=")</f>
        <v>#REF!</v>
      </c>
      <c r="GX111" t="e">
        <f>AND(#REF!,"AAAAAEP6/80=")</f>
        <v>#REF!</v>
      </c>
      <c r="GY111" t="e">
        <f>AND(#REF!,"AAAAAEP6/84=")</f>
        <v>#REF!</v>
      </c>
      <c r="GZ111" t="e">
        <f>AND(#REF!,"AAAAAEP6/88=")</f>
        <v>#REF!</v>
      </c>
      <c r="HA111" t="e">
        <f>AND(#REF!,"AAAAAEP6/9A=")</f>
        <v>#REF!</v>
      </c>
      <c r="HB111" t="e">
        <f>AND(#REF!,"AAAAAEP6/9E=")</f>
        <v>#REF!</v>
      </c>
      <c r="HC111" t="e">
        <f>AND(#REF!,"AAAAAEP6/9I=")</f>
        <v>#REF!</v>
      </c>
      <c r="HD111" t="e">
        <f>AND(#REF!,"AAAAAEP6/9M=")</f>
        <v>#REF!</v>
      </c>
      <c r="HE111" t="e">
        <f>AND(#REF!,"AAAAAEP6/9Q=")</f>
        <v>#REF!</v>
      </c>
      <c r="HF111" t="e">
        <f>AND(#REF!,"AAAAAEP6/9U=")</f>
        <v>#REF!</v>
      </c>
      <c r="HG111" t="e">
        <f>AND(#REF!,"AAAAAEP6/9Y=")</f>
        <v>#REF!</v>
      </c>
      <c r="HH111" t="e">
        <f>AND(#REF!,"AAAAAEP6/9c=")</f>
        <v>#REF!</v>
      </c>
      <c r="HI111" t="e">
        <f>AND(#REF!,"AAAAAEP6/9g=")</f>
        <v>#REF!</v>
      </c>
      <c r="HJ111" t="e">
        <f>AND(#REF!,"AAAAAEP6/9k=")</f>
        <v>#REF!</v>
      </c>
      <c r="HK111" t="e">
        <f>AND(#REF!,"AAAAAEP6/9o=")</f>
        <v>#REF!</v>
      </c>
      <c r="HL111" t="e">
        <f>AND(#REF!,"AAAAAEP6/9s=")</f>
        <v>#REF!</v>
      </c>
      <c r="HM111" t="e">
        <f>AND(#REF!,"AAAAAEP6/9w=")</f>
        <v>#REF!</v>
      </c>
      <c r="HN111" t="e">
        <f>AND(#REF!,"AAAAAEP6/90=")</f>
        <v>#REF!</v>
      </c>
      <c r="HO111" t="e">
        <f>AND(#REF!,"AAAAAEP6/94=")</f>
        <v>#REF!</v>
      </c>
      <c r="HP111" t="e">
        <f>AND(#REF!,"AAAAAEP6/98=")</f>
        <v>#REF!</v>
      </c>
      <c r="HQ111" t="e">
        <f>AND(#REF!,"AAAAAEP6/+A=")</f>
        <v>#REF!</v>
      </c>
      <c r="HR111" t="e">
        <f>AND(#REF!,"AAAAAEP6/+E=")</f>
        <v>#REF!</v>
      </c>
      <c r="HS111" t="e">
        <f>AND(#REF!,"AAAAAEP6/+I=")</f>
        <v>#REF!</v>
      </c>
      <c r="HT111" t="e">
        <f>AND(#REF!,"AAAAAEP6/+M=")</f>
        <v>#REF!</v>
      </c>
      <c r="HU111" t="e">
        <f>AND(#REF!,"AAAAAEP6/+Q=")</f>
        <v>#REF!</v>
      </c>
      <c r="HV111" t="e">
        <f>AND(#REF!,"AAAAAEP6/+U=")</f>
        <v>#REF!</v>
      </c>
      <c r="HW111" t="e">
        <f>AND(#REF!,"AAAAAEP6/+Y=")</f>
        <v>#REF!</v>
      </c>
      <c r="HX111" t="e">
        <f>AND(#REF!,"AAAAAEP6/+c=")</f>
        <v>#REF!</v>
      </c>
      <c r="HY111" t="e">
        <f>AND(#REF!,"AAAAAEP6/+g=")</f>
        <v>#REF!</v>
      </c>
      <c r="HZ111" t="e">
        <f>AND(#REF!,"AAAAAEP6/+k=")</f>
        <v>#REF!</v>
      </c>
      <c r="IA111" t="e">
        <f>AND(#REF!,"AAAAAEP6/+o=")</f>
        <v>#REF!</v>
      </c>
      <c r="IB111" t="e">
        <f>AND(#REF!,"AAAAAEP6/+s=")</f>
        <v>#REF!</v>
      </c>
      <c r="IC111" t="e">
        <f>AND(#REF!,"AAAAAEP6/+w=")</f>
        <v>#REF!</v>
      </c>
      <c r="ID111" t="e">
        <f>AND(#REF!,"AAAAAEP6/+0=")</f>
        <v>#REF!</v>
      </c>
      <c r="IE111" t="e">
        <f>AND(#REF!,"AAAAAEP6/+4=")</f>
        <v>#REF!</v>
      </c>
      <c r="IF111" t="e">
        <f>AND(#REF!,"AAAAAEP6/+8=")</f>
        <v>#REF!</v>
      </c>
      <c r="IG111" t="e">
        <f>AND(#REF!,"AAAAAEP6//A=")</f>
        <v>#REF!</v>
      </c>
      <c r="IH111" t="e">
        <f>AND(#REF!,"AAAAAEP6//E=")</f>
        <v>#REF!</v>
      </c>
      <c r="II111" t="e">
        <f>AND(#REF!,"AAAAAEP6//I=")</f>
        <v>#REF!</v>
      </c>
      <c r="IJ111" t="e">
        <f>AND(#REF!,"AAAAAEP6//M=")</f>
        <v>#REF!</v>
      </c>
      <c r="IK111" t="e">
        <f>AND(#REF!,"AAAAAEP6//Q=")</f>
        <v>#REF!</v>
      </c>
      <c r="IL111" t="e">
        <f>AND(#REF!,"AAAAAEP6//U=")</f>
        <v>#REF!</v>
      </c>
      <c r="IM111" t="e">
        <f>AND(#REF!,"AAAAAEP6//Y=")</f>
        <v>#REF!</v>
      </c>
      <c r="IN111" t="e">
        <f>AND(#REF!,"AAAAAEP6//c=")</f>
        <v>#REF!</v>
      </c>
      <c r="IO111" t="e">
        <f>AND(#REF!,"AAAAAEP6//g=")</f>
        <v>#REF!</v>
      </c>
      <c r="IP111" t="e">
        <f>AND(#REF!,"AAAAAEP6//k=")</f>
        <v>#REF!</v>
      </c>
      <c r="IQ111" t="e">
        <f>AND(#REF!,"AAAAAEP6//o=")</f>
        <v>#REF!</v>
      </c>
      <c r="IR111" t="e">
        <f>AND(#REF!,"AAAAAEP6//s=")</f>
        <v>#REF!</v>
      </c>
      <c r="IS111" t="e">
        <f>AND(#REF!,"AAAAAEP6//w=")</f>
        <v>#REF!</v>
      </c>
      <c r="IT111" t="e">
        <f>AND(#REF!,"AAAAAEP6//0=")</f>
        <v>#REF!</v>
      </c>
      <c r="IU111" t="e">
        <f>AND(#REF!,"AAAAAEP6//4=")</f>
        <v>#REF!</v>
      </c>
      <c r="IV111" t="e">
        <f>AND(#REF!,"AAAAAEP6//8=")</f>
        <v>#REF!</v>
      </c>
    </row>
    <row r="112" spans="1:256">
      <c r="A112" t="e">
        <f>AND(#REF!,"AAAAAG33tgA=")</f>
        <v>#REF!</v>
      </c>
      <c r="B112" t="e">
        <f>AND(#REF!,"AAAAAG33tgE=")</f>
        <v>#REF!</v>
      </c>
      <c r="C112" t="e">
        <f>AND(#REF!,"AAAAAG33tgI=")</f>
        <v>#REF!</v>
      </c>
      <c r="D112" t="e">
        <f>AND(#REF!,"AAAAAG33tgM=")</f>
        <v>#REF!</v>
      </c>
      <c r="E112" t="e">
        <f>AND(#REF!,"AAAAAG33tgQ=")</f>
        <v>#REF!</v>
      </c>
      <c r="F112" t="e">
        <f>AND(#REF!,"AAAAAG33tgU=")</f>
        <v>#REF!</v>
      </c>
      <c r="G112" t="e">
        <f>AND(#REF!,"AAAAAG33tgY=")</f>
        <v>#REF!</v>
      </c>
      <c r="H112" t="e">
        <f>AND(#REF!,"AAAAAG33tgc=")</f>
        <v>#REF!</v>
      </c>
      <c r="I112" t="e">
        <f>AND(#REF!,"AAAAAG33tgg=")</f>
        <v>#REF!</v>
      </c>
      <c r="J112" t="e">
        <f>AND(#REF!,"AAAAAG33tgk=")</f>
        <v>#REF!</v>
      </c>
      <c r="K112" t="e">
        <f>AND(#REF!,"AAAAAG33tgo=")</f>
        <v>#REF!</v>
      </c>
      <c r="L112" t="e">
        <f>AND(#REF!,"AAAAAG33tgs=")</f>
        <v>#REF!</v>
      </c>
      <c r="M112" t="e">
        <f>AND(#REF!,"AAAAAG33tgw=")</f>
        <v>#REF!</v>
      </c>
      <c r="N112" t="e">
        <f>AND(#REF!,"AAAAAG33tg0=")</f>
        <v>#REF!</v>
      </c>
      <c r="O112" t="e">
        <f>AND(#REF!,"AAAAAG33tg4=")</f>
        <v>#REF!</v>
      </c>
      <c r="P112" t="e">
        <f>AND(#REF!,"AAAAAG33tg8=")</f>
        <v>#REF!</v>
      </c>
      <c r="Q112" t="e">
        <f>AND(#REF!,"AAAAAG33thA=")</f>
        <v>#REF!</v>
      </c>
      <c r="R112" t="e">
        <f>AND(#REF!,"AAAAAG33thE=")</f>
        <v>#REF!</v>
      </c>
      <c r="S112" t="e">
        <f>AND(#REF!,"AAAAAG33thI=")</f>
        <v>#REF!</v>
      </c>
      <c r="T112" t="e">
        <f>AND(#REF!,"AAAAAG33thM=")</f>
        <v>#REF!</v>
      </c>
      <c r="U112" t="e">
        <f>AND(#REF!,"AAAAAG33thQ=")</f>
        <v>#REF!</v>
      </c>
      <c r="V112" t="e">
        <f>AND(#REF!,"AAAAAG33thU=")</f>
        <v>#REF!</v>
      </c>
      <c r="W112" t="e">
        <f>AND(#REF!,"AAAAAG33thY=")</f>
        <v>#REF!</v>
      </c>
      <c r="X112" t="e">
        <f>AND(#REF!,"AAAAAG33thc=")</f>
        <v>#REF!</v>
      </c>
      <c r="Y112" t="e">
        <f>AND(#REF!,"AAAAAG33thg=")</f>
        <v>#REF!</v>
      </c>
      <c r="Z112" t="e">
        <f>AND(#REF!,"AAAAAG33thk=")</f>
        <v>#REF!</v>
      </c>
      <c r="AA112" t="e">
        <f>AND(#REF!,"AAAAAG33tho=")</f>
        <v>#REF!</v>
      </c>
      <c r="AB112" t="e">
        <f>AND(#REF!,"AAAAAG33ths=")</f>
        <v>#REF!</v>
      </c>
      <c r="AC112" t="e">
        <f>AND(#REF!,"AAAAAG33thw=")</f>
        <v>#REF!</v>
      </c>
      <c r="AD112" t="e">
        <f>AND(#REF!,"AAAAAG33th0=")</f>
        <v>#REF!</v>
      </c>
      <c r="AE112" t="e">
        <f>AND(#REF!,"AAAAAG33th4=")</f>
        <v>#REF!</v>
      </c>
      <c r="AF112" t="e">
        <f>AND(#REF!,"AAAAAG33th8=")</f>
        <v>#REF!</v>
      </c>
      <c r="AG112" t="e">
        <f>AND(#REF!,"AAAAAG33tiA=")</f>
        <v>#REF!</v>
      </c>
      <c r="AH112" t="e">
        <f>AND(#REF!,"AAAAAG33tiE=")</f>
        <v>#REF!</v>
      </c>
      <c r="AI112" t="e">
        <f>AND(#REF!,"AAAAAG33tiI=")</f>
        <v>#REF!</v>
      </c>
      <c r="AJ112" t="e">
        <f>AND(#REF!,"AAAAAG33tiM=")</f>
        <v>#REF!</v>
      </c>
      <c r="AK112" t="e">
        <f>AND(#REF!,"AAAAAG33tiQ=")</f>
        <v>#REF!</v>
      </c>
      <c r="AL112" t="e">
        <f>AND(#REF!,"AAAAAG33tiU=")</f>
        <v>#REF!</v>
      </c>
      <c r="AM112" t="e">
        <f>AND(#REF!,"AAAAAG33tiY=")</f>
        <v>#REF!</v>
      </c>
      <c r="AN112" t="e">
        <f>AND(#REF!,"AAAAAG33tic=")</f>
        <v>#REF!</v>
      </c>
      <c r="AO112" t="e">
        <f>AND(#REF!,"AAAAAG33tig=")</f>
        <v>#REF!</v>
      </c>
      <c r="AP112" t="e">
        <f>AND(#REF!,"AAAAAG33tik=")</f>
        <v>#REF!</v>
      </c>
      <c r="AQ112" t="e">
        <f>AND(#REF!,"AAAAAG33tio=")</f>
        <v>#REF!</v>
      </c>
      <c r="AR112" t="e">
        <f>AND(#REF!,"AAAAAG33tis=")</f>
        <v>#REF!</v>
      </c>
      <c r="AS112" t="e">
        <f>AND(#REF!,"AAAAAG33tiw=")</f>
        <v>#REF!</v>
      </c>
      <c r="AT112" t="e">
        <f>AND(#REF!,"AAAAAG33ti0=")</f>
        <v>#REF!</v>
      </c>
      <c r="AU112" t="e">
        <f>AND(#REF!,"AAAAAG33ti4=")</f>
        <v>#REF!</v>
      </c>
      <c r="AV112" t="e">
        <f>AND(#REF!,"AAAAAG33ti8=")</f>
        <v>#REF!</v>
      </c>
      <c r="AW112" t="e">
        <f>AND(#REF!,"AAAAAG33tjA=")</f>
        <v>#REF!</v>
      </c>
      <c r="AX112" t="e">
        <f>AND(#REF!,"AAAAAG33tjE=")</f>
        <v>#REF!</v>
      </c>
      <c r="AY112" t="e">
        <f>AND(#REF!,"AAAAAG33tjI=")</f>
        <v>#REF!</v>
      </c>
      <c r="AZ112" t="e">
        <f>AND(#REF!,"AAAAAG33tjM=")</f>
        <v>#REF!</v>
      </c>
      <c r="BA112" t="e">
        <f>AND(#REF!,"AAAAAG33tjQ=")</f>
        <v>#REF!</v>
      </c>
      <c r="BB112" t="e">
        <f>AND(#REF!,"AAAAAG33tjU=")</f>
        <v>#REF!</v>
      </c>
      <c r="BC112" t="e">
        <f>AND(#REF!,"AAAAAG33tjY=")</f>
        <v>#REF!</v>
      </c>
      <c r="BD112" t="e">
        <f>AND(#REF!,"AAAAAG33tjc=")</f>
        <v>#REF!</v>
      </c>
      <c r="BE112" t="e">
        <f>AND(#REF!,"AAAAAG33tjg=")</f>
        <v>#REF!</v>
      </c>
      <c r="BF112" t="e">
        <f>AND(#REF!,"AAAAAG33tjk=")</f>
        <v>#REF!</v>
      </c>
      <c r="BG112" t="e">
        <f>AND(#REF!,"AAAAAG33tjo=")</f>
        <v>#REF!</v>
      </c>
      <c r="BH112" t="e">
        <f>AND(#REF!,"AAAAAG33tjs=")</f>
        <v>#REF!</v>
      </c>
      <c r="BI112" t="e">
        <f>AND(#REF!,"AAAAAG33tjw=")</f>
        <v>#REF!</v>
      </c>
      <c r="BJ112" t="e">
        <f>AND(#REF!,"AAAAAG33tj0=")</f>
        <v>#REF!</v>
      </c>
      <c r="BK112" t="e">
        <f>AND(#REF!,"AAAAAG33tj4=")</f>
        <v>#REF!</v>
      </c>
      <c r="BL112" t="e">
        <f>AND(#REF!,"AAAAAG33tj8=")</f>
        <v>#REF!</v>
      </c>
      <c r="BM112" t="e">
        <f>AND(#REF!,"AAAAAG33tkA=")</f>
        <v>#REF!</v>
      </c>
      <c r="BN112" t="e">
        <f>AND(#REF!,"AAAAAG33tkE=")</f>
        <v>#REF!</v>
      </c>
      <c r="BO112" t="e">
        <f>AND(#REF!,"AAAAAG33tkI=")</f>
        <v>#REF!</v>
      </c>
      <c r="BP112" t="e">
        <f>AND(#REF!,"AAAAAG33tkM=")</f>
        <v>#REF!</v>
      </c>
      <c r="BQ112" t="e">
        <f>AND(#REF!,"AAAAAG33tkQ=")</f>
        <v>#REF!</v>
      </c>
      <c r="BR112" t="e">
        <f>AND(#REF!,"AAAAAG33tkU=")</f>
        <v>#REF!</v>
      </c>
      <c r="BS112" t="e">
        <f>AND(#REF!,"AAAAAG33tkY=")</f>
        <v>#REF!</v>
      </c>
      <c r="BT112" t="e">
        <f>AND(#REF!,"AAAAAG33tkc=")</f>
        <v>#REF!</v>
      </c>
      <c r="BU112" t="e">
        <f>AND(#REF!,"AAAAAG33tkg=")</f>
        <v>#REF!</v>
      </c>
      <c r="BV112" t="e">
        <f>AND(#REF!,"AAAAAG33tkk=")</f>
        <v>#REF!</v>
      </c>
      <c r="BW112" t="e">
        <f>AND(#REF!,"AAAAAG33tko=")</f>
        <v>#REF!</v>
      </c>
      <c r="BX112" t="e">
        <f>AND(#REF!,"AAAAAG33tks=")</f>
        <v>#REF!</v>
      </c>
      <c r="BY112" t="e">
        <f>AND(#REF!,"AAAAAG33tkw=")</f>
        <v>#REF!</v>
      </c>
      <c r="BZ112" t="e">
        <f>AND(#REF!,"AAAAAG33tk0=")</f>
        <v>#REF!</v>
      </c>
      <c r="CA112" t="e">
        <f>AND(#REF!,"AAAAAG33tk4=")</f>
        <v>#REF!</v>
      </c>
      <c r="CB112" t="e">
        <f>AND(#REF!,"AAAAAG33tk8=")</f>
        <v>#REF!</v>
      </c>
      <c r="CC112" t="e">
        <f>AND(#REF!,"AAAAAG33tlA=")</f>
        <v>#REF!</v>
      </c>
      <c r="CD112" t="e">
        <f>AND(#REF!,"AAAAAG33tlE=")</f>
        <v>#REF!</v>
      </c>
      <c r="CE112" t="e">
        <f>AND(#REF!,"AAAAAG33tlI=")</f>
        <v>#REF!</v>
      </c>
      <c r="CF112" t="e">
        <f>AND(#REF!,"AAAAAG33tlM=")</f>
        <v>#REF!</v>
      </c>
      <c r="CG112" t="e">
        <f>AND(#REF!,"AAAAAG33tlQ=")</f>
        <v>#REF!</v>
      </c>
      <c r="CH112" t="e">
        <f>AND(#REF!,"AAAAAG33tlU=")</f>
        <v>#REF!</v>
      </c>
      <c r="CI112" t="e">
        <f>AND(#REF!,"AAAAAG33tlY=")</f>
        <v>#REF!</v>
      </c>
      <c r="CJ112" t="e">
        <f>AND(#REF!,"AAAAAG33tlc=")</f>
        <v>#REF!</v>
      </c>
      <c r="CK112" t="e">
        <f>AND(#REF!,"AAAAAG33tlg=")</f>
        <v>#REF!</v>
      </c>
      <c r="CL112" t="e">
        <f>AND(#REF!,"AAAAAG33tlk=")</f>
        <v>#REF!</v>
      </c>
      <c r="CM112" t="e">
        <f>AND(#REF!,"AAAAAG33tlo=")</f>
        <v>#REF!</v>
      </c>
      <c r="CN112" t="e">
        <f>AND(#REF!,"AAAAAG33tls=")</f>
        <v>#REF!</v>
      </c>
      <c r="CO112" t="e">
        <f>AND(#REF!,"AAAAAG33tlw=")</f>
        <v>#REF!</v>
      </c>
      <c r="CP112" t="e">
        <f>AND(#REF!,"AAAAAG33tl0=")</f>
        <v>#REF!</v>
      </c>
      <c r="CQ112" t="e">
        <f>AND(#REF!,"AAAAAG33tl4=")</f>
        <v>#REF!</v>
      </c>
      <c r="CR112" t="e">
        <f>AND(#REF!,"AAAAAG33tl8=")</f>
        <v>#REF!</v>
      </c>
      <c r="CS112" t="e">
        <f>AND(#REF!,"AAAAAG33tmA=")</f>
        <v>#REF!</v>
      </c>
      <c r="CT112" t="e">
        <f>AND(#REF!,"AAAAAG33tmE=")</f>
        <v>#REF!</v>
      </c>
      <c r="CU112" t="e">
        <f>AND(#REF!,"AAAAAG33tmI=")</f>
        <v>#REF!</v>
      </c>
      <c r="CV112" t="e">
        <f>AND(#REF!,"AAAAAG33tmM=")</f>
        <v>#REF!</v>
      </c>
      <c r="CW112" t="e">
        <f>AND(#REF!,"AAAAAG33tmQ=")</f>
        <v>#REF!</v>
      </c>
      <c r="CX112" t="e">
        <f>AND(#REF!,"AAAAAG33tmU=")</f>
        <v>#REF!</v>
      </c>
      <c r="CY112" t="e">
        <f>AND(#REF!,"AAAAAG33tmY=")</f>
        <v>#REF!</v>
      </c>
      <c r="CZ112" t="e">
        <f>AND(#REF!,"AAAAAG33tmc=")</f>
        <v>#REF!</v>
      </c>
      <c r="DA112" t="e">
        <f>AND(#REF!,"AAAAAG33tmg=")</f>
        <v>#REF!</v>
      </c>
      <c r="DB112" t="e">
        <f>AND(#REF!,"AAAAAG33tmk=")</f>
        <v>#REF!</v>
      </c>
      <c r="DC112" t="e">
        <f>AND(#REF!,"AAAAAG33tmo=")</f>
        <v>#REF!</v>
      </c>
      <c r="DD112" t="e">
        <f>AND(#REF!,"AAAAAG33tms=")</f>
        <v>#REF!</v>
      </c>
      <c r="DE112" t="e">
        <f>AND(#REF!,"AAAAAG33tmw=")</f>
        <v>#REF!</v>
      </c>
      <c r="DF112" t="e">
        <f>AND(#REF!,"AAAAAG33tm0=")</f>
        <v>#REF!</v>
      </c>
      <c r="DG112" t="e">
        <f>AND(#REF!,"AAAAAG33tm4=")</f>
        <v>#REF!</v>
      </c>
      <c r="DH112" t="e">
        <f>AND(#REF!,"AAAAAG33tm8=")</f>
        <v>#REF!</v>
      </c>
      <c r="DI112" t="e">
        <f>AND(#REF!,"AAAAAG33tnA=")</f>
        <v>#REF!</v>
      </c>
      <c r="DJ112" t="e">
        <f>AND(#REF!,"AAAAAG33tnE=")</f>
        <v>#REF!</v>
      </c>
      <c r="DK112" t="e">
        <f>AND(#REF!,"AAAAAG33tnI=")</f>
        <v>#REF!</v>
      </c>
      <c r="DL112" t="e">
        <f>AND(#REF!,"AAAAAG33tnM=")</f>
        <v>#REF!</v>
      </c>
      <c r="DM112" t="e">
        <f>AND(#REF!,"AAAAAG33tnQ=")</f>
        <v>#REF!</v>
      </c>
      <c r="DN112" t="e">
        <f>AND(#REF!,"AAAAAG33tnU=")</f>
        <v>#REF!</v>
      </c>
      <c r="DO112" t="e">
        <f>AND(#REF!,"AAAAAG33tnY=")</f>
        <v>#REF!</v>
      </c>
      <c r="DP112" t="e">
        <f>AND(#REF!,"AAAAAG33tnc=")</f>
        <v>#REF!</v>
      </c>
      <c r="DQ112" t="e">
        <f>AND(#REF!,"AAAAAG33tng=")</f>
        <v>#REF!</v>
      </c>
      <c r="DR112" t="e">
        <f>AND(#REF!,"AAAAAG33tnk=")</f>
        <v>#REF!</v>
      </c>
      <c r="DS112" t="e">
        <f>AND(#REF!,"AAAAAG33tno=")</f>
        <v>#REF!</v>
      </c>
      <c r="DT112" t="e">
        <f>AND(#REF!,"AAAAAG33tns=")</f>
        <v>#REF!</v>
      </c>
      <c r="DU112" t="e">
        <f>AND(#REF!,"AAAAAG33tnw=")</f>
        <v>#REF!</v>
      </c>
      <c r="DV112" t="e">
        <f>AND(#REF!,"AAAAAG33tn0=")</f>
        <v>#REF!</v>
      </c>
      <c r="DW112" t="e">
        <f>AND(#REF!,"AAAAAG33tn4=")</f>
        <v>#REF!</v>
      </c>
      <c r="DX112" t="e">
        <f>AND(#REF!,"AAAAAG33tn8=")</f>
        <v>#REF!</v>
      </c>
      <c r="DY112" t="e">
        <f>AND(#REF!,"AAAAAG33toA=")</f>
        <v>#REF!</v>
      </c>
      <c r="DZ112" t="e">
        <f>AND(#REF!,"AAAAAG33toE=")</f>
        <v>#REF!</v>
      </c>
      <c r="EA112" t="e">
        <f>AND(#REF!,"AAAAAG33toI=")</f>
        <v>#REF!</v>
      </c>
      <c r="EB112" t="e">
        <f>AND(#REF!,"AAAAAG33toM=")</f>
        <v>#REF!</v>
      </c>
      <c r="EC112" t="e">
        <f>AND(#REF!,"AAAAAG33toQ=")</f>
        <v>#REF!</v>
      </c>
      <c r="ED112" t="e">
        <f>AND(#REF!,"AAAAAG33toU=")</f>
        <v>#REF!</v>
      </c>
      <c r="EE112" t="e">
        <f>AND(#REF!,"AAAAAG33toY=")</f>
        <v>#REF!</v>
      </c>
      <c r="EF112" t="e">
        <f>AND(#REF!,"AAAAAG33toc=")</f>
        <v>#REF!</v>
      </c>
      <c r="EG112" t="e">
        <f>AND(#REF!,"AAAAAG33tog=")</f>
        <v>#REF!</v>
      </c>
      <c r="EH112" t="e">
        <f>AND(#REF!,"AAAAAG33tok=")</f>
        <v>#REF!</v>
      </c>
      <c r="EI112" t="e">
        <f>AND(#REF!,"AAAAAG33too=")</f>
        <v>#REF!</v>
      </c>
      <c r="EJ112" t="e">
        <f>AND(#REF!,"AAAAAG33tos=")</f>
        <v>#REF!</v>
      </c>
      <c r="EK112" t="e">
        <f>AND(#REF!,"AAAAAG33tow=")</f>
        <v>#REF!</v>
      </c>
      <c r="EL112" t="e">
        <f>AND(#REF!,"AAAAAG33to0=")</f>
        <v>#REF!</v>
      </c>
      <c r="EM112" t="e">
        <f>AND(#REF!,"AAAAAG33to4=")</f>
        <v>#REF!</v>
      </c>
      <c r="EN112" t="e">
        <f>AND(#REF!,"AAAAAG33to8=")</f>
        <v>#REF!</v>
      </c>
      <c r="EO112" t="e">
        <f>AND(#REF!,"AAAAAG33tpA=")</f>
        <v>#REF!</v>
      </c>
      <c r="EP112" t="e">
        <f>AND(#REF!,"AAAAAG33tpE=")</f>
        <v>#REF!</v>
      </c>
      <c r="EQ112" t="e">
        <f>AND(#REF!,"AAAAAG33tpI=")</f>
        <v>#REF!</v>
      </c>
      <c r="ER112" t="e">
        <f>AND(#REF!,"AAAAAG33tpM=")</f>
        <v>#REF!</v>
      </c>
      <c r="ES112" t="e">
        <f>AND(#REF!,"AAAAAG33tpQ=")</f>
        <v>#REF!</v>
      </c>
      <c r="ET112" t="e">
        <f>AND(#REF!,"AAAAAG33tpU=")</f>
        <v>#REF!</v>
      </c>
      <c r="EU112" t="e">
        <f>AND(#REF!,"AAAAAG33tpY=")</f>
        <v>#REF!</v>
      </c>
      <c r="EV112" t="e">
        <f>AND(#REF!,"AAAAAG33tpc=")</f>
        <v>#REF!</v>
      </c>
      <c r="EW112" t="e">
        <f>AND(#REF!,"AAAAAG33tpg=")</f>
        <v>#REF!</v>
      </c>
      <c r="EX112" t="e">
        <f>AND(#REF!,"AAAAAG33tpk=")</f>
        <v>#REF!</v>
      </c>
      <c r="EY112" t="e">
        <f>AND(#REF!,"AAAAAG33tpo=")</f>
        <v>#REF!</v>
      </c>
      <c r="EZ112" t="e">
        <f>AND(#REF!,"AAAAAG33tps=")</f>
        <v>#REF!</v>
      </c>
      <c r="FA112" t="e">
        <f>AND(#REF!,"AAAAAG33tpw=")</f>
        <v>#REF!</v>
      </c>
      <c r="FB112" t="e">
        <f>AND(#REF!,"AAAAAG33tp0=")</f>
        <v>#REF!</v>
      </c>
      <c r="FC112" t="e">
        <f>AND(#REF!,"AAAAAG33tp4=")</f>
        <v>#REF!</v>
      </c>
      <c r="FD112" t="e">
        <f>AND(#REF!,"AAAAAG33tp8=")</f>
        <v>#REF!</v>
      </c>
      <c r="FE112" t="e">
        <f>AND(#REF!,"AAAAAG33tqA=")</f>
        <v>#REF!</v>
      </c>
      <c r="FF112" t="e">
        <f>AND(#REF!,"AAAAAG33tqE=")</f>
        <v>#REF!</v>
      </c>
      <c r="FG112" t="e">
        <f>AND(#REF!,"AAAAAG33tqI=")</f>
        <v>#REF!</v>
      </c>
      <c r="FH112" t="e">
        <f>AND(#REF!,"AAAAAG33tqM=")</f>
        <v>#REF!</v>
      </c>
      <c r="FI112" t="e">
        <f>AND(#REF!,"AAAAAG33tqQ=")</f>
        <v>#REF!</v>
      </c>
      <c r="FJ112" t="e">
        <f>AND(#REF!,"AAAAAG33tqU=")</f>
        <v>#REF!</v>
      </c>
      <c r="FK112" t="e">
        <f>AND(#REF!,"AAAAAG33tqY=")</f>
        <v>#REF!</v>
      </c>
      <c r="FL112" t="e">
        <f>AND(#REF!,"AAAAAG33tqc=")</f>
        <v>#REF!</v>
      </c>
      <c r="FM112" t="e">
        <f>AND(#REF!,"AAAAAG33tqg=")</f>
        <v>#REF!</v>
      </c>
      <c r="FN112" t="e">
        <f>AND(#REF!,"AAAAAG33tqk=")</f>
        <v>#REF!</v>
      </c>
      <c r="FO112" t="e">
        <f>AND(#REF!,"AAAAAG33tqo=")</f>
        <v>#REF!</v>
      </c>
      <c r="FP112" t="e">
        <f>AND(#REF!,"AAAAAG33tqs=")</f>
        <v>#REF!</v>
      </c>
      <c r="FQ112" t="e">
        <f>AND(#REF!,"AAAAAG33tqw=")</f>
        <v>#REF!</v>
      </c>
      <c r="FR112" t="e">
        <f>AND(#REF!,"AAAAAG33tq0=")</f>
        <v>#REF!</v>
      </c>
      <c r="FS112" t="e">
        <f>AND(#REF!,"AAAAAG33tq4=")</f>
        <v>#REF!</v>
      </c>
      <c r="FT112" t="e">
        <f>AND(#REF!,"AAAAAG33tq8=")</f>
        <v>#REF!</v>
      </c>
      <c r="FU112" t="e">
        <f>AND(#REF!,"AAAAAG33trA=")</f>
        <v>#REF!</v>
      </c>
      <c r="FV112" t="e">
        <f>AND(#REF!,"AAAAAG33trE=")</f>
        <v>#REF!</v>
      </c>
      <c r="FW112" t="e">
        <f>AND(#REF!,"AAAAAG33trI=")</f>
        <v>#REF!</v>
      </c>
      <c r="FX112" t="e">
        <f>AND(#REF!,"AAAAAG33trM=")</f>
        <v>#REF!</v>
      </c>
      <c r="FY112" t="e">
        <f>AND(#REF!,"AAAAAG33trQ=")</f>
        <v>#REF!</v>
      </c>
      <c r="FZ112" t="e">
        <f>AND(#REF!,"AAAAAG33trU=")</f>
        <v>#REF!</v>
      </c>
      <c r="GA112" t="e">
        <f>AND(#REF!,"AAAAAG33trY=")</f>
        <v>#REF!</v>
      </c>
      <c r="GB112" t="e">
        <f>AND(#REF!,"AAAAAG33trc=")</f>
        <v>#REF!</v>
      </c>
      <c r="GC112" t="e">
        <f>AND(#REF!,"AAAAAG33trg=")</f>
        <v>#REF!</v>
      </c>
      <c r="GD112" t="e">
        <f>AND(#REF!,"AAAAAG33trk=")</f>
        <v>#REF!</v>
      </c>
      <c r="GE112" t="e">
        <f>AND(#REF!,"AAAAAG33tro=")</f>
        <v>#REF!</v>
      </c>
      <c r="GF112" t="e">
        <f>AND(#REF!,"AAAAAG33trs=")</f>
        <v>#REF!</v>
      </c>
      <c r="GG112" t="e">
        <f>AND(#REF!,"AAAAAG33trw=")</f>
        <v>#REF!</v>
      </c>
      <c r="GH112" t="e">
        <f>AND(#REF!,"AAAAAG33tr0=")</f>
        <v>#REF!</v>
      </c>
      <c r="GI112" t="e">
        <f>AND(#REF!,"AAAAAG33tr4=")</f>
        <v>#REF!</v>
      </c>
      <c r="GJ112" t="e">
        <f>AND(#REF!,"AAAAAG33tr8=")</f>
        <v>#REF!</v>
      </c>
      <c r="GK112" t="e">
        <f>AND(#REF!,"AAAAAG33tsA=")</f>
        <v>#REF!</v>
      </c>
      <c r="GL112" t="e">
        <f>AND(#REF!,"AAAAAG33tsE=")</f>
        <v>#REF!</v>
      </c>
      <c r="GM112" t="e">
        <f>AND(#REF!,"AAAAAG33tsI=")</f>
        <v>#REF!</v>
      </c>
      <c r="GN112" t="e">
        <f>AND(#REF!,"AAAAAG33tsM=")</f>
        <v>#REF!</v>
      </c>
      <c r="GO112" t="e">
        <f>AND(#REF!,"AAAAAG33tsQ=")</f>
        <v>#REF!</v>
      </c>
      <c r="GP112" t="e">
        <f>AND(#REF!,"AAAAAG33tsU=")</f>
        <v>#REF!</v>
      </c>
      <c r="GQ112" t="e">
        <f>AND(#REF!,"AAAAAG33tsY=")</f>
        <v>#REF!</v>
      </c>
      <c r="GR112" t="e">
        <f>AND(#REF!,"AAAAAG33tsc=")</f>
        <v>#REF!</v>
      </c>
      <c r="GS112" t="e">
        <f>AND(#REF!,"AAAAAG33tsg=")</f>
        <v>#REF!</v>
      </c>
      <c r="GT112" t="e">
        <f>AND(#REF!,"AAAAAG33tsk=")</f>
        <v>#REF!</v>
      </c>
      <c r="GU112" t="e">
        <f>AND(#REF!,"AAAAAG33tso=")</f>
        <v>#REF!</v>
      </c>
      <c r="GV112" t="e">
        <f>AND(#REF!,"AAAAAG33tss=")</f>
        <v>#REF!</v>
      </c>
      <c r="GW112" t="e">
        <f>AND(#REF!,"AAAAAG33tsw=")</f>
        <v>#REF!</v>
      </c>
      <c r="GX112" t="e">
        <f>AND(#REF!,"AAAAAG33ts0=")</f>
        <v>#REF!</v>
      </c>
      <c r="GY112" t="e">
        <f>AND(#REF!,"AAAAAG33ts4=")</f>
        <v>#REF!</v>
      </c>
      <c r="GZ112" t="e">
        <f>AND(#REF!,"AAAAAG33ts8=")</f>
        <v>#REF!</v>
      </c>
      <c r="HA112" t="e">
        <f>AND(#REF!,"AAAAAG33ttA=")</f>
        <v>#REF!</v>
      </c>
      <c r="HB112" t="e">
        <f>AND(#REF!,"AAAAAG33ttE=")</f>
        <v>#REF!</v>
      </c>
      <c r="HC112" t="e">
        <f>AND(#REF!,"AAAAAG33ttI=")</f>
        <v>#REF!</v>
      </c>
      <c r="HD112" t="e">
        <f>AND(#REF!,"AAAAAG33ttM=")</f>
        <v>#REF!</v>
      </c>
      <c r="HE112" t="e">
        <f>AND(#REF!,"AAAAAG33ttQ=")</f>
        <v>#REF!</v>
      </c>
      <c r="HF112" t="e">
        <f>AND(#REF!,"AAAAAG33ttU=")</f>
        <v>#REF!</v>
      </c>
      <c r="HG112" t="e">
        <f>AND(#REF!,"AAAAAG33ttY=")</f>
        <v>#REF!</v>
      </c>
      <c r="HH112" t="e">
        <f>AND(#REF!,"AAAAAG33ttc=")</f>
        <v>#REF!</v>
      </c>
      <c r="HI112" t="e">
        <f>AND(#REF!,"AAAAAG33ttg=")</f>
        <v>#REF!</v>
      </c>
      <c r="HJ112" t="e">
        <f>AND(#REF!,"AAAAAG33ttk=")</f>
        <v>#REF!</v>
      </c>
      <c r="HK112" t="e">
        <f>AND(#REF!,"AAAAAG33tto=")</f>
        <v>#REF!</v>
      </c>
      <c r="HL112" t="e">
        <f>AND(#REF!,"AAAAAG33tts=")</f>
        <v>#REF!</v>
      </c>
      <c r="HM112" t="e">
        <f>AND(#REF!,"AAAAAG33ttw=")</f>
        <v>#REF!</v>
      </c>
      <c r="HN112" t="e">
        <f>AND(#REF!,"AAAAAG33tt0=")</f>
        <v>#REF!</v>
      </c>
      <c r="HO112" t="e">
        <f>AND(#REF!,"AAAAAG33tt4=")</f>
        <v>#REF!</v>
      </c>
      <c r="HP112" t="e">
        <f>AND(#REF!,"AAAAAG33tt8=")</f>
        <v>#REF!</v>
      </c>
      <c r="HQ112" t="e">
        <f>AND(#REF!,"AAAAAG33tuA=")</f>
        <v>#REF!</v>
      </c>
      <c r="HR112" t="e">
        <f>AND(#REF!,"AAAAAG33tuE=")</f>
        <v>#REF!</v>
      </c>
      <c r="HS112" t="e">
        <f>AND(#REF!,"AAAAAG33tuI=")</f>
        <v>#REF!</v>
      </c>
      <c r="HT112" t="e">
        <f>AND(#REF!,"AAAAAG33tuM=")</f>
        <v>#REF!</v>
      </c>
      <c r="HU112" t="e">
        <f>AND(#REF!,"AAAAAG33tuQ=")</f>
        <v>#REF!</v>
      </c>
      <c r="HV112" t="e">
        <f>AND(#REF!,"AAAAAG33tuU=")</f>
        <v>#REF!</v>
      </c>
      <c r="HW112" t="e">
        <f>AND(#REF!,"AAAAAG33tuY=")</f>
        <v>#REF!</v>
      </c>
      <c r="HX112" t="e">
        <f>AND(#REF!,"AAAAAG33tuc=")</f>
        <v>#REF!</v>
      </c>
      <c r="HY112" t="e">
        <f>AND(#REF!,"AAAAAG33tug=")</f>
        <v>#REF!</v>
      </c>
      <c r="HZ112" t="e">
        <f>AND(#REF!,"AAAAAG33tuk=")</f>
        <v>#REF!</v>
      </c>
      <c r="IA112" t="e">
        <f>AND(#REF!,"AAAAAG33tuo=")</f>
        <v>#REF!</v>
      </c>
      <c r="IB112" t="e">
        <f>AND(#REF!,"AAAAAG33tus=")</f>
        <v>#REF!</v>
      </c>
      <c r="IC112" t="e">
        <f>AND(#REF!,"AAAAAG33tuw=")</f>
        <v>#REF!</v>
      </c>
      <c r="ID112" t="e">
        <f>AND(#REF!,"AAAAAG33tu0=")</f>
        <v>#REF!</v>
      </c>
      <c r="IE112" t="e">
        <f>AND(#REF!,"AAAAAG33tu4=")</f>
        <v>#REF!</v>
      </c>
      <c r="IF112" t="e">
        <f>AND(#REF!,"AAAAAG33tu8=")</f>
        <v>#REF!</v>
      </c>
      <c r="IG112" t="e">
        <f>AND(#REF!,"AAAAAG33tvA=")</f>
        <v>#REF!</v>
      </c>
      <c r="IH112" t="e">
        <f>AND(#REF!,"AAAAAG33tvE=")</f>
        <v>#REF!</v>
      </c>
      <c r="II112" t="e">
        <f>AND(#REF!,"AAAAAG33tvI=")</f>
        <v>#REF!</v>
      </c>
      <c r="IJ112" t="e">
        <f>AND(#REF!,"AAAAAG33tvM=")</f>
        <v>#REF!</v>
      </c>
      <c r="IK112" t="e">
        <f>AND(#REF!,"AAAAAG33tvQ=")</f>
        <v>#REF!</v>
      </c>
      <c r="IL112" t="e">
        <f>AND(#REF!,"AAAAAG33tvU=")</f>
        <v>#REF!</v>
      </c>
      <c r="IM112" t="e">
        <f>AND(#REF!,"AAAAAG33tvY=")</f>
        <v>#REF!</v>
      </c>
      <c r="IN112" t="e">
        <f>AND(#REF!,"AAAAAG33tvc=")</f>
        <v>#REF!</v>
      </c>
      <c r="IO112" t="e">
        <f>AND(#REF!,"AAAAAG33tvg=")</f>
        <v>#REF!</v>
      </c>
      <c r="IP112" t="e">
        <f>AND(#REF!,"AAAAAG33tvk=")</f>
        <v>#REF!</v>
      </c>
      <c r="IQ112" t="e">
        <f>AND(#REF!,"AAAAAG33tvo=")</f>
        <v>#REF!</v>
      </c>
      <c r="IR112" t="e">
        <f>AND(#REF!,"AAAAAG33tvs=")</f>
        <v>#REF!</v>
      </c>
      <c r="IS112" t="e">
        <f>AND(#REF!,"AAAAAG33tvw=")</f>
        <v>#REF!</v>
      </c>
      <c r="IT112" t="e">
        <f>AND(#REF!,"AAAAAG33tv0=")</f>
        <v>#REF!</v>
      </c>
      <c r="IU112" t="e">
        <f>AND(#REF!,"AAAAAG33tv4=")</f>
        <v>#REF!</v>
      </c>
      <c r="IV112" t="e">
        <f>AND(#REF!,"AAAAAG33tv8=")</f>
        <v>#REF!</v>
      </c>
    </row>
    <row r="113" spans="1:256">
      <c r="A113" t="e">
        <f>AND(#REF!,"AAAAAH524wA=")</f>
        <v>#REF!</v>
      </c>
      <c r="B113" t="e">
        <f>AND(#REF!,"AAAAAH524wE=")</f>
        <v>#REF!</v>
      </c>
      <c r="C113" t="e">
        <f>AND(#REF!,"AAAAAH524wI=")</f>
        <v>#REF!</v>
      </c>
      <c r="D113" t="e">
        <f>AND(#REF!,"AAAAAH524wM=")</f>
        <v>#REF!</v>
      </c>
      <c r="E113" t="e">
        <f>AND(#REF!,"AAAAAH524wQ=")</f>
        <v>#REF!</v>
      </c>
      <c r="F113" t="e">
        <f>AND(#REF!,"AAAAAH524wU=")</f>
        <v>#REF!</v>
      </c>
      <c r="G113" t="e">
        <f>AND(#REF!,"AAAAAH524wY=")</f>
        <v>#REF!</v>
      </c>
      <c r="H113" t="e">
        <f>AND(#REF!,"AAAAAH524wc=")</f>
        <v>#REF!</v>
      </c>
      <c r="I113" t="e">
        <f>AND(#REF!,"AAAAAH524wg=")</f>
        <v>#REF!</v>
      </c>
      <c r="J113" t="e">
        <f>AND(#REF!,"AAAAAH524wk=")</f>
        <v>#REF!</v>
      </c>
      <c r="K113" t="e">
        <f>AND(#REF!,"AAAAAH524wo=")</f>
        <v>#REF!</v>
      </c>
      <c r="L113" t="e">
        <f>AND(#REF!,"AAAAAH524ws=")</f>
        <v>#REF!</v>
      </c>
      <c r="M113" t="e">
        <f>AND(#REF!,"AAAAAH524ww=")</f>
        <v>#REF!</v>
      </c>
      <c r="N113" t="e">
        <f>AND(#REF!,"AAAAAH524w0=")</f>
        <v>#REF!</v>
      </c>
      <c r="O113" t="e">
        <f>AND(#REF!,"AAAAAH524w4=")</f>
        <v>#REF!</v>
      </c>
      <c r="P113" t="e">
        <f>AND(#REF!,"AAAAAH524w8=")</f>
        <v>#REF!</v>
      </c>
      <c r="Q113" t="e">
        <f>AND(#REF!,"AAAAAH524xA=")</f>
        <v>#REF!</v>
      </c>
      <c r="R113" t="e">
        <f>AND(#REF!,"AAAAAH524xE=")</f>
        <v>#REF!</v>
      </c>
      <c r="S113" t="e">
        <f>AND(#REF!,"AAAAAH524xI=")</f>
        <v>#REF!</v>
      </c>
      <c r="T113" t="e">
        <f>AND(#REF!,"AAAAAH524xM=")</f>
        <v>#REF!</v>
      </c>
      <c r="U113" t="e">
        <f>AND(#REF!,"AAAAAH524xQ=")</f>
        <v>#REF!</v>
      </c>
      <c r="V113" t="e">
        <f>AND(#REF!,"AAAAAH524xU=")</f>
        <v>#REF!</v>
      </c>
      <c r="W113" t="e">
        <f>AND(#REF!,"AAAAAH524xY=")</f>
        <v>#REF!</v>
      </c>
      <c r="X113" t="e">
        <f>AND(#REF!,"AAAAAH524xc=")</f>
        <v>#REF!</v>
      </c>
      <c r="Y113" t="e">
        <f>AND(#REF!,"AAAAAH524xg=")</f>
        <v>#REF!</v>
      </c>
      <c r="Z113" t="e">
        <f>AND(#REF!,"AAAAAH524xk=")</f>
        <v>#REF!</v>
      </c>
      <c r="AA113" t="e">
        <f>AND(#REF!,"AAAAAH524xo=")</f>
        <v>#REF!</v>
      </c>
      <c r="AB113" t="e">
        <f>AND(#REF!,"AAAAAH524xs=")</f>
        <v>#REF!</v>
      </c>
      <c r="AC113" t="e">
        <f>AND(#REF!,"AAAAAH524xw=")</f>
        <v>#REF!</v>
      </c>
      <c r="AD113" t="e">
        <f>AND(#REF!,"AAAAAH524x0=")</f>
        <v>#REF!</v>
      </c>
      <c r="AE113" t="e">
        <f>AND(#REF!,"AAAAAH524x4=")</f>
        <v>#REF!</v>
      </c>
      <c r="AF113" t="e">
        <f>AND(#REF!,"AAAAAH524x8=")</f>
        <v>#REF!</v>
      </c>
      <c r="AG113" t="e">
        <f>AND(#REF!,"AAAAAH524yA=")</f>
        <v>#REF!</v>
      </c>
      <c r="AH113" t="e">
        <f>AND(#REF!,"AAAAAH524yE=")</f>
        <v>#REF!</v>
      </c>
      <c r="AI113" t="e">
        <f>AND(#REF!,"AAAAAH524yI=")</f>
        <v>#REF!</v>
      </c>
      <c r="AJ113" t="e">
        <f>AND(#REF!,"AAAAAH524yM=")</f>
        <v>#REF!</v>
      </c>
      <c r="AK113" t="e">
        <f>AND(#REF!,"AAAAAH524yQ=")</f>
        <v>#REF!</v>
      </c>
      <c r="AL113" t="e">
        <f>AND(#REF!,"AAAAAH524yU=")</f>
        <v>#REF!</v>
      </c>
      <c r="AM113" t="e">
        <f>AND(#REF!,"AAAAAH524yY=")</f>
        <v>#REF!</v>
      </c>
      <c r="AN113" t="e">
        <f>AND(#REF!,"AAAAAH524yc=")</f>
        <v>#REF!</v>
      </c>
      <c r="AO113" t="e">
        <f>AND(#REF!,"AAAAAH524yg=")</f>
        <v>#REF!</v>
      </c>
      <c r="AP113" t="e">
        <f>AND(#REF!,"AAAAAH524yk=")</f>
        <v>#REF!</v>
      </c>
      <c r="AQ113" t="e">
        <f>AND(#REF!,"AAAAAH524yo=")</f>
        <v>#REF!</v>
      </c>
      <c r="AR113" t="e">
        <f>AND(#REF!,"AAAAAH524ys=")</f>
        <v>#REF!</v>
      </c>
      <c r="AS113" t="e">
        <f>AND(#REF!,"AAAAAH524yw=")</f>
        <v>#REF!</v>
      </c>
      <c r="AT113" t="e">
        <f>AND(#REF!,"AAAAAH524y0=")</f>
        <v>#REF!</v>
      </c>
      <c r="AU113" t="e">
        <f>AND(#REF!,"AAAAAH524y4=")</f>
        <v>#REF!</v>
      </c>
      <c r="AV113" t="e">
        <f>AND(#REF!,"AAAAAH524y8=")</f>
        <v>#REF!</v>
      </c>
      <c r="AW113" t="e">
        <f>AND(#REF!,"AAAAAH524zA=")</f>
        <v>#REF!</v>
      </c>
      <c r="AX113" t="e">
        <f>AND(#REF!,"AAAAAH524zE=")</f>
        <v>#REF!</v>
      </c>
      <c r="AY113" t="e">
        <f>AND(#REF!,"AAAAAH524zI=")</f>
        <v>#REF!</v>
      </c>
      <c r="AZ113" t="e">
        <f>AND(#REF!,"AAAAAH524zM=")</f>
        <v>#REF!</v>
      </c>
      <c r="BA113" t="e">
        <f>AND(#REF!,"AAAAAH524zQ=")</f>
        <v>#REF!</v>
      </c>
      <c r="BB113" t="e">
        <f>AND(#REF!,"AAAAAH524zU=")</f>
        <v>#REF!</v>
      </c>
      <c r="BC113" t="e">
        <f>AND(#REF!,"AAAAAH524zY=")</f>
        <v>#REF!</v>
      </c>
      <c r="BD113" t="e">
        <f>AND(#REF!,"AAAAAH524zc=")</f>
        <v>#REF!</v>
      </c>
      <c r="BE113" t="e">
        <f>AND(#REF!,"AAAAAH524zg=")</f>
        <v>#REF!</v>
      </c>
      <c r="BF113" t="e">
        <f>AND(#REF!,"AAAAAH524zk=")</f>
        <v>#REF!</v>
      </c>
      <c r="BG113" t="e">
        <f>AND(#REF!,"AAAAAH524zo=")</f>
        <v>#REF!</v>
      </c>
      <c r="BH113" t="e">
        <f>AND(#REF!,"AAAAAH524zs=")</f>
        <v>#REF!</v>
      </c>
      <c r="BI113" t="e">
        <f>AND(#REF!,"AAAAAH524zw=")</f>
        <v>#REF!</v>
      </c>
      <c r="BJ113" t="e">
        <f>AND(#REF!,"AAAAAH524z0=")</f>
        <v>#REF!</v>
      </c>
      <c r="BK113" t="e">
        <f>AND(#REF!,"AAAAAH524z4=")</f>
        <v>#REF!</v>
      </c>
      <c r="BL113" t="e">
        <f>AND(#REF!,"AAAAAH524z8=")</f>
        <v>#REF!</v>
      </c>
      <c r="BM113" t="e">
        <f>AND(#REF!,"AAAAAH5240A=")</f>
        <v>#REF!</v>
      </c>
      <c r="BN113" t="e">
        <f>AND(#REF!,"AAAAAH5240E=")</f>
        <v>#REF!</v>
      </c>
      <c r="BO113" t="e">
        <f>AND(#REF!,"AAAAAH5240I=")</f>
        <v>#REF!</v>
      </c>
      <c r="BP113" t="e">
        <f>AND(#REF!,"AAAAAH5240M=")</f>
        <v>#REF!</v>
      </c>
      <c r="BQ113" t="e">
        <f>AND(#REF!,"AAAAAH5240Q=")</f>
        <v>#REF!</v>
      </c>
      <c r="BR113" t="e">
        <f>AND(#REF!,"AAAAAH5240U=")</f>
        <v>#REF!</v>
      </c>
      <c r="BS113" t="e">
        <f>AND(#REF!,"AAAAAH5240Y=")</f>
        <v>#REF!</v>
      </c>
      <c r="BT113" t="e">
        <f>AND(#REF!,"AAAAAH5240c=")</f>
        <v>#REF!</v>
      </c>
      <c r="BU113" t="e">
        <f>AND(#REF!,"AAAAAH5240g=")</f>
        <v>#REF!</v>
      </c>
      <c r="BV113" t="e">
        <f>AND(#REF!,"AAAAAH5240k=")</f>
        <v>#REF!</v>
      </c>
      <c r="BW113" t="e">
        <f>AND(#REF!,"AAAAAH5240o=")</f>
        <v>#REF!</v>
      </c>
      <c r="BX113" t="e">
        <f>AND(#REF!,"AAAAAH5240s=")</f>
        <v>#REF!</v>
      </c>
      <c r="BY113" t="e">
        <f>AND(#REF!,"AAAAAH5240w=")</f>
        <v>#REF!</v>
      </c>
      <c r="BZ113" t="e">
        <f>AND(#REF!,"AAAAAH52400=")</f>
        <v>#REF!</v>
      </c>
      <c r="CA113" t="e">
        <f>AND(#REF!,"AAAAAH52404=")</f>
        <v>#REF!</v>
      </c>
      <c r="CB113" t="e">
        <f>AND(#REF!,"AAAAAH52408=")</f>
        <v>#REF!</v>
      </c>
      <c r="CC113" t="e">
        <f>AND(#REF!,"AAAAAH5241A=")</f>
        <v>#REF!</v>
      </c>
      <c r="CD113" t="e">
        <f>AND(#REF!,"AAAAAH5241E=")</f>
        <v>#REF!</v>
      </c>
      <c r="CE113" t="e">
        <f>AND(#REF!,"AAAAAH5241I=")</f>
        <v>#REF!</v>
      </c>
      <c r="CF113" t="e">
        <f>AND(#REF!,"AAAAAH5241M=")</f>
        <v>#REF!</v>
      </c>
      <c r="CG113" t="e">
        <f>AND(#REF!,"AAAAAH5241Q=")</f>
        <v>#REF!</v>
      </c>
      <c r="CH113" t="e">
        <f>AND(#REF!,"AAAAAH5241U=")</f>
        <v>#REF!</v>
      </c>
      <c r="CI113" t="e">
        <f>AND(#REF!,"AAAAAH5241Y=")</f>
        <v>#REF!</v>
      </c>
      <c r="CJ113" t="e">
        <f>AND(#REF!,"AAAAAH5241c=")</f>
        <v>#REF!</v>
      </c>
      <c r="CK113" t="e">
        <f>AND(#REF!,"AAAAAH5241g=")</f>
        <v>#REF!</v>
      </c>
      <c r="CL113" t="e">
        <f>AND(#REF!,"AAAAAH5241k=")</f>
        <v>#REF!</v>
      </c>
      <c r="CM113" t="e">
        <f>AND(#REF!,"AAAAAH5241o=")</f>
        <v>#REF!</v>
      </c>
      <c r="CN113" t="e">
        <f>AND(#REF!,"AAAAAH5241s=")</f>
        <v>#REF!</v>
      </c>
      <c r="CO113" t="e">
        <f>AND(#REF!,"AAAAAH5241w=")</f>
        <v>#REF!</v>
      </c>
      <c r="CP113" t="e">
        <f>AND(#REF!,"AAAAAH52410=")</f>
        <v>#REF!</v>
      </c>
      <c r="CQ113" t="e">
        <f>AND(#REF!,"AAAAAH52414=")</f>
        <v>#REF!</v>
      </c>
      <c r="CR113" t="e">
        <f>AND(#REF!,"AAAAAH52418=")</f>
        <v>#REF!</v>
      </c>
      <c r="CS113" t="e">
        <f>AND(#REF!,"AAAAAH5242A=")</f>
        <v>#REF!</v>
      </c>
      <c r="CT113" t="e">
        <f>AND(#REF!,"AAAAAH5242E=")</f>
        <v>#REF!</v>
      </c>
      <c r="CU113" t="e">
        <f>AND(#REF!,"AAAAAH5242I=")</f>
        <v>#REF!</v>
      </c>
      <c r="CV113" t="e">
        <f>AND(#REF!,"AAAAAH5242M=")</f>
        <v>#REF!</v>
      </c>
      <c r="CW113" t="e">
        <f>AND(#REF!,"AAAAAH5242Q=")</f>
        <v>#REF!</v>
      </c>
      <c r="CX113" t="e">
        <f>AND(#REF!,"AAAAAH5242U=")</f>
        <v>#REF!</v>
      </c>
      <c r="CY113" t="e">
        <f>AND(#REF!,"AAAAAH5242Y=")</f>
        <v>#REF!</v>
      </c>
      <c r="CZ113" t="e">
        <f>AND(#REF!,"AAAAAH5242c=")</f>
        <v>#REF!</v>
      </c>
      <c r="DA113" t="e">
        <f>AND(#REF!,"AAAAAH5242g=")</f>
        <v>#REF!</v>
      </c>
      <c r="DB113" t="e">
        <f>AND(#REF!,"AAAAAH5242k=")</f>
        <v>#REF!</v>
      </c>
      <c r="DC113" t="e">
        <f>AND(#REF!,"AAAAAH5242o=")</f>
        <v>#REF!</v>
      </c>
      <c r="DD113" t="e">
        <f>AND(#REF!,"AAAAAH5242s=")</f>
        <v>#REF!</v>
      </c>
      <c r="DE113" t="e">
        <f>AND(#REF!,"AAAAAH5242w=")</f>
        <v>#REF!</v>
      </c>
      <c r="DF113" t="e">
        <f>AND(#REF!,"AAAAAH52420=")</f>
        <v>#REF!</v>
      </c>
      <c r="DG113" t="e">
        <f>AND(#REF!,"AAAAAH52424=")</f>
        <v>#REF!</v>
      </c>
      <c r="DH113" t="e">
        <f>AND(#REF!,"AAAAAH52428=")</f>
        <v>#REF!</v>
      </c>
      <c r="DI113" t="e">
        <f>AND(#REF!,"AAAAAH5243A=")</f>
        <v>#REF!</v>
      </c>
      <c r="DJ113" t="e">
        <f>AND(#REF!,"AAAAAH5243E=")</f>
        <v>#REF!</v>
      </c>
      <c r="DK113" t="e">
        <f>AND(#REF!,"AAAAAH5243I=")</f>
        <v>#REF!</v>
      </c>
      <c r="DL113" t="e">
        <f>AND(#REF!,"AAAAAH5243M=")</f>
        <v>#REF!</v>
      </c>
      <c r="DM113" t="e">
        <f>AND(#REF!,"AAAAAH5243Q=")</f>
        <v>#REF!</v>
      </c>
      <c r="DN113" t="e">
        <f>AND(#REF!,"AAAAAH5243U=")</f>
        <v>#REF!</v>
      </c>
      <c r="DO113" t="e">
        <f>AND(#REF!,"AAAAAH5243Y=")</f>
        <v>#REF!</v>
      </c>
      <c r="DP113" t="e">
        <f>AND(#REF!,"AAAAAH5243c=")</f>
        <v>#REF!</v>
      </c>
      <c r="DQ113" t="e">
        <f>AND(#REF!,"AAAAAH5243g=")</f>
        <v>#REF!</v>
      </c>
      <c r="DR113" t="e">
        <f>AND(#REF!,"AAAAAH5243k=")</f>
        <v>#REF!</v>
      </c>
      <c r="DS113" t="e">
        <f>AND(#REF!,"AAAAAH5243o=")</f>
        <v>#REF!</v>
      </c>
      <c r="DT113" t="e">
        <f>AND(#REF!,"AAAAAH5243s=")</f>
        <v>#REF!</v>
      </c>
      <c r="DU113" t="e">
        <f>AND(#REF!,"AAAAAH5243w=")</f>
        <v>#REF!</v>
      </c>
      <c r="DV113" t="e">
        <f>AND(#REF!,"AAAAAH52430=")</f>
        <v>#REF!</v>
      </c>
      <c r="DW113" t="e">
        <f>AND(#REF!,"AAAAAH52434=")</f>
        <v>#REF!</v>
      </c>
      <c r="DX113" t="e">
        <f>AND(#REF!,"AAAAAH52438=")</f>
        <v>#REF!</v>
      </c>
      <c r="DY113" t="e">
        <f>AND(#REF!,"AAAAAH5244A=")</f>
        <v>#REF!</v>
      </c>
      <c r="DZ113" t="e">
        <f>AND(#REF!,"AAAAAH5244E=")</f>
        <v>#REF!</v>
      </c>
      <c r="EA113" t="e">
        <f>AND(#REF!,"AAAAAH5244I=")</f>
        <v>#REF!</v>
      </c>
      <c r="EB113" t="e">
        <f>AND(#REF!,"AAAAAH5244M=")</f>
        <v>#REF!</v>
      </c>
      <c r="EC113" t="e">
        <f>AND(#REF!,"AAAAAH5244Q=")</f>
        <v>#REF!</v>
      </c>
      <c r="ED113" t="e">
        <f>AND(#REF!,"AAAAAH5244U=")</f>
        <v>#REF!</v>
      </c>
      <c r="EE113" t="e">
        <f>AND(#REF!,"AAAAAH5244Y=")</f>
        <v>#REF!</v>
      </c>
      <c r="EF113" t="e">
        <f>AND(#REF!,"AAAAAH5244c=")</f>
        <v>#REF!</v>
      </c>
      <c r="EG113" t="e">
        <f>AND(#REF!,"AAAAAH5244g=")</f>
        <v>#REF!</v>
      </c>
      <c r="EH113" t="e">
        <f>AND(#REF!,"AAAAAH5244k=")</f>
        <v>#REF!</v>
      </c>
      <c r="EI113" t="e">
        <f>AND(#REF!,"AAAAAH5244o=")</f>
        <v>#REF!</v>
      </c>
      <c r="EJ113" t="e">
        <f>AND(#REF!,"AAAAAH5244s=")</f>
        <v>#REF!</v>
      </c>
      <c r="EK113" t="e">
        <f>AND(#REF!,"AAAAAH5244w=")</f>
        <v>#REF!</v>
      </c>
      <c r="EL113" t="e">
        <f>AND(#REF!,"AAAAAH52440=")</f>
        <v>#REF!</v>
      </c>
      <c r="EM113" t="e">
        <f>AND(#REF!,"AAAAAH52444=")</f>
        <v>#REF!</v>
      </c>
      <c r="EN113" t="e">
        <f>AND(#REF!,"AAAAAH52448=")</f>
        <v>#REF!</v>
      </c>
      <c r="EO113" t="e">
        <f>AND(#REF!,"AAAAAH5245A=")</f>
        <v>#REF!</v>
      </c>
      <c r="EP113" t="e">
        <f>AND(#REF!,"AAAAAH5245E=")</f>
        <v>#REF!</v>
      </c>
      <c r="EQ113" t="e">
        <f>AND(#REF!,"AAAAAH5245I=")</f>
        <v>#REF!</v>
      </c>
      <c r="ER113" t="e">
        <f>AND(#REF!,"AAAAAH5245M=")</f>
        <v>#REF!</v>
      </c>
      <c r="ES113" t="e">
        <f>AND(#REF!,"AAAAAH5245Q=")</f>
        <v>#REF!</v>
      </c>
      <c r="ET113" t="e">
        <f>AND(#REF!,"AAAAAH5245U=")</f>
        <v>#REF!</v>
      </c>
      <c r="EU113" t="e">
        <f>AND(#REF!,"AAAAAH5245Y=")</f>
        <v>#REF!</v>
      </c>
      <c r="EV113" t="e">
        <f>AND(#REF!,"AAAAAH5245c=")</f>
        <v>#REF!</v>
      </c>
      <c r="EW113" t="e">
        <f>AND(#REF!,"AAAAAH5245g=")</f>
        <v>#REF!</v>
      </c>
      <c r="EX113" t="e">
        <f>AND(#REF!,"AAAAAH5245k=")</f>
        <v>#REF!</v>
      </c>
      <c r="EY113" t="e">
        <f>AND(#REF!,"AAAAAH5245o=")</f>
        <v>#REF!</v>
      </c>
      <c r="EZ113" t="e">
        <f>AND(#REF!,"AAAAAH5245s=")</f>
        <v>#REF!</v>
      </c>
      <c r="FA113" t="e">
        <f>AND(#REF!,"AAAAAH5245w=")</f>
        <v>#REF!</v>
      </c>
      <c r="FB113" t="e">
        <f>AND(#REF!,"AAAAAH52450=")</f>
        <v>#REF!</v>
      </c>
      <c r="FC113" t="e">
        <f>AND(#REF!,"AAAAAH52454=")</f>
        <v>#REF!</v>
      </c>
      <c r="FD113" t="e">
        <f>AND(#REF!,"AAAAAH52458=")</f>
        <v>#REF!</v>
      </c>
      <c r="FE113" t="e">
        <f>AND(#REF!,"AAAAAH5246A=")</f>
        <v>#REF!</v>
      </c>
      <c r="FF113" t="e">
        <f>AND(#REF!,"AAAAAH5246E=")</f>
        <v>#REF!</v>
      </c>
      <c r="FG113" t="e">
        <f>AND(#REF!,"AAAAAH5246I=")</f>
        <v>#REF!</v>
      </c>
      <c r="FH113" t="e">
        <f>AND(#REF!,"AAAAAH5246M=")</f>
        <v>#REF!</v>
      </c>
      <c r="FI113" t="e">
        <f>AND(#REF!,"AAAAAH5246Q=")</f>
        <v>#REF!</v>
      </c>
      <c r="FJ113" t="e">
        <f>AND(#REF!,"AAAAAH5246U=")</f>
        <v>#REF!</v>
      </c>
      <c r="FK113" t="e">
        <f>AND(#REF!,"AAAAAH5246Y=")</f>
        <v>#REF!</v>
      </c>
      <c r="FL113" t="e">
        <f>AND(#REF!,"AAAAAH5246c=")</f>
        <v>#REF!</v>
      </c>
      <c r="FM113" t="e">
        <f>AND(#REF!,"AAAAAH5246g=")</f>
        <v>#REF!</v>
      </c>
      <c r="FN113" t="e">
        <f>AND(#REF!,"AAAAAH5246k=")</f>
        <v>#REF!</v>
      </c>
      <c r="FO113" t="e">
        <f>AND(#REF!,"AAAAAH5246o=")</f>
        <v>#REF!</v>
      </c>
      <c r="FP113" t="e">
        <f>AND(#REF!,"AAAAAH5246s=")</f>
        <v>#REF!</v>
      </c>
      <c r="FQ113" t="e">
        <f>AND(#REF!,"AAAAAH5246w=")</f>
        <v>#REF!</v>
      </c>
      <c r="FR113" t="e">
        <f>AND(#REF!,"AAAAAH52460=")</f>
        <v>#REF!</v>
      </c>
      <c r="FS113" t="e">
        <f>AND(#REF!,"AAAAAH52464=")</f>
        <v>#REF!</v>
      </c>
      <c r="FT113" t="e">
        <f>AND(#REF!,"AAAAAH52468=")</f>
        <v>#REF!</v>
      </c>
      <c r="FU113" t="e">
        <f>AND(#REF!,"AAAAAH5247A=")</f>
        <v>#REF!</v>
      </c>
      <c r="FV113" t="e">
        <f>AND(#REF!,"AAAAAH5247E=")</f>
        <v>#REF!</v>
      </c>
      <c r="FW113" t="e">
        <f>AND(#REF!,"AAAAAH5247I=")</f>
        <v>#REF!</v>
      </c>
      <c r="FX113" t="e">
        <f>AND(#REF!,"AAAAAH5247M=")</f>
        <v>#REF!</v>
      </c>
      <c r="FY113" t="e">
        <f>AND(#REF!,"AAAAAH5247Q=")</f>
        <v>#REF!</v>
      </c>
      <c r="FZ113" t="e">
        <f>AND(#REF!,"AAAAAH5247U=")</f>
        <v>#REF!</v>
      </c>
      <c r="GA113" t="e">
        <f>AND(#REF!,"AAAAAH5247Y=")</f>
        <v>#REF!</v>
      </c>
      <c r="GB113" t="e">
        <f>AND(#REF!,"AAAAAH5247c=")</f>
        <v>#REF!</v>
      </c>
      <c r="GC113" t="e">
        <f>AND(#REF!,"AAAAAH5247g=")</f>
        <v>#REF!</v>
      </c>
      <c r="GD113" t="e">
        <f>AND(#REF!,"AAAAAH5247k=")</f>
        <v>#REF!</v>
      </c>
      <c r="GE113" t="e">
        <f>AND(#REF!,"AAAAAH5247o=")</f>
        <v>#REF!</v>
      </c>
      <c r="GF113" t="e">
        <f>AND(#REF!,"AAAAAH5247s=")</f>
        <v>#REF!</v>
      </c>
      <c r="GG113" t="e">
        <f>AND(#REF!,"AAAAAH5247w=")</f>
        <v>#REF!</v>
      </c>
      <c r="GH113" t="e">
        <f>AND(#REF!,"AAAAAH52470=")</f>
        <v>#REF!</v>
      </c>
      <c r="GI113" t="e">
        <f>AND(#REF!,"AAAAAH52474=")</f>
        <v>#REF!</v>
      </c>
      <c r="GJ113" t="e">
        <f>AND(#REF!,"AAAAAH52478=")</f>
        <v>#REF!</v>
      </c>
      <c r="GK113" t="e">
        <f>AND(#REF!,"AAAAAH5248A=")</f>
        <v>#REF!</v>
      </c>
      <c r="GL113" t="e">
        <f>AND(#REF!,"AAAAAH5248E=")</f>
        <v>#REF!</v>
      </c>
      <c r="GM113" t="e">
        <f>AND(#REF!,"AAAAAH5248I=")</f>
        <v>#REF!</v>
      </c>
      <c r="GN113" t="e">
        <f>AND(#REF!,"AAAAAH5248M=")</f>
        <v>#REF!</v>
      </c>
      <c r="GO113" t="e">
        <f>AND(#REF!,"AAAAAH5248Q=")</f>
        <v>#REF!</v>
      </c>
      <c r="GP113" t="e">
        <f>AND(#REF!,"AAAAAH5248U=")</f>
        <v>#REF!</v>
      </c>
      <c r="GQ113" t="e">
        <f>AND(#REF!,"AAAAAH5248Y=")</f>
        <v>#REF!</v>
      </c>
      <c r="GR113" t="e">
        <f>AND(#REF!,"AAAAAH5248c=")</f>
        <v>#REF!</v>
      </c>
      <c r="GS113" t="e">
        <f>AND(#REF!,"AAAAAH5248g=")</f>
        <v>#REF!</v>
      </c>
      <c r="GT113" t="e">
        <f>AND(#REF!,"AAAAAH5248k=")</f>
        <v>#REF!</v>
      </c>
      <c r="GU113" t="e">
        <f>AND(#REF!,"AAAAAH5248o=")</f>
        <v>#REF!</v>
      </c>
      <c r="GV113" t="e">
        <f>AND(#REF!,"AAAAAH5248s=")</f>
        <v>#REF!</v>
      </c>
      <c r="GW113" t="e">
        <f>AND(#REF!,"AAAAAH5248w=")</f>
        <v>#REF!</v>
      </c>
      <c r="GX113" t="e">
        <f>AND(#REF!,"AAAAAH52480=")</f>
        <v>#REF!</v>
      </c>
      <c r="GY113" t="e">
        <f>AND(#REF!,"AAAAAH52484=")</f>
        <v>#REF!</v>
      </c>
      <c r="GZ113" t="e">
        <f>AND(#REF!,"AAAAAH52488=")</f>
        <v>#REF!</v>
      </c>
      <c r="HA113" t="e">
        <f>AND(#REF!,"AAAAAH5249A=")</f>
        <v>#REF!</v>
      </c>
      <c r="HB113" t="e">
        <f>AND(#REF!,"AAAAAH5249E=")</f>
        <v>#REF!</v>
      </c>
      <c r="HC113" t="e">
        <f>AND(#REF!,"AAAAAH5249I=")</f>
        <v>#REF!</v>
      </c>
      <c r="HD113" t="e">
        <f>AND(#REF!,"AAAAAH5249M=")</f>
        <v>#REF!</v>
      </c>
      <c r="HE113" t="e">
        <f>AND(#REF!,"AAAAAH5249Q=")</f>
        <v>#REF!</v>
      </c>
      <c r="HF113" t="e">
        <f>AND(#REF!,"AAAAAH5249U=")</f>
        <v>#REF!</v>
      </c>
      <c r="HG113" t="e">
        <f>AND(#REF!,"AAAAAH5249Y=")</f>
        <v>#REF!</v>
      </c>
      <c r="HH113" t="e">
        <f>AND(#REF!,"AAAAAH5249c=")</f>
        <v>#REF!</v>
      </c>
      <c r="HI113" t="e">
        <f>AND(#REF!,"AAAAAH5249g=")</f>
        <v>#REF!</v>
      </c>
      <c r="HJ113" t="e">
        <f>AND(#REF!,"AAAAAH5249k=")</f>
        <v>#REF!</v>
      </c>
      <c r="HK113" t="e">
        <f>AND(#REF!,"AAAAAH5249o=")</f>
        <v>#REF!</v>
      </c>
      <c r="HL113" t="e">
        <f>AND(#REF!,"AAAAAH5249s=")</f>
        <v>#REF!</v>
      </c>
      <c r="HM113" t="e">
        <f>AND(#REF!,"AAAAAH5249w=")</f>
        <v>#REF!</v>
      </c>
      <c r="HN113" t="e">
        <f>AND(#REF!,"AAAAAH52490=")</f>
        <v>#REF!</v>
      </c>
      <c r="HO113" t="e">
        <f>AND(#REF!,"AAAAAH52494=")</f>
        <v>#REF!</v>
      </c>
      <c r="HP113" t="e">
        <f>AND(#REF!,"AAAAAH52498=")</f>
        <v>#REF!</v>
      </c>
      <c r="HQ113" t="e">
        <f>AND(#REF!,"AAAAAH524+A=")</f>
        <v>#REF!</v>
      </c>
      <c r="HR113" t="e">
        <f>AND(#REF!,"AAAAAH524+E=")</f>
        <v>#REF!</v>
      </c>
      <c r="HS113" t="e">
        <f>AND(#REF!,"AAAAAH524+I=")</f>
        <v>#REF!</v>
      </c>
      <c r="HT113" t="e">
        <f>AND(#REF!,"AAAAAH524+M=")</f>
        <v>#REF!</v>
      </c>
      <c r="HU113" t="e">
        <f>AND(#REF!,"AAAAAH524+Q=")</f>
        <v>#REF!</v>
      </c>
      <c r="HV113" t="e">
        <f>AND(#REF!,"AAAAAH524+U=")</f>
        <v>#REF!</v>
      </c>
      <c r="HW113" t="e">
        <f>AND(#REF!,"AAAAAH524+Y=")</f>
        <v>#REF!</v>
      </c>
      <c r="HX113" t="e">
        <f>AND(#REF!,"AAAAAH524+c=")</f>
        <v>#REF!</v>
      </c>
      <c r="HY113" t="e">
        <f>AND(#REF!,"AAAAAH524+g=")</f>
        <v>#REF!</v>
      </c>
      <c r="HZ113" t="e">
        <f>AND(#REF!,"AAAAAH524+k=")</f>
        <v>#REF!</v>
      </c>
      <c r="IA113" t="e">
        <f>AND(#REF!,"AAAAAH524+o=")</f>
        <v>#REF!</v>
      </c>
      <c r="IB113" t="e">
        <f>AND(#REF!,"AAAAAH524+s=")</f>
        <v>#REF!</v>
      </c>
      <c r="IC113" t="e">
        <f>AND(#REF!,"AAAAAH524+w=")</f>
        <v>#REF!</v>
      </c>
      <c r="ID113" t="e">
        <f>AND(#REF!,"AAAAAH524+0=")</f>
        <v>#REF!</v>
      </c>
      <c r="IE113" t="e">
        <f>AND(#REF!,"AAAAAH524+4=")</f>
        <v>#REF!</v>
      </c>
      <c r="IF113" t="e">
        <f>AND(#REF!,"AAAAAH524+8=")</f>
        <v>#REF!</v>
      </c>
      <c r="IG113" t="e">
        <f>AND(#REF!,"AAAAAH524/A=")</f>
        <v>#REF!</v>
      </c>
      <c r="IH113" t="e">
        <f>AND(#REF!,"AAAAAH524/E=")</f>
        <v>#REF!</v>
      </c>
      <c r="II113" t="e">
        <f>AND(#REF!,"AAAAAH524/I=")</f>
        <v>#REF!</v>
      </c>
      <c r="IJ113" t="e">
        <f>AND(#REF!,"AAAAAH524/M=")</f>
        <v>#REF!</v>
      </c>
      <c r="IK113" t="e">
        <f>AND(#REF!,"AAAAAH524/Q=")</f>
        <v>#REF!</v>
      </c>
      <c r="IL113" t="e">
        <f>AND(#REF!,"AAAAAH524/U=")</f>
        <v>#REF!</v>
      </c>
      <c r="IM113" t="e">
        <f>AND(#REF!,"AAAAAH524/Y=")</f>
        <v>#REF!</v>
      </c>
      <c r="IN113" t="e">
        <f>AND(#REF!,"AAAAAH524/c=")</f>
        <v>#REF!</v>
      </c>
      <c r="IO113" t="e">
        <f>AND(#REF!,"AAAAAH524/g=")</f>
        <v>#REF!</v>
      </c>
      <c r="IP113" t="e">
        <f>AND(#REF!,"AAAAAH524/k=")</f>
        <v>#REF!</v>
      </c>
      <c r="IQ113" t="e">
        <f>AND(#REF!,"AAAAAH524/o=")</f>
        <v>#REF!</v>
      </c>
      <c r="IR113" t="e">
        <f>AND(#REF!,"AAAAAH524/s=")</f>
        <v>#REF!</v>
      </c>
      <c r="IS113" t="e">
        <f>AND(#REF!,"AAAAAH524/w=")</f>
        <v>#REF!</v>
      </c>
      <c r="IT113" t="e">
        <f>AND(#REF!,"AAAAAH524/0=")</f>
        <v>#REF!</v>
      </c>
      <c r="IU113" t="e">
        <f>AND(#REF!,"AAAAAH524/4=")</f>
        <v>#REF!</v>
      </c>
      <c r="IV113" t="e">
        <f>AND(#REF!,"AAAAAH524/8=")</f>
        <v>#REF!</v>
      </c>
    </row>
    <row r="114" spans="1:256">
      <c r="A114" t="e">
        <f>AND(#REF!,"AAAAAHx44AA=")</f>
        <v>#REF!</v>
      </c>
      <c r="B114" t="e">
        <f>AND(#REF!,"AAAAAHx44AE=")</f>
        <v>#REF!</v>
      </c>
      <c r="C114" t="e">
        <f>AND(#REF!,"AAAAAHx44AI=")</f>
        <v>#REF!</v>
      </c>
      <c r="D114" t="e">
        <f>AND(#REF!,"AAAAAHx44AM=")</f>
        <v>#REF!</v>
      </c>
      <c r="E114" t="e">
        <f>AND(#REF!,"AAAAAHx44AQ=")</f>
        <v>#REF!</v>
      </c>
      <c r="F114" t="e">
        <f>AND(#REF!,"AAAAAHx44AU=")</f>
        <v>#REF!</v>
      </c>
      <c r="G114" t="e">
        <f>AND(#REF!,"AAAAAHx44AY=")</f>
        <v>#REF!</v>
      </c>
      <c r="H114" t="e">
        <f>AND(#REF!,"AAAAAHx44Ac=")</f>
        <v>#REF!</v>
      </c>
      <c r="I114" t="e">
        <f>AND(#REF!,"AAAAAHx44Ag=")</f>
        <v>#REF!</v>
      </c>
      <c r="J114" t="e">
        <f>AND(#REF!,"AAAAAHx44Ak=")</f>
        <v>#REF!</v>
      </c>
      <c r="K114" t="e">
        <f>AND(#REF!,"AAAAAHx44Ao=")</f>
        <v>#REF!</v>
      </c>
      <c r="L114" t="e">
        <f>AND(#REF!,"AAAAAHx44As=")</f>
        <v>#REF!</v>
      </c>
      <c r="M114" t="e">
        <f>AND(#REF!,"AAAAAHx44Aw=")</f>
        <v>#REF!</v>
      </c>
      <c r="N114" t="e">
        <f>AND(#REF!,"AAAAAHx44A0=")</f>
        <v>#REF!</v>
      </c>
      <c r="O114" t="e">
        <f>AND(#REF!,"AAAAAHx44A4=")</f>
        <v>#REF!</v>
      </c>
      <c r="P114" t="e">
        <f>AND(#REF!,"AAAAAHx44A8=")</f>
        <v>#REF!</v>
      </c>
      <c r="Q114" t="e">
        <f>AND(#REF!,"AAAAAHx44BA=")</f>
        <v>#REF!</v>
      </c>
      <c r="R114" t="e">
        <f>AND(#REF!,"AAAAAHx44BE=")</f>
        <v>#REF!</v>
      </c>
      <c r="S114" t="e">
        <f>AND(#REF!,"AAAAAHx44BI=")</f>
        <v>#REF!</v>
      </c>
      <c r="T114" t="e">
        <f>AND(#REF!,"AAAAAHx44BM=")</f>
        <v>#REF!</v>
      </c>
      <c r="U114" t="e">
        <f>AND(#REF!,"AAAAAHx44BQ=")</f>
        <v>#REF!</v>
      </c>
      <c r="V114" t="e">
        <f>AND(#REF!,"AAAAAHx44BU=")</f>
        <v>#REF!</v>
      </c>
      <c r="W114" t="e">
        <f>AND(#REF!,"AAAAAHx44BY=")</f>
        <v>#REF!</v>
      </c>
      <c r="X114" t="e">
        <f>AND(#REF!,"AAAAAHx44Bc=")</f>
        <v>#REF!</v>
      </c>
      <c r="Y114" t="e">
        <f>AND(#REF!,"AAAAAHx44Bg=")</f>
        <v>#REF!</v>
      </c>
      <c r="Z114" t="e">
        <f>AND(#REF!,"AAAAAHx44Bk=")</f>
        <v>#REF!</v>
      </c>
      <c r="AA114" t="e">
        <f>AND(#REF!,"AAAAAHx44Bo=")</f>
        <v>#REF!</v>
      </c>
      <c r="AB114" t="e">
        <f>AND(#REF!,"AAAAAHx44Bs=")</f>
        <v>#REF!</v>
      </c>
      <c r="AC114" t="e">
        <f>AND(#REF!,"AAAAAHx44Bw=")</f>
        <v>#REF!</v>
      </c>
      <c r="AD114" t="e">
        <f>AND(#REF!,"AAAAAHx44B0=")</f>
        <v>#REF!</v>
      </c>
      <c r="AE114" t="e">
        <f>AND(#REF!,"AAAAAHx44B4=")</f>
        <v>#REF!</v>
      </c>
      <c r="AF114" t="e">
        <f>AND(#REF!,"AAAAAHx44B8=")</f>
        <v>#REF!</v>
      </c>
      <c r="AG114" t="e">
        <f>AND(#REF!,"AAAAAHx44CA=")</f>
        <v>#REF!</v>
      </c>
      <c r="AH114" t="e">
        <f>AND(#REF!,"AAAAAHx44CE=")</f>
        <v>#REF!</v>
      </c>
      <c r="AI114" t="e">
        <f>AND(#REF!,"AAAAAHx44CI=")</f>
        <v>#REF!</v>
      </c>
      <c r="AJ114" t="e">
        <f>AND(#REF!,"AAAAAHx44CM=")</f>
        <v>#REF!</v>
      </c>
      <c r="AK114" t="e">
        <f>AND(#REF!,"AAAAAHx44CQ=")</f>
        <v>#REF!</v>
      </c>
      <c r="AL114" t="e">
        <f>AND(#REF!,"AAAAAHx44CU=")</f>
        <v>#REF!</v>
      </c>
      <c r="AM114" t="e">
        <f>AND(#REF!,"AAAAAHx44CY=")</f>
        <v>#REF!</v>
      </c>
      <c r="AN114" t="e">
        <f>AND(#REF!,"AAAAAHx44Cc=")</f>
        <v>#REF!</v>
      </c>
      <c r="AO114" t="e">
        <f>AND(#REF!,"AAAAAHx44Cg=")</f>
        <v>#REF!</v>
      </c>
      <c r="AP114" t="e">
        <f>AND(#REF!,"AAAAAHx44Ck=")</f>
        <v>#REF!</v>
      </c>
      <c r="AQ114" t="e">
        <f>AND(#REF!,"AAAAAHx44Co=")</f>
        <v>#REF!</v>
      </c>
      <c r="AR114" t="e">
        <f>AND(#REF!,"AAAAAHx44Cs=")</f>
        <v>#REF!</v>
      </c>
      <c r="AS114" t="e">
        <f>AND(#REF!,"AAAAAHx44Cw=")</f>
        <v>#REF!</v>
      </c>
      <c r="AT114" t="e">
        <f>AND(#REF!,"AAAAAHx44C0=")</f>
        <v>#REF!</v>
      </c>
      <c r="AU114" t="e">
        <f>AND(#REF!,"AAAAAHx44C4=")</f>
        <v>#REF!</v>
      </c>
      <c r="AV114" t="e">
        <f>AND(#REF!,"AAAAAHx44C8=")</f>
        <v>#REF!</v>
      </c>
      <c r="AW114" t="e">
        <f>AND(#REF!,"AAAAAHx44DA=")</f>
        <v>#REF!</v>
      </c>
      <c r="AX114" t="e">
        <f>AND(#REF!,"AAAAAHx44DE=")</f>
        <v>#REF!</v>
      </c>
      <c r="AY114" t="e">
        <f>AND(#REF!,"AAAAAHx44DI=")</f>
        <v>#REF!</v>
      </c>
      <c r="AZ114" t="e">
        <f>AND(#REF!,"AAAAAHx44DM=")</f>
        <v>#REF!</v>
      </c>
      <c r="BA114" t="e">
        <f>AND(#REF!,"AAAAAHx44DQ=")</f>
        <v>#REF!</v>
      </c>
      <c r="BB114" t="e">
        <f>AND(#REF!,"AAAAAHx44DU=")</f>
        <v>#REF!</v>
      </c>
      <c r="BC114" t="e">
        <f>AND(#REF!,"AAAAAHx44DY=")</f>
        <v>#REF!</v>
      </c>
      <c r="BD114" t="e">
        <f>AND(#REF!,"AAAAAHx44Dc=")</f>
        <v>#REF!</v>
      </c>
      <c r="BE114" t="e">
        <f>AND(#REF!,"AAAAAHx44Dg=")</f>
        <v>#REF!</v>
      </c>
      <c r="BF114" t="e">
        <f>AND(#REF!,"AAAAAHx44Dk=")</f>
        <v>#REF!</v>
      </c>
      <c r="BG114" t="e">
        <f>AND(#REF!,"AAAAAHx44Do=")</f>
        <v>#REF!</v>
      </c>
      <c r="BH114" t="e">
        <f>AND(#REF!,"AAAAAHx44Ds=")</f>
        <v>#REF!</v>
      </c>
      <c r="BI114" t="e">
        <f>AND(#REF!,"AAAAAHx44Dw=")</f>
        <v>#REF!</v>
      </c>
      <c r="BJ114" t="e">
        <f>AND(#REF!,"AAAAAHx44D0=")</f>
        <v>#REF!</v>
      </c>
      <c r="BK114" t="e">
        <f>AND(#REF!,"AAAAAHx44D4=")</f>
        <v>#REF!</v>
      </c>
      <c r="BL114" t="e">
        <f>AND(#REF!,"AAAAAHx44D8=")</f>
        <v>#REF!</v>
      </c>
      <c r="BM114" t="e">
        <f>AND(#REF!,"AAAAAHx44EA=")</f>
        <v>#REF!</v>
      </c>
      <c r="BN114" t="e">
        <f>AND(#REF!,"AAAAAHx44EE=")</f>
        <v>#REF!</v>
      </c>
      <c r="BO114" t="e">
        <f>AND(#REF!,"AAAAAHx44EI=")</f>
        <v>#REF!</v>
      </c>
      <c r="BP114" t="e">
        <f>AND(#REF!,"AAAAAHx44EM=")</f>
        <v>#REF!</v>
      </c>
      <c r="BQ114" t="e">
        <f>AND(#REF!,"AAAAAHx44EQ=")</f>
        <v>#REF!</v>
      </c>
      <c r="BR114" t="e">
        <f>AND(#REF!,"AAAAAHx44EU=")</f>
        <v>#REF!</v>
      </c>
      <c r="BS114" t="e">
        <f>AND(#REF!,"AAAAAHx44EY=")</f>
        <v>#REF!</v>
      </c>
      <c r="BT114" t="e">
        <f>AND(#REF!,"AAAAAHx44Ec=")</f>
        <v>#REF!</v>
      </c>
      <c r="BU114" t="e">
        <f>AND(#REF!,"AAAAAHx44Eg=")</f>
        <v>#REF!</v>
      </c>
      <c r="BV114" t="e">
        <f>AND(#REF!,"AAAAAHx44Ek=")</f>
        <v>#REF!</v>
      </c>
      <c r="BW114" t="e">
        <f>AND(#REF!,"AAAAAHx44Eo=")</f>
        <v>#REF!</v>
      </c>
      <c r="BX114" t="e">
        <f>AND(#REF!,"AAAAAHx44Es=")</f>
        <v>#REF!</v>
      </c>
      <c r="BY114" t="e">
        <f>AND(#REF!,"AAAAAHx44Ew=")</f>
        <v>#REF!</v>
      </c>
      <c r="BZ114" t="e">
        <f>AND(#REF!,"AAAAAHx44E0=")</f>
        <v>#REF!</v>
      </c>
      <c r="CA114" t="e">
        <f>AND(#REF!,"AAAAAHx44E4=")</f>
        <v>#REF!</v>
      </c>
      <c r="CB114" t="e">
        <f>AND(#REF!,"AAAAAHx44E8=")</f>
        <v>#REF!</v>
      </c>
      <c r="CC114" t="e">
        <f>AND(#REF!,"AAAAAHx44FA=")</f>
        <v>#REF!</v>
      </c>
      <c r="CD114" t="e">
        <f>AND(#REF!,"AAAAAHx44FE=")</f>
        <v>#REF!</v>
      </c>
      <c r="CE114" t="e">
        <f>AND(#REF!,"AAAAAHx44FI=")</f>
        <v>#REF!</v>
      </c>
      <c r="CF114" t="e">
        <f>AND(#REF!,"AAAAAHx44FM=")</f>
        <v>#REF!</v>
      </c>
      <c r="CG114" t="e">
        <f>AND(#REF!,"AAAAAHx44FQ=")</f>
        <v>#REF!</v>
      </c>
      <c r="CH114" t="e">
        <f>AND(#REF!,"AAAAAHx44FU=")</f>
        <v>#REF!</v>
      </c>
      <c r="CI114" t="e">
        <f>AND(#REF!,"AAAAAHx44FY=")</f>
        <v>#REF!</v>
      </c>
      <c r="CJ114" t="e">
        <f>AND(#REF!,"AAAAAHx44Fc=")</f>
        <v>#REF!</v>
      </c>
      <c r="CK114" t="e">
        <f>AND(#REF!,"AAAAAHx44Fg=")</f>
        <v>#REF!</v>
      </c>
      <c r="CL114" t="e">
        <f>AND(#REF!,"AAAAAHx44Fk=")</f>
        <v>#REF!</v>
      </c>
      <c r="CM114" t="e">
        <f>AND(#REF!,"AAAAAHx44Fo=")</f>
        <v>#REF!</v>
      </c>
      <c r="CN114" t="e">
        <f>AND(#REF!,"AAAAAHx44Fs=")</f>
        <v>#REF!</v>
      </c>
      <c r="CO114" t="e">
        <f>AND(#REF!,"AAAAAHx44Fw=")</f>
        <v>#REF!</v>
      </c>
      <c r="CP114" t="e">
        <f>AND(#REF!,"AAAAAHx44F0=")</f>
        <v>#REF!</v>
      </c>
      <c r="CQ114" t="e">
        <f>AND(#REF!,"AAAAAHx44F4=")</f>
        <v>#REF!</v>
      </c>
      <c r="CR114" t="e">
        <f>AND(#REF!,"AAAAAHx44F8=")</f>
        <v>#REF!</v>
      </c>
      <c r="CS114" t="e">
        <f>AND(#REF!,"AAAAAHx44GA=")</f>
        <v>#REF!</v>
      </c>
      <c r="CT114" t="e">
        <f>AND(#REF!,"AAAAAHx44GE=")</f>
        <v>#REF!</v>
      </c>
      <c r="CU114" t="e">
        <f>AND(#REF!,"AAAAAHx44GI=")</f>
        <v>#REF!</v>
      </c>
      <c r="CV114" t="e">
        <f>AND(#REF!,"AAAAAHx44GM=")</f>
        <v>#REF!</v>
      </c>
      <c r="CW114" t="e">
        <f>AND(#REF!,"AAAAAHx44GQ=")</f>
        <v>#REF!</v>
      </c>
      <c r="CX114" t="e">
        <f>AND(#REF!,"AAAAAHx44GU=")</f>
        <v>#REF!</v>
      </c>
      <c r="CY114" t="e">
        <f>AND(#REF!,"AAAAAHx44GY=")</f>
        <v>#REF!</v>
      </c>
      <c r="CZ114" t="e">
        <f>AND(#REF!,"AAAAAHx44Gc=")</f>
        <v>#REF!</v>
      </c>
      <c r="DA114" t="e">
        <f>AND(#REF!,"AAAAAHx44Gg=")</f>
        <v>#REF!</v>
      </c>
      <c r="DB114" t="e">
        <f>AND(#REF!,"AAAAAHx44Gk=")</f>
        <v>#REF!</v>
      </c>
      <c r="DC114" t="e">
        <f>AND(#REF!,"AAAAAHx44Go=")</f>
        <v>#REF!</v>
      </c>
      <c r="DD114" t="e">
        <f>AND(#REF!,"AAAAAHx44Gs=")</f>
        <v>#REF!</v>
      </c>
      <c r="DE114" t="e">
        <f>AND(#REF!,"AAAAAHx44Gw=")</f>
        <v>#REF!</v>
      </c>
      <c r="DF114" t="e">
        <f>AND(#REF!,"AAAAAHx44G0=")</f>
        <v>#REF!</v>
      </c>
      <c r="DG114" t="e">
        <f>AND(#REF!,"AAAAAHx44G4=")</f>
        <v>#REF!</v>
      </c>
      <c r="DH114" t="e">
        <f>AND(#REF!,"AAAAAHx44G8=")</f>
        <v>#REF!</v>
      </c>
      <c r="DI114" t="e">
        <f>AND(#REF!,"AAAAAHx44HA=")</f>
        <v>#REF!</v>
      </c>
      <c r="DJ114" t="e">
        <f>AND(#REF!,"AAAAAHx44HE=")</f>
        <v>#REF!</v>
      </c>
      <c r="DK114" t="e">
        <f>AND(#REF!,"AAAAAHx44HI=")</f>
        <v>#REF!</v>
      </c>
      <c r="DL114" t="e">
        <f>AND(#REF!,"AAAAAHx44HM=")</f>
        <v>#REF!</v>
      </c>
      <c r="DM114" t="e">
        <f>AND(#REF!,"AAAAAHx44HQ=")</f>
        <v>#REF!</v>
      </c>
      <c r="DN114" t="e">
        <f>AND(#REF!,"AAAAAHx44HU=")</f>
        <v>#REF!</v>
      </c>
      <c r="DO114" t="e">
        <f>AND(#REF!,"AAAAAHx44HY=")</f>
        <v>#REF!</v>
      </c>
      <c r="DP114" t="e">
        <f>AND(#REF!,"AAAAAHx44Hc=")</f>
        <v>#REF!</v>
      </c>
      <c r="DQ114" t="e">
        <f>AND(#REF!,"AAAAAHx44Hg=")</f>
        <v>#REF!</v>
      </c>
      <c r="DR114" t="e">
        <f>AND(#REF!,"AAAAAHx44Hk=")</f>
        <v>#REF!</v>
      </c>
      <c r="DS114" t="e">
        <f>AND(#REF!,"AAAAAHx44Ho=")</f>
        <v>#REF!</v>
      </c>
      <c r="DT114" t="e">
        <f>AND(#REF!,"AAAAAHx44Hs=")</f>
        <v>#REF!</v>
      </c>
      <c r="DU114" t="e">
        <f>AND(#REF!,"AAAAAHx44Hw=")</f>
        <v>#REF!</v>
      </c>
      <c r="DV114" t="e">
        <f>AND(#REF!,"AAAAAHx44H0=")</f>
        <v>#REF!</v>
      </c>
      <c r="DW114" t="e">
        <f>AND(#REF!,"AAAAAHx44H4=")</f>
        <v>#REF!</v>
      </c>
      <c r="DX114" t="e">
        <f>AND(#REF!,"AAAAAHx44H8=")</f>
        <v>#REF!</v>
      </c>
      <c r="DY114" t="e">
        <f>AND(#REF!,"AAAAAHx44IA=")</f>
        <v>#REF!</v>
      </c>
      <c r="DZ114" t="e">
        <f>AND(#REF!,"AAAAAHx44IE=")</f>
        <v>#REF!</v>
      </c>
      <c r="EA114" t="e">
        <f>AND(#REF!,"AAAAAHx44II=")</f>
        <v>#REF!</v>
      </c>
      <c r="EB114" t="e">
        <f>AND(#REF!,"AAAAAHx44IM=")</f>
        <v>#REF!</v>
      </c>
      <c r="EC114" t="e">
        <f>AND(#REF!,"AAAAAHx44IQ=")</f>
        <v>#REF!</v>
      </c>
      <c r="ED114" t="e">
        <f>AND(#REF!,"AAAAAHx44IU=")</f>
        <v>#REF!</v>
      </c>
      <c r="EE114" t="e">
        <f>AND(#REF!,"AAAAAHx44IY=")</f>
        <v>#REF!</v>
      </c>
      <c r="EF114" t="e">
        <f>AND(#REF!,"AAAAAHx44Ic=")</f>
        <v>#REF!</v>
      </c>
      <c r="EG114" t="e">
        <f>AND(#REF!,"AAAAAHx44Ig=")</f>
        <v>#REF!</v>
      </c>
      <c r="EH114" t="e">
        <f>AND(#REF!,"AAAAAHx44Ik=")</f>
        <v>#REF!</v>
      </c>
      <c r="EI114" t="e">
        <f>AND(#REF!,"AAAAAHx44Io=")</f>
        <v>#REF!</v>
      </c>
      <c r="EJ114" t="e">
        <f>AND(#REF!,"AAAAAHx44Is=")</f>
        <v>#REF!</v>
      </c>
      <c r="EK114" t="e">
        <f>AND(#REF!,"AAAAAHx44Iw=")</f>
        <v>#REF!</v>
      </c>
      <c r="EL114" t="e">
        <f>AND(#REF!,"AAAAAHx44I0=")</f>
        <v>#REF!</v>
      </c>
      <c r="EM114" t="e">
        <f>AND(#REF!,"AAAAAHx44I4=")</f>
        <v>#REF!</v>
      </c>
      <c r="EN114" t="e">
        <f>AND(#REF!,"AAAAAHx44I8=")</f>
        <v>#REF!</v>
      </c>
      <c r="EO114" t="e">
        <f>AND(#REF!,"AAAAAHx44JA=")</f>
        <v>#REF!</v>
      </c>
      <c r="EP114" t="e">
        <f>AND(#REF!,"AAAAAHx44JE=")</f>
        <v>#REF!</v>
      </c>
      <c r="EQ114" t="e">
        <f>AND(#REF!,"AAAAAHx44JI=")</f>
        <v>#REF!</v>
      </c>
      <c r="ER114" t="e">
        <f>AND(#REF!,"AAAAAHx44JM=")</f>
        <v>#REF!</v>
      </c>
      <c r="ES114" t="e">
        <f>AND(#REF!,"AAAAAHx44JQ=")</f>
        <v>#REF!</v>
      </c>
      <c r="ET114" t="e">
        <f>AND(#REF!,"AAAAAHx44JU=")</f>
        <v>#REF!</v>
      </c>
      <c r="EU114" t="e">
        <f>AND(#REF!,"AAAAAHx44JY=")</f>
        <v>#REF!</v>
      </c>
      <c r="EV114" t="e">
        <f>AND(#REF!,"AAAAAHx44Jc=")</f>
        <v>#REF!</v>
      </c>
      <c r="EW114" t="e">
        <f>AND(#REF!,"AAAAAHx44Jg=")</f>
        <v>#REF!</v>
      </c>
      <c r="EX114" t="e">
        <f>AND(#REF!,"AAAAAHx44Jk=")</f>
        <v>#REF!</v>
      </c>
      <c r="EY114" t="e">
        <f>AND(#REF!,"AAAAAHx44Jo=")</f>
        <v>#REF!</v>
      </c>
      <c r="EZ114" t="e">
        <f>AND(#REF!,"AAAAAHx44Js=")</f>
        <v>#REF!</v>
      </c>
      <c r="FA114" t="e">
        <f>AND(#REF!,"AAAAAHx44Jw=")</f>
        <v>#REF!</v>
      </c>
      <c r="FB114" t="e">
        <f>AND(#REF!,"AAAAAHx44J0=")</f>
        <v>#REF!</v>
      </c>
      <c r="FC114" t="e">
        <f>AND(#REF!,"AAAAAHx44J4=")</f>
        <v>#REF!</v>
      </c>
      <c r="FD114" t="e">
        <f>AND(#REF!,"AAAAAHx44J8=")</f>
        <v>#REF!</v>
      </c>
      <c r="FE114" t="e">
        <f>AND(#REF!,"AAAAAHx44KA=")</f>
        <v>#REF!</v>
      </c>
      <c r="FF114" t="e">
        <f>AND(#REF!,"AAAAAHx44KE=")</f>
        <v>#REF!</v>
      </c>
      <c r="FG114" t="e">
        <f>AND(#REF!,"AAAAAHx44KI=")</f>
        <v>#REF!</v>
      </c>
      <c r="FH114" t="e">
        <f>AND(#REF!,"AAAAAHx44KM=")</f>
        <v>#REF!</v>
      </c>
      <c r="FI114" t="e">
        <f>AND(#REF!,"AAAAAHx44KQ=")</f>
        <v>#REF!</v>
      </c>
      <c r="FJ114" t="e">
        <f>AND(#REF!,"AAAAAHx44KU=")</f>
        <v>#REF!</v>
      </c>
      <c r="FK114" t="e">
        <f>AND(#REF!,"AAAAAHx44KY=")</f>
        <v>#REF!</v>
      </c>
      <c r="FL114" t="e">
        <f>AND(#REF!,"AAAAAHx44Kc=")</f>
        <v>#REF!</v>
      </c>
      <c r="FM114" t="e">
        <f>AND(#REF!,"AAAAAHx44Kg=")</f>
        <v>#REF!</v>
      </c>
      <c r="FN114" t="e">
        <f>AND(#REF!,"AAAAAHx44Kk=")</f>
        <v>#REF!</v>
      </c>
      <c r="FO114" t="e">
        <f>AND(#REF!,"AAAAAHx44Ko=")</f>
        <v>#REF!</v>
      </c>
      <c r="FP114" t="e">
        <f>AND(#REF!,"AAAAAHx44Ks=")</f>
        <v>#REF!</v>
      </c>
      <c r="FQ114" t="e">
        <f>AND(#REF!,"AAAAAHx44Kw=")</f>
        <v>#REF!</v>
      </c>
      <c r="FR114" t="e">
        <f>AND(#REF!,"AAAAAHx44K0=")</f>
        <v>#REF!</v>
      </c>
      <c r="FS114" t="e">
        <f>AND(#REF!,"AAAAAHx44K4=")</f>
        <v>#REF!</v>
      </c>
      <c r="FT114" t="e">
        <f>AND(#REF!,"AAAAAHx44K8=")</f>
        <v>#REF!</v>
      </c>
      <c r="FU114" t="e">
        <f>AND(#REF!,"AAAAAHx44LA=")</f>
        <v>#REF!</v>
      </c>
      <c r="FV114" t="e">
        <f>AND(#REF!,"AAAAAHx44LE=")</f>
        <v>#REF!</v>
      </c>
      <c r="FW114" t="e">
        <f>AND(#REF!,"AAAAAHx44LI=")</f>
        <v>#REF!</v>
      </c>
      <c r="FX114" t="e">
        <f>AND(#REF!,"AAAAAHx44LM=")</f>
        <v>#REF!</v>
      </c>
      <c r="FY114" t="e">
        <f>AND(#REF!,"AAAAAHx44LQ=")</f>
        <v>#REF!</v>
      </c>
      <c r="FZ114" t="e">
        <f>AND(#REF!,"AAAAAHx44LU=")</f>
        <v>#REF!</v>
      </c>
      <c r="GA114" t="e">
        <f>AND(#REF!,"AAAAAHx44LY=")</f>
        <v>#REF!</v>
      </c>
      <c r="GB114" t="e">
        <f>AND(#REF!,"AAAAAHx44Lc=")</f>
        <v>#REF!</v>
      </c>
      <c r="GC114" t="e">
        <f>AND(#REF!,"AAAAAHx44Lg=")</f>
        <v>#REF!</v>
      </c>
      <c r="GD114" t="e">
        <f>AND(#REF!,"AAAAAHx44Lk=")</f>
        <v>#REF!</v>
      </c>
      <c r="GE114" t="e">
        <f>AND(#REF!,"AAAAAHx44Lo=")</f>
        <v>#REF!</v>
      </c>
      <c r="GF114" t="e">
        <f>AND(#REF!,"AAAAAHx44Ls=")</f>
        <v>#REF!</v>
      </c>
      <c r="GG114" t="e">
        <f>AND(#REF!,"AAAAAHx44Lw=")</f>
        <v>#REF!</v>
      </c>
      <c r="GH114" t="e">
        <f>AND(#REF!,"AAAAAHx44L0=")</f>
        <v>#REF!</v>
      </c>
      <c r="GI114" t="e">
        <f>AND(#REF!,"AAAAAHx44L4=")</f>
        <v>#REF!</v>
      </c>
      <c r="GJ114" t="e">
        <f>AND(#REF!,"AAAAAHx44L8=")</f>
        <v>#REF!</v>
      </c>
      <c r="GK114" t="e">
        <f>AND(#REF!,"AAAAAHx44MA=")</f>
        <v>#REF!</v>
      </c>
      <c r="GL114" t="e">
        <f>AND(#REF!,"AAAAAHx44ME=")</f>
        <v>#REF!</v>
      </c>
      <c r="GM114" t="e">
        <f>AND(#REF!,"AAAAAHx44MI=")</f>
        <v>#REF!</v>
      </c>
      <c r="GN114" t="e">
        <f>AND(#REF!,"AAAAAHx44MM=")</f>
        <v>#REF!</v>
      </c>
      <c r="GO114" t="e">
        <f>AND(#REF!,"AAAAAHx44MQ=")</f>
        <v>#REF!</v>
      </c>
      <c r="GP114" t="e">
        <f>AND(#REF!,"AAAAAHx44MU=")</f>
        <v>#REF!</v>
      </c>
      <c r="GQ114" t="e">
        <f>AND(#REF!,"AAAAAHx44MY=")</f>
        <v>#REF!</v>
      </c>
      <c r="GR114" t="e">
        <f>AND(#REF!,"AAAAAHx44Mc=")</f>
        <v>#REF!</v>
      </c>
      <c r="GS114" t="e">
        <f>AND(#REF!,"AAAAAHx44Mg=")</f>
        <v>#REF!</v>
      </c>
      <c r="GT114" t="e">
        <f>AND(#REF!,"AAAAAHx44Mk=")</f>
        <v>#REF!</v>
      </c>
      <c r="GU114" t="e">
        <f>AND(#REF!,"AAAAAHx44Mo=")</f>
        <v>#REF!</v>
      </c>
      <c r="GV114" t="e">
        <f>AND(#REF!,"AAAAAHx44Ms=")</f>
        <v>#REF!</v>
      </c>
      <c r="GW114" t="e">
        <f>AND(#REF!,"AAAAAHx44Mw=")</f>
        <v>#REF!</v>
      </c>
      <c r="GX114" t="e">
        <f>AND(#REF!,"AAAAAHx44M0=")</f>
        <v>#REF!</v>
      </c>
      <c r="GY114" t="e">
        <f>AND(#REF!,"AAAAAHx44M4=")</f>
        <v>#REF!</v>
      </c>
      <c r="GZ114" t="e">
        <f>AND(#REF!,"AAAAAHx44M8=")</f>
        <v>#REF!</v>
      </c>
      <c r="HA114" t="e">
        <f>AND(#REF!,"AAAAAHx44NA=")</f>
        <v>#REF!</v>
      </c>
      <c r="HB114" t="e">
        <f>AND(#REF!,"AAAAAHx44NE=")</f>
        <v>#REF!</v>
      </c>
      <c r="HC114" t="e">
        <f>AND(#REF!,"AAAAAHx44NI=")</f>
        <v>#REF!</v>
      </c>
      <c r="HD114" t="e">
        <f>AND(#REF!,"AAAAAHx44NM=")</f>
        <v>#REF!</v>
      </c>
      <c r="HE114" t="e">
        <f>AND(#REF!,"AAAAAHx44NQ=")</f>
        <v>#REF!</v>
      </c>
      <c r="HF114" t="e">
        <f>AND(#REF!,"AAAAAHx44NU=")</f>
        <v>#REF!</v>
      </c>
      <c r="HG114" t="e">
        <f>AND(#REF!,"AAAAAHx44NY=")</f>
        <v>#REF!</v>
      </c>
      <c r="HH114" t="e">
        <f>AND(#REF!,"AAAAAHx44Nc=")</f>
        <v>#REF!</v>
      </c>
      <c r="HI114" t="e">
        <f>AND(#REF!,"AAAAAHx44Ng=")</f>
        <v>#REF!</v>
      </c>
      <c r="HJ114" t="e">
        <f>AND(#REF!,"AAAAAHx44Nk=")</f>
        <v>#REF!</v>
      </c>
      <c r="HK114" t="e">
        <f>AND(#REF!,"AAAAAHx44No=")</f>
        <v>#REF!</v>
      </c>
      <c r="HL114" t="e">
        <f>AND(#REF!,"AAAAAHx44Ns=")</f>
        <v>#REF!</v>
      </c>
      <c r="HM114" t="e">
        <f>AND(#REF!,"AAAAAHx44Nw=")</f>
        <v>#REF!</v>
      </c>
      <c r="HN114" t="e">
        <f>AND(#REF!,"AAAAAHx44N0=")</f>
        <v>#REF!</v>
      </c>
      <c r="HO114" t="e">
        <f>AND(#REF!,"AAAAAHx44N4=")</f>
        <v>#REF!</v>
      </c>
      <c r="HP114" t="e">
        <f>AND(#REF!,"AAAAAHx44N8=")</f>
        <v>#REF!</v>
      </c>
      <c r="HQ114" t="e">
        <f>AND(#REF!,"AAAAAHx44OA=")</f>
        <v>#REF!</v>
      </c>
      <c r="HR114" t="e">
        <f>AND(#REF!,"AAAAAHx44OE=")</f>
        <v>#REF!</v>
      </c>
      <c r="HS114" t="e">
        <f>AND(#REF!,"AAAAAHx44OI=")</f>
        <v>#REF!</v>
      </c>
      <c r="HT114" t="e">
        <f>AND(#REF!,"AAAAAHx44OM=")</f>
        <v>#REF!</v>
      </c>
      <c r="HU114" t="e">
        <f>AND(#REF!,"AAAAAHx44OQ=")</f>
        <v>#REF!</v>
      </c>
      <c r="HV114" t="e">
        <f>AND(#REF!,"AAAAAHx44OU=")</f>
        <v>#REF!</v>
      </c>
      <c r="HW114" t="e">
        <f>AND(#REF!,"AAAAAHx44OY=")</f>
        <v>#REF!</v>
      </c>
      <c r="HX114" t="e">
        <f>AND(#REF!,"AAAAAHx44Oc=")</f>
        <v>#REF!</v>
      </c>
      <c r="HY114" t="e">
        <f>AND(#REF!,"AAAAAHx44Og=")</f>
        <v>#REF!</v>
      </c>
      <c r="HZ114" t="e">
        <f>AND(#REF!,"AAAAAHx44Ok=")</f>
        <v>#REF!</v>
      </c>
      <c r="IA114" t="e">
        <f>AND(#REF!,"AAAAAHx44Oo=")</f>
        <v>#REF!</v>
      </c>
      <c r="IB114" t="e">
        <f>AND(#REF!,"AAAAAHx44Os=")</f>
        <v>#REF!</v>
      </c>
      <c r="IC114" t="e">
        <f>AND(#REF!,"AAAAAHx44Ow=")</f>
        <v>#REF!</v>
      </c>
      <c r="ID114" t="e">
        <f>AND(#REF!,"AAAAAHx44O0=")</f>
        <v>#REF!</v>
      </c>
      <c r="IE114" t="e">
        <f>AND(#REF!,"AAAAAHx44O4=")</f>
        <v>#REF!</v>
      </c>
      <c r="IF114" t="e">
        <f>AND(#REF!,"AAAAAHx44O8=")</f>
        <v>#REF!</v>
      </c>
      <c r="IG114" t="e">
        <f>AND(#REF!,"AAAAAHx44PA=")</f>
        <v>#REF!</v>
      </c>
      <c r="IH114" t="e">
        <f>AND(#REF!,"AAAAAHx44PE=")</f>
        <v>#REF!</v>
      </c>
      <c r="II114" t="e">
        <f>AND(#REF!,"AAAAAHx44PI=")</f>
        <v>#REF!</v>
      </c>
      <c r="IJ114" t="e">
        <f>AND(#REF!,"AAAAAHx44PM=")</f>
        <v>#REF!</v>
      </c>
      <c r="IK114" t="e">
        <f>AND(#REF!,"AAAAAHx44PQ=")</f>
        <v>#REF!</v>
      </c>
      <c r="IL114" t="e">
        <f>AND(#REF!,"AAAAAHx44PU=")</f>
        <v>#REF!</v>
      </c>
      <c r="IM114" t="e">
        <f>AND(#REF!,"AAAAAHx44PY=")</f>
        <v>#REF!</v>
      </c>
      <c r="IN114" t="e">
        <f>AND(#REF!,"AAAAAHx44Pc=")</f>
        <v>#REF!</v>
      </c>
      <c r="IO114" t="e">
        <f>AND(#REF!,"AAAAAHx44Pg=")</f>
        <v>#REF!</v>
      </c>
      <c r="IP114" t="e">
        <f>AND(#REF!,"AAAAAHx44Pk=")</f>
        <v>#REF!</v>
      </c>
      <c r="IQ114" t="e">
        <f>AND(#REF!,"AAAAAHx44Po=")</f>
        <v>#REF!</v>
      </c>
      <c r="IR114" t="e">
        <f>AND(#REF!,"AAAAAHx44Ps=")</f>
        <v>#REF!</v>
      </c>
      <c r="IS114" t="e">
        <f>AND(#REF!,"AAAAAHx44Pw=")</f>
        <v>#REF!</v>
      </c>
      <c r="IT114" t="e">
        <f>AND(#REF!,"AAAAAHx44P0=")</f>
        <v>#REF!</v>
      </c>
      <c r="IU114" t="e">
        <f>AND(#REF!,"AAAAAHx44P4=")</f>
        <v>#REF!</v>
      </c>
      <c r="IV114" t="e">
        <f>AND(#REF!,"AAAAAHx44P8=")</f>
        <v>#REF!</v>
      </c>
    </row>
    <row r="115" spans="1:256">
      <c r="A115" t="e">
        <f>AND(#REF!,"AAAAAHrvvwA=")</f>
        <v>#REF!</v>
      </c>
      <c r="B115" t="e">
        <f>AND(#REF!,"AAAAAHrvvwE=")</f>
        <v>#REF!</v>
      </c>
      <c r="C115" t="e">
        <f>AND(#REF!,"AAAAAHrvvwI=")</f>
        <v>#REF!</v>
      </c>
      <c r="D115" t="e">
        <f>AND(#REF!,"AAAAAHrvvwM=")</f>
        <v>#REF!</v>
      </c>
      <c r="E115" t="e">
        <f>AND(#REF!,"AAAAAHrvvwQ=")</f>
        <v>#REF!</v>
      </c>
      <c r="F115" t="e">
        <f>AND(#REF!,"AAAAAHrvvwU=")</f>
        <v>#REF!</v>
      </c>
      <c r="G115" t="e">
        <f>AND(#REF!,"AAAAAHrvvwY=")</f>
        <v>#REF!</v>
      </c>
      <c r="H115" t="e">
        <f>AND(#REF!,"AAAAAHrvvwc=")</f>
        <v>#REF!</v>
      </c>
      <c r="I115" t="e">
        <f>AND(#REF!,"AAAAAHrvvwg=")</f>
        <v>#REF!</v>
      </c>
      <c r="J115" t="e">
        <f>AND(#REF!,"AAAAAHrvvwk=")</f>
        <v>#REF!</v>
      </c>
      <c r="K115" t="e">
        <f>AND(#REF!,"AAAAAHrvvwo=")</f>
        <v>#REF!</v>
      </c>
      <c r="L115" t="e">
        <f>AND(#REF!,"AAAAAHrvvws=")</f>
        <v>#REF!</v>
      </c>
      <c r="M115" t="e">
        <f>AND(#REF!,"AAAAAHrvvww=")</f>
        <v>#REF!</v>
      </c>
      <c r="N115" t="e">
        <f>AND(#REF!,"AAAAAHrvvw0=")</f>
        <v>#REF!</v>
      </c>
      <c r="O115" t="e">
        <f>AND(#REF!,"AAAAAHrvvw4=")</f>
        <v>#REF!</v>
      </c>
      <c r="P115" t="e">
        <f>AND(#REF!,"AAAAAHrvvw8=")</f>
        <v>#REF!</v>
      </c>
      <c r="Q115" t="e">
        <f>AND(#REF!,"AAAAAHrvvxA=")</f>
        <v>#REF!</v>
      </c>
      <c r="R115" t="e">
        <f>AND(#REF!,"AAAAAHrvvxE=")</f>
        <v>#REF!</v>
      </c>
      <c r="S115" t="e">
        <f>AND(#REF!,"AAAAAHrvvxI=")</f>
        <v>#REF!</v>
      </c>
      <c r="T115" t="e">
        <f>AND(#REF!,"AAAAAHrvvxM=")</f>
        <v>#REF!</v>
      </c>
      <c r="U115" t="e">
        <f>AND(#REF!,"AAAAAHrvvxQ=")</f>
        <v>#REF!</v>
      </c>
      <c r="V115" t="e">
        <f>AND(#REF!,"AAAAAHrvvxU=")</f>
        <v>#REF!</v>
      </c>
      <c r="W115" t="e">
        <f>AND(#REF!,"AAAAAHrvvxY=")</f>
        <v>#REF!</v>
      </c>
      <c r="X115" t="e">
        <f>AND(#REF!,"AAAAAHrvvxc=")</f>
        <v>#REF!</v>
      </c>
      <c r="Y115" t="e">
        <f>AND(#REF!,"AAAAAHrvvxg=")</f>
        <v>#REF!</v>
      </c>
      <c r="Z115" t="e">
        <f>AND(#REF!,"AAAAAHrvvxk=")</f>
        <v>#REF!</v>
      </c>
      <c r="AA115" t="e">
        <f>AND(#REF!,"AAAAAHrvvxo=")</f>
        <v>#REF!</v>
      </c>
      <c r="AB115" t="e">
        <f>AND(#REF!,"AAAAAHrvvxs=")</f>
        <v>#REF!</v>
      </c>
      <c r="AC115" t="e">
        <f>AND(#REF!,"AAAAAHrvvxw=")</f>
        <v>#REF!</v>
      </c>
      <c r="AD115" t="e">
        <f>AND(#REF!,"AAAAAHrvvx0=")</f>
        <v>#REF!</v>
      </c>
      <c r="AE115" t="e">
        <f>AND(#REF!,"AAAAAHrvvx4=")</f>
        <v>#REF!</v>
      </c>
      <c r="AF115" t="e">
        <f>AND(#REF!,"AAAAAHrvvx8=")</f>
        <v>#REF!</v>
      </c>
      <c r="AG115" t="e">
        <f>AND(#REF!,"AAAAAHrvvyA=")</f>
        <v>#REF!</v>
      </c>
      <c r="AH115" t="e">
        <f>AND(#REF!,"AAAAAHrvvyE=")</f>
        <v>#REF!</v>
      </c>
      <c r="AI115" t="e">
        <f>AND(#REF!,"AAAAAHrvvyI=")</f>
        <v>#REF!</v>
      </c>
      <c r="AJ115" t="e">
        <f>AND(#REF!,"AAAAAHrvvyM=")</f>
        <v>#REF!</v>
      </c>
      <c r="AK115" t="e">
        <f>AND(#REF!,"AAAAAHrvvyQ=")</f>
        <v>#REF!</v>
      </c>
      <c r="AL115" t="e">
        <f>AND(#REF!,"AAAAAHrvvyU=")</f>
        <v>#REF!</v>
      </c>
      <c r="AM115" t="e">
        <f>AND(#REF!,"AAAAAHrvvyY=")</f>
        <v>#REF!</v>
      </c>
      <c r="AN115" t="e">
        <f>AND(#REF!,"AAAAAHrvvyc=")</f>
        <v>#REF!</v>
      </c>
      <c r="AO115" t="e">
        <f>AND(#REF!,"AAAAAHrvvyg=")</f>
        <v>#REF!</v>
      </c>
      <c r="AP115" t="e">
        <f>AND(#REF!,"AAAAAHrvvyk=")</f>
        <v>#REF!</v>
      </c>
      <c r="AQ115" t="e">
        <f>AND(#REF!,"AAAAAHrvvyo=")</f>
        <v>#REF!</v>
      </c>
      <c r="AR115" t="e">
        <f>AND(#REF!,"AAAAAHrvvys=")</f>
        <v>#REF!</v>
      </c>
      <c r="AS115" t="e">
        <f>AND(#REF!,"AAAAAHrvvyw=")</f>
        <v>#REF!</v>
      </c>
      <c r="AT115" t="e">
        <f>AND(#REF!,"AAAAAHrvvy0=")</f>
        <v>#REF!</v>
      </c>
      <c r="AU115" t="e">
        <f>AND(#REF!,"AAAAAHrvvy4=")</f>
        <v>#REF!</v>
      </c>
      <c r="AV115" t="e">
        <f>AND(#REF!,"AAAAAHrvvy8=")</f>
        <v>#REF!</v>
      </c>
      <c r="AW115" t="e">
        <f>AND(#REF!,"AAAAAHrvvzA=")</f>
        <v>#REF!</v>
      </c>
      <c r="AX115" t="e">
        <f>AND(#REF!,"AAAAAHrvvzE=")</f>
        <v>#REF!</v>
      </c>
      <c r="AY115" t="e">
        <f>AND(#REF!,"AAAAAHrvvzI=")</f>
        <v>#REF!</v>
      </c>
      <c r="AZ115" t="e">
        <f>AND(#REF!,"AAAAAHrvvzM=")</f>
        <v>#REF!</v>
      </c>
      <c r="BA115" t="e">
        <f>AND(#REF!,"AAAAAHrvvzQ=")</f>
        <v>#REF!</v>
      </c>
      <c r="BB115" t="e">
        <f>AND(#REF!,"AAAAAHrvvzU=")</f>
        <v>#REF!</v>
      </c>
      <c r="BC115" t="e">
        <f>AND(#REF!,"AAAAAHrvvzY=")</f>
        <v>#REF!</v>
      </c>
      <c r="BD115" t="e">
        <f>AND(#REF!,"AAAAAHrvvzc=")</f>
        <v>#REF!</v>
      </c>
      <c r="BE115" t="e">
        <f>AND(#REF!,"AAAAAHrvvzg=")</f>
        <v>#REF!</v>
      </c>
      <c r="BF115" t="e">
        <f>AND(#REF!,"AAAAAHrvvzk=")</f>
        <v>#REF!</v>
      </c>
      <c r="BG115" t="e">
        <f>AND(#REF!,"AAAAAHrvvzo=")</f>
        <v>#REF!</v>
      </c>
      <c r="BH115" t="e">
        <f>AND(#REF!,"AAAAAHrvvzs=")</f>
        <v>#REF!</v>
      </c>
      <c r="BI115" t="e">
        <f>AND(#REF!,"AAAAAHrvvzw=")</f>
        <v>#REF!</v>
      </c>
      <c r="BJ115" t="e">
        <f>AND(#REF!,"AAAAAHrvvz0=")</f>
        <v>#REF!</v>
      </c>
      <c r="BK115" t="e">
        <f>AND(#REF!,"AAAAAHrvvz4=")</f>
        <v>#REF!</v>
      </c>
      <c r="BL115" t="e">
        <f>AND(#REF!,"AAAAAHrvvz8=")</f>
        <v>#REF!</v>
      </c>
      <c r="BM115" t="e">
        <f>AND(#REF!,"AAAAAHrvv0A=")</f>
        <v>#REF!</v>
      </c>
      <c r="BN115" t="e">
        <f>AND(#REF!,"AAAAAHrvv0E=")</f>
        <v>#REF!</v>
      </c>
      <c r="BO115" t="e">
        <f>AND(#REF!,"AAAAAHrvv0I=")</f>
        <v>#REF!</v>
      </c>
      <c r="BP115" t="e">
        <f>AND(#REF!,"AAAAAHrvv0M=")</f>
        <v>#REF!</v>
      </c>
      <c r="BQ115" t="e">
        <f>AND(#REF!,"AAAAAHrvv0Q=")</f>
        <v>#REF!</v>
      </c>
      <c r="BR115" t="e">
        <f>AND(#REF!,"AAAAAHrvv0U=")</f>
        <v>#REF!</v>
      </c>
      <c r="BS115" t="e">
        <f>AND(#REF!,"AAAAAHrvv0Y=")</f>
        <v>#REF!</v>
      </c>
      <c r="BT115" t="e">
        <f>AND(#REF!,"AAAAAHrvv0c=")</f>
        <v>#REF!</v>
      </c>
      <c r="BU115" t="e">
        <f>AND(#REF!,"AAAAAHrvv0g=")</f>
        <v>#REF!</v>
      </c>
      <c r="BV115" t="e">
        <f>AND(#REF!,"AAAAAHrvv0k=")</f>
        <v>#REF!</v>
      </c>
      <c r="BW115" t="e">
        <f>AND(#REF!,"AAAAAHrvv0o=")</f>
        <v>#REF!</v>
      </c>
      <c r="BX115" t="e">
        <f>AND(#REF!,"AAAAAHrvv0s=")</f>
        <v>#REF!</v>
      </c>
      <c r="BY115" t="e">
        <f>AND(#REF!,"AAAAAHrvv0w=")</f>
        <v>#REF!</v>
      </c>
      <c r="BZ115" t="e">
        <f>AND(#REF!,"AAAAAHrvv00=")</f>
        <v>#REF!</v>
      </c>
      <c r="CA115" t="e">
        <f>AND(#REF!,"AAAAAHrvv04=")</f>
        <v>#REF!</v>
      </c>
      <c r="CB115" t="e">
        <f>AND(#REF!,"AAAAAHrvv08=")</f>
        <v>#REF!</v>
      </c>
      <c r="CC115" t="e">
        <f>AND(#REF!,"AAAAAHrvv1A=")</f>
        <v>#REF!</v>
      </c>
      <c r="CD115" t="e">
        <f>AND(#REF!,"AAAAAHrvv1E=")</f>
        <v>#REF!</v>
      </c>
      <c r="CE115" t="e">
        <f>AND(#REF!,"AAAAAHrvv1I=")</f>
        <v>#REF!</v>
      </c>
      <c r="CF115" t="e">
        <f>AND(#REF!,"AAAAAHrvv1M=")</f>
        <v>#REF!</v>
      </c>
      <c r="CG115" t="e">
        <f>AND(#REF!,"AAAAAHrvv1Q=")</f>
        <v>#REF!</v>
      </c>
      <c r="CH115" t="e">
        <f>AND(#REF!,"AAAAAHrvv1U=")</f>
        <v>#REF!</v>
      </c>
      <c r="CI115" t="e">
        <f>AND(#REF!,"AAAAAHrvv1Y=")</f>
        <v>#REF!</v>
      </c>
      <c r="CJ115" t="e">
        <f>AND(#REF!,"AAAAAHrvv1c=")</f>
        <v>#REF!</v>
      </c>
      <c r="CK115" t="e">
        <f>AND(#REF!,"AAAAAHrvv1g=")</f>
        <v>#REF!</v>
      </c>
      <c r="CL115" t="e">
        <f>AND(#REF!,"AAAAAHrvv1k=")</f>
        <v>#REF!</v>
      </c>
      <c r="CM115" t="e">
        <f>AND(#REF!,"AAAAAHrvv1o=")</f>
        <v>#REF!</v>
      </c>
      <c r="CN115" t="e">
        <f>AND(#REF!,"AAAAAHrvv1s=")</f>
        <v>#REF!</v>
      </c>
      <c r="CO115" t="e">
        <f>AND(#REF!,"AAAAAHrvv1w=")</f>
        <v>#REF!</v>
      </c>
      <c r="CP115" t="e">
        <f>AND(#REF!,"AAAAAHrvv10=")</f>
        <v>#REF!</v>
      </c>
      <c r="CQ115" t="e">
        <f>AND(#REF!,"AAAAAHrvv14=")</f>
        <v>#REF!</v>
      </c>
      <c r="CR115" t="e">
        <f>AND(#REF!,"AAAAAHrvv18=")</f>
        <v>#REF!</v>
      </c>
      <c r="CS115" t="e">
        <f>AND(#REF!,"AAAAAHrvv2A=")</f>
        <v>#REF!</v>
      </c>
      <c r="CT115" t="e">
        <f>AND(#REF!,"AAAAAHrvv2E=")</f>
        <v>#REF!</v>
      </c>
      <c r="CU115" t="e">
        <f>AND(#REF!,"AAAAAHrvv2I=")</f>
        <v>#REF!</v>
      </c>
      <c r="CV115" t="e">
        <f>AND(#REF!,"AAAAAHrvv2M=")</f>
        <v>#REF!</v>
      </c>
      <c r="CW115" t="e">
        <f>AND(#REF!,"AAAAAHrvv2Q=")</f>
        <v>#REF!</v>
      </c>
      <c r="CX115" t="e">
        <f>AND(#REF!,"AAAAAHrvv2U=")</f>
        <v>#REF!</v>
      </c>
      <c r="CY115" t="e">
        <f>AND(#REF!,"AAAAAHrvv2Y=")</f>
        <v>#REF!</v>
      </c>
      <c r="CZ115" t="e">
        <f>AND(#REF!,"AAAAAHrvv2c=")</f>
        <v>#REF!</v>
      </c>
      <c r="DA115" t="e">
        <f>AND(#REF!,"AAAAAHrvv2g=")</f>
        <v>#REF!</v>
      </c>
      <c r="DB115" t="e">
        <f>AND(#REF!,"AAAAAHrvv2k=")</f>
        <v>#REF!</v>
      </c>
      <c r="DC115" t="e">
        <f>AND(#REF!,"AAAAAHrvv2o=")</f>
        <v>#REF!</v>
      </c>
      <c r="DD115" t="e">
        <f>AND(#REF!,"AAAAAHrvv2s=")</f>
        <v>#REF!</v>
      </c>
      <c r="DE115" t="e">
        <f>AND(#REF!,"AAAAAHrvv2w=")</f>
        <v>#REF!</v>
      </c>
      <c r="DF115" t="e">
        <f>AND(#REF!,"AAAAAHrvv20=")</f>
        <v>#REF!</v>
      </c>
      <c r="DG115" t="e">
        <f>AND(#REF!,"AAAAAHrvv24=")</f>
        <v>#REF!</v>
      </c>
      <c r="DH115" t="e">
        <f>AND(#REF!,"AAAAAHrvv28=")</f>
        <v>#REF!</v>
      </c>
      <c r="DI115" t="e">
        <f>AND(#REF!,"AAAAAHrvv3A=")</f>
        <v>#REF!</v>
      </c>
      <c r="DJ115" t="e">
        <f>AND(#REF!,"AAAAAHrvv3E=")</f>
        <v>#REF!</v>
      </c>
      <c r="DK115" t="e">
        <f>AND(#REF!,"AAAAAHrvv3I=")</f>
        <v>#REF!</v>
      </c>
      <c r="DL115" t="e">
        <f>AND(#REF!,"AAAAAHrvv3M=")</f>
        <v>#REF!</v>
      </c>
      <c r="DM115" t="e">
        <f>AND(#REF!,"AAAAAHrvv3Q=")</f>
        <v>#REF!</v>
      </c>
      <c r="DN115" t="e">
        <f>AND(#REF!,"AAAAAHrvv3U=")</f>
        <v>#REF!</v>
      </c>
      <c r="DO115" t="e">
        <f>AND(#REF!,"AAAAAHrvv3Y=")</f>
        <v>#REF!</v>
      </c>
      <c r="DP115" t="e">
        <f>AND(#REF!,"AAAAAHrvv3c=")</f>
        <v>#REF!</v>
      </c>
      <c r="DQ115" t="e">
        <f>AND(#REF!,"AAAAAHrvv3g=")</f>
        <v>#REF!</v>
      </c>
      <c r="DR115" t="e">
        <f>AND(#REF!,"AAAAAHrvv3k=")</f>
        <v>#REF!</v>
      </c>
      <c r="DS115" t="e">
        <f>AND(#REF!,"AAAAAHrvv3o=")</f>
        <v>#REF!</v>
      </c>
      <c r="DT115" t="e">
        <f>AND(#REF!,"AAAAAHrvv3s=")</f>
        <v>#REF!</v>
      </c>
      <c r="DU115" t="e">
        <f>AND(#REF!,"AAAAAHrvv3w=")</f>
        <v>#REF!</v>
      </c>
      <c r="DV115" t="e">
        <f>AND(#REF!,"AAAAAHrvv30=")</f>
        <v>#REF!</v>
      </c>
      <c r="DW115" t="e">
        <f>AND(#REF!,"AAAAAHrvv34=")</f>
        <v>#REF!</v>
      </c>
      <c r="DX115" t="e">
        <f>AND(#REF!,"AAAAAHrvv38=")</f>
        <v>#REF!</v>
      </c>
      <c r="DY115" t="e">
        <f>AND(#REF!,"AAAAAHrvv4A=")</f>
        <v>#REF!</v>
      </c>
      <c r="DZ115" t="e">
        <f>AND(#REF!,"AAAAAHrvv4E=")</f>
        <v>#REF!</v>
      </c>
      <c r="EA115" t="e">
        <f>AND(#REF!,"AAAAAHrvv4I=")</f>
        <v>#REF!</v>
      </c>
      <c r="EB115" t="e">
        <f>AND(#REF!,"AAAAAHrvv4M=")</f>
        <v>#REF!</v>
      </c>
      <c r="EC115" t="e">
        <f>AND(#REF!,"AAAAAHrvv4Q=")</f>
        <v>#REF!</v>
      </c>
      <c r="ED115" t="e">
        <f>AND(#REF!,"AAAAAHrvv4U=")</f>
        <v>#REF!</v>
      </c>
      <c r="EE115" t="e">
        <f>AND(#REF!,"AAAAAHrvv4Y=")</f>
        <v>#REF!</v>
      </c>
      <c r="EF115" t="e">
        <f>AND(#REF!,"AAAAAHrvv4c=")</f>
        <v>#REF!</v>
      </c>
      <c r="EG115" t="e">
        <f>AND(#REF!,"AAAAAHrvv4g=")</f>
        <v>#REF!</v>
      </c>
      <c r="EH115" t="e">
        <f>AND(#REF!,"AAAAAHrvv4k=")</f>
        <v>#REF!</v>
      </c>
      <c r="EI115" t="e">
        <f>AND(#REF!,"AAAAAHrvv4o=")</f>
        <v>#REF!</v>
      </c>
      <c r="EJ115" t="e">
        <f>AND(#REF!,"AAAAAHrvv4s=")</f>
        <v>#REF!</v>
      </c>
      <c r="EK115" t="e">
        <f>AND(#REF!,"AAAAAHrvv4w=")</f>
        <v>#REF!</v>
      </c>
      <c r="EL115" t="e">
        <f>AND(#REF!,"AAAAAHrvv40=")</f>
        <v>#REF!</v>
      </c>
      <c r="EM115" t="e">
        <f>AND(#REF!,"AAAAAHrvv44=")</f>
        <v>#REF!</v>
      </c>
      <c r="EN115" t="e">
        <f>AND(#REF!,"AAAAAHrvv48=")</f>
        <v>#REF!</v>
      </c>
      <c r="EO115" t="e">
        <f>AND(#REF!,"AAAAAHrvv5A=")</f>
        <v>#REF!</v>
      </c>
      <c r="EP115" t="e">
        <f>AND(#REF!,"AAAAAHrvv5E=")</f>
        <v>#REF!</v>
      </c>
      <c r="EQ115" t="e">
        <f>AND(#REF!,"AAAAAHrvv5I=")</f>
        <v>#REF!</v>
      </c>
      <c r="ER115" t="e">
        <f>AND(#REF!,"AAAAAHrvv5M=")</f>
        <v>#REF!</v>
      </c>
      <c r="ES115" t="e">
        <f>AND(#REF!,"AAAAAHrvv5Q=")</f>
        <v>#REF!</v>
      </c>
      <c r="ET115" t="e">
        <f>AND(#REF!,"AAAAAHrvv5U=")</f>
        <v>#REF!</v>
      </c>
      <c r="EU115" t="e">
        <f>AND(#REF!,"AAAAAHrvv5Y=")</f>
        <v>#REF!</v>
      </c>
      <c r="EV115" t="e">
        <f>AND(#REF!,"AAAAAHrvv5c=")</f>
        <v>#REF!</v>
      </c>
      <c r="EW115" t="e">
        <f>AND(#REF!,"AAAAAHrvv5g=")</f>
        <v>#REF!</v>
      </c>
      <c r="EX115" t="e">
        <f>AND(#REF!,"AAAAAHrvv5k=")</f>
        <v>#REF!</v>
      </c>
      <c r="EY115" t="e">
        <f>AND(#REF!,"AAAAAHrvv5o=")</f>
        <v>#REF!</v>
      </c>
      <c r="EZ115" t="e">
        <f>AND(#REF!,"AAAAAHrvv5s=")</f>
        <v>#REF!</v>
      </c>
      <c r="FA115" t="e">
        <f>AND(#REF!,"AAAAAHrvv5w=")</f>
        <v>#REF!</v>
      </c>
      <c r="FB115" t="e">
        <f>AND(#REF!,"AAAAAHrvv50=")</f>
        <v>#REF!</v>
      </c>
      <c r="FC115" t="e">
        <f>AND(#REF!,"AAAAAHrvv54=")</f>
        <v>#REF!</v>
      </c>
      <c r="FD115" t="e">
        <f>AND(#REF!,"AAAAAHrvv58=")</f>
        <v>#REF!</v>
      </c>
      <c r="FE115" t="e">
        <f>AND(#REF!,"AAAAAHrvv6A=")</f>
        <v>#REF!</v>
      </c>
      <c r="FF115" t="e">
        <f>AND(#REF!,"AAAAAHrvv6E=")</f>
        <v>#REF!</v>
      </c>
      <c r="FG115" t="e">
        <f>AND(#REF!,"AAAAAHrvv6I=")</f>
        <v>#REF!</v>
      </c>
      <c r="FH115" t="e">
        <f>AND(#REF!,"AAAAAHrvv6M=")</f>
        <v>#REF!</v>
      </c>
      <c r="FI115" t="e">
        <f>AND(#REF!,"AAAAAHrvv6Q=")</f>
        <v>#REF!</v>
      </c>
      <c r="FJ115" t="e">
        <f>AND(#REF!,"AAAAAHrvv6U=")</f>
        <v>#REF!</v>
      </c>
      <c r="FK115" t="e">
        <f>AND(#REF!,"AAAAAHrvv6Y=")</f>
        <v>#REF!</v>
      </c>
      <c r="FL115" t="e">
        <f>AND(#REF!,"AAAAAHrvv6c=")</f>
        <v>#REF!</v>
      </c>
      <c r="FM115" t="e">
        <f>AND(#REF!,"AAAAAHrvv6g=")</f>
        <v>#REF!</v>
      </c>
      <c r="FN115" t="e">
        <f>AND(#REF!,"AAAAAHrvv6k=")</f>
        <v>#REF!</v>
      </c>
      <c r="FO115" t="e">
        <f>AND(#REF!,"AAAAAHrvv6o=")</f>
        <v>#REF!</v>
      </c>
      <c r="FP115" t="e">
        <f>AND(#REF!,"AAAAAHrvv6s=")</f>
        <v>#REF!</v>
      </c>
      <c r="FQ115" t="e">
        <f>AND(#REF!,"AAAAAHrvv6w=")</f>
        <v>#REF!</v>
      </c>
      <c r="FR115" t="e">
        <f>AND(#REF!,"AAAAAHrvv60=")</f>
        <v>#REF!</v>
      </c>
      <c r="FS115" t="e">
        <f>AND(#REF!,"AAAAAHrvv64=")</f>
        <v>#REF!</v>
      </c>
      <c r="FT115" t="e">
        <f>AND(#REF!,"AAAAAHrvv68=")</f>
        <v>#REF!</v>
      </c>
      <c r="FU115" t="e">
        <f>AND(#REF!,"AAAAAHrvv7A=")</f>
        <v>#REF!</v>
      </c>
      <c r="FV115" t="e">
        <f>AND(#REF!,"AAAAAHrvv7E=")</f>
        <v>#REF!</v>
      </c>
      <c r="FW115" t="e">
        <f>AND(#REF!,"AAAAAHrvv7I=")</f>
        <v>#REF!</v>
      </c>
      <c r="FX115" t="e">
        <f>AND(#REF!,"AAAAAHrvv7M=")</f>
        <v>#REF!</v>
      </c>
      <c r="FY115" t="e">
        <f>AND(#REF!,"AAAAAHrvv7Q=")</f>
        <v>#REF!</v>
      </c>
      <c r="FZ115" t="e">
        <f>AND(#REF!,"AAAAAHrvv7U=")</f>
        <v>#REF!</v>
      </c>
      <c r="GA115" t="e">
        <f>AND(#REF!,"AAAAAHrvv7Y=")</f>
        <v>#REF!</v>
      </c>
      <c r="GB115" t="e">
        <f>AND(#REF!,"AAAAAHrvv7c=")</f>
        <v>#REF!</v>
      </c>
      <c r="GC115" t="e">
        <f>AND(#REF!,"AAAAAHrvv7g=")</f>
        <v>#REF!</v>
      </c>
      <c r="GD115" t="e">
        <f>AND(#REF!,"AAAAAHrvv7k=")</f>
        <v>#REF!</v>
      </c>
      <c r="GE115" t="e">
        <f>AND(#REF!,"AAAAAHrvv7o=")</f>
        <v>#REF!</v>
      </c>
      <c r="GF115" t="e">
        <f>AND(#REF!,"AAAAAHrvv7s=")</f>
        <v>#REF!</v>
      </c>
      <c r="GG115" t="e">
        <f>AND(#REF!,"AAAAAHrvv7w=")</f>
        <v>#REF!</v>
      </c>
      <c r="GH115" t="e">
        <f>AND(#REF!,"AAAAAHrvv70=")</f>
        <v>#REF!</v>
      </c>
      <c r="GI115" t="e">
        <f>AND(#REF!,"AAAAAHrvv74=")</f>
        <v>#REF!</v>
      </c>
      <c r="GJ115" t="e">
        <f>AND(#REF!,"AAAAAHrvv78=")</f>
        <v>#REF!</v>
      </c>
      <c r="GK115" t="e">
        <f>AND(#REF!,"AAAAAHrvv8A=")</f>
        <v>#REF!</v>
      </c>
      <c r="GL115" t="e">
        <f>AND(#REF!,"AAAAAHrvv8E=")</f>
        <v>#REF!</v>
      </c>
      <c r="GM115" t="e">
        <f>AND(#REF!,"AAAAAHrvv8I=")</f>
        <v>#REF!</v>
      </c>
      <c r="GN115" t="e">
        <f>AND(#REF!,"AAAAAHrvv8M=")</f>
        <v>#REF!</v>
      </c>
      <c r="GO115" t="e">
        <f>AND(#REF!,"AAAAAHrvv8Q=")</f>
        <v>#REF!</v>
      </c>
      <c r="GP115" t="e">
        <f>AND(#REF!,"AAAAAHrvv8U=")</f>
        <v>#REF!</v>
      </c>
      <c r="GQ115" t="e">
        <f>AND(#REF!,"AAAAAHrvv8Y=")</f>
        <v>#REF!</v>
      </c>
      <c r="GR115" t="e">
        <f>AND(#REF!,"AAAAAHrvv8c=")</f>
        <v>#REF!</v>
      </c>
      <c r="GS115" t="e">
        <f>AND(#REF!,"AAAAAHrvv8g=")</f>
        <v>#REF!</v>
      </c>
      <c r="GT115" t="e">
        <f>AND(#REF!,"AAAAAHrvv8k=")</f>
        <v>#REF!</v>
      </c>
      <c r="GU115" t="e">
        <f>AND(#REF!,"AAAAAHrvv8o=")</f>
        <v>#REF!</v>
      </c>
      <c r="GV115" t="e">
        <f>AND(#REF!,"AAAAAHrvv8s=")</f>
        <v>#REF!</v>
      </c>
      <c r="GW115" t="e">
        <f>AND(#REF!,"AAAAAHrvv8w=")</f>
        <v>#REF!</v>
      </c>
      <c r="GX115" t="e">
        <f>AND(#REF!,"AAAAAHrvv80=")</f>
        <v>#REF!</v>
      </c>
      <c r="GY115" t="e">
        <f>AND(#REF!,"AAAAAHrvv84=")</f>
        <v>#REF!</v>
      </c>
      <c r="GZ115" t="e">
        <f>AND(#REF!,"AAAAAHrvv88=")</f>
        <v>#REF!</v>
      </c>
      <c r="HA115" t="e">
        <f>AND(#REF!,"AAAAAHrvv9A=")</f>
        <v>#REF!</v>
      </c>
      <c r="HB115" t="e">
        <f>AND(#REF!,"AAAAAHrvv9E=")</f>
        <v>#REF!</v>
      </c>
      <c r="HC115" t="e">
        <f>AND(#REF!,"AAAAAHrvv9I=")</f>
        <v>#REF!</v>
      </c>
      <c r="HD115" t="e">
        <f>AND(#REF!,"AAAAAHrvv9M=")</f>
        <v>#REF!</v>
      </c>
      <c r="HE115" t="e">
        <f>AND(#REF!,"AAAAAHrvv9Q=")</f>
        <v>#REF!</v>
      </c>
      <c r="HF115" t="e">
        <f>AND(#REF!,"AAAAAHrvv9U=")</f>
        <v>#REF!</v>
      </c>
      <c r="HG115" t="e">
        <f>AND(#REF!,"AAAAAHrvv9Y=")</f>
        <v>#REF!</v>
      </c>
      <c r="HH115" t="e">
        <f>AND(#REF!,"AAAAAHrvv9c=")</f>
        <v>#REF!</v>
      </c>
      <c r="HI115" t="e">
        <f>AND(#REF!,"AAAAAHrvv9g=")</f>
        <v>#REF!</v>
      </c>
      <c r="HJ115" t="e">
        <f>AND(#REF!,"AAAAAHrvv9k=")</f>
        <v>#REF!</v>
      </c>
      <c r="HK115" t="e">
        <f>AND(#REF!,"AAAAAHrvv9o=")</f>
        <v>#REF!</v>
      </c>
      <c r="HL115" t="e">
        <f>AND(#REF!,"AAAAAHrvv9s=")</f>
        <v>#REF!</v>
      </c>
      <c r="HM115" t="e">
        <f>AND(#REF!,"AAAAAHrvv9w=")</f>
        <v>#REF!</v>
      </c>
      <c r="HN115" t="e">
        <f>AND(#REF!,"AAAAAHrvv90=")</f>
        <v>#REF!</v>
      </c>
      <c r="HO115" t="e">
        <f>AND(#REF!,"AAAAAHrvv94=")</f>
        <v>#REF!</v>
      </c>
      <c r="HP115" t="e">
        <f>AND(#REF!,"AAAAAHrvv98=")</f>
        <v>#REF!</v>
      </c>
      <c r="HQ115" t="e">
        <f>AND(#REF!,"AAAAAHrvv+A=")</f>
        <v>#REF!</v>
      </c>
      <c r="HR115" t="e">
        <f>AND(#REF!,"AAAAAHrvv+E=")</f>
        <v>#REF!</v>
      </c>
      <c r="HS115" t="e">
        <f>AND(#REF!,"AAAAAHrvv+I=")</f>
        <v>#REF!</v>
      </c>
      <c r="HT115" t="e">
        <f>AND(#REF!,"AAAAAHrvv+M=")</f>
        <v>#REF!</v>
      </c>
      <c r="HU115" t="e">
        <f>AND(#REF!,"AAAAAHrvv+Q=")</f>
        <v>#REF!</v>
      </c>
      <c r="HV115" t="e">
        <f>AND(#REF!,"AAAAAHrvv+U=")</f>
        <v>#REF!</v>
      </c>
      <c r="HW115" t="e">
        <f>AND(#REF!,"AAAAAHrvv+Y=")</f>
        <v>#REF!</v>
      </c>
      <c r="HX115" t="e">
        <f>AND(#REF!,"AAAAAHrvv+c=")</f>
        <v>#REF!</v>
      </c>
      <c r="HY115" t="e">
        <f>AND(#REF!,"AAAAAHrvv+g=")</f>
        <v>#REF!</v>
      </c>
      <c r="HZ115" t="e">
        <f>AND(#REF!,"AAAAAHrvv+k=")</f>
        <v>#REF!</v>
      </c>
      <c r="IA115" t="e">
        <f>AND(#REF!,"AAAAAHrvv+o=")</f>
        <v>#REF!</v>
      </c>
      <c r="IB115" t="e">
        <f>AND(#REF!,"AAAAAHrvv+s=")</f>
        <v>#REF!</v>
      </c>
      <c r="IC115" t="e">
        <f>AND(#REF!,"AAAAAHrvv+w=")</f>
        <v>#REF!</v>
      </c>
      <c r="ID115" t="e">
        <f>AND(#REF!,"AAAAAHrvv+0=")</f>
        <v>#REF!</v>
      </c>
      <c r="IE115" t="e">
        <f>AND(#REF!,"AAAAAHrvv+4=")</f>
        <v>#REF!</v>
      </c>
      <c r="IF115" t="e">
        <f>AND(#REF!,"AAAAAHrvv+8=")</f>
        <v>#REF!</v>
      </c>
      <c r="IG115" t="e">
        <f>AND(#REF!,"AAAAAHrvv/A=")</f>
        <v>#REF!</v>
      </c>
      <c r="IH115" t="e">
        <f>AND(#REF!,"AAAAAHrvv/E=")</f>
        <v>#REF!</v>
      </c>
      <c r="II115" t="e">
        <f>AND(#REF!,"AAAAAHrvv/I=")</f>
        <v>#REF!</v>
      </c>
      <c r="IJ115" t="e">
        <f>AND(#REF!,"AAAAAHrvv/M=")</f>
        <v>#REF!</v>
      </c>
      <c r="IK115" t="e">
        <f>AND(#REF!,"AAAAAHrvv/Q=")</f>
        <v>#REF!</v>
      </c>
      <c r="IL115" t="e">
        <f>AND(#REF!,"AAAAAHrvv/U=")</f>
        <v>#REF!</v>
      </c>
      <c r="IM115" t="e">
        <f>AND(#REF!,"AAAAAHrvv/Y=")</f>
        <v>#REF!</v>
      </c>
      <c r="IN115" t="e">
        <f>AND(#REF!,"AAAAAHrvv/c=")</f>
        <v>#REF!</v>
      </c>
      <c r="IO115" t="e">
        <f>AND(#REF!,"AAAAAHrvv/g=")</f>
        <v>#REF!</v>
      </c>
      <c r="IP115" t="e">
        <f>AND(#REF!,"AAAAAHrvv/k=")</f>
        <v>#REF!</v>
      </c>
      <c r="IQ115" t="e">
        <f>AND(#REF!,"AAAAAHrvv/o=")</f>
        <v>#REF!</v>
      </c>
      <c r="IR115" t="e">
        <f>AND(#REF!,"AAAAAHrvv/s=")</f>
        <v>#REF!</v>
      </c>
      <c r="IS115" t="e">
        <f>AND(#REF!,"AAAAAHrvv/w=")</f>
        <v>#REF!</v>
      </c>
      <c r="IT115" t="e">
        <f>AND(#REF!,"AAAAAHrvv/0=")</f>
        <v>#REF!</v>
      </c>
      <c r="IU115" t="e">
        <f>AND(#REF!,"AAAAAHrvv/4=")</f>
        <v>#REF!</v>
      </c>
      <c r="IV115" t="e">
        <f>AND(#REF!,"AAAAAHrvv/8=")</f>
        <v>#REF!</v>
      </c>
    </row>
    <row r="116" spans="1:256">
      <c r="A116" t="e">
        <f>AND(#REF!,"AAAAAH/v3wA=")</f>
        <v>#REF!</v>
      </c>
      <c r="B116" t="e">
        <f>AND(#REF!,"AAAAAH/v3wE=")</f>
        <v>#REF!</v>
      </c>
      <c r="C116" t="e">
        <f>AND(#REF!,"AAAAAH/v3wI=")</f>
        <v>#REF!</v>
      </c>
      <c r="D116" t="e">
        <f>AND(#REF!,"AAAAAH/v3wM=")</f>
        <v>#REF!</v>
      </c>
      <c r="E116" t="e">
        <f>AND(#REF!,"AAAAAH/v3wQ=")</f>
        <v>#REF!</v>
      </c>
      <c r="F116" t="e">
        <f>AND(#REF!,"AAAAAH/v3wU=")</f>
        <v>#REF!</v>
      </c>
      <c r="G116" t="e">
        <f>AND(#REF!,"AAAAAH/v3wY=")</f>
        <v>#REF!</v>
      </c>
      <c r="H116" t="e">
        <f>AND(#REF!,"AAAAAH/v3wc=")</f>
        <v>#REF!</v>
      </c>
      <c r="I116" t="e">
        <f>AND(#REF!,"AAAAAH/v3wg=")</f>
        <v>#REF!</v>
      </c>
      <c r="J116" t="e">
        <f>AND(#REF!,"AAAAAH/v3wk=")</f>
        <v>#REF!</v>
      </c>
      <c r="K116" t="e">
        <f>AND(#REF!,"AAAAAH/v3wo=")</f>
        <v>#REF!</v>
      </c>
      <c r="L116" t="e">
        <f>AND(#REF!,"AAAAAH/v3ws=")</f>
        <v>#REF!</v>
      </c>
      <c r="M116" t="e">
        <f>AND(#REF!,"AAAAAH/v3ww=")</f>
        <v>#REF!</v>
      </c>
      <c r="N116" t="e">
        <f>AND(#REF!,"AAAAAH/v3w0=")</f>
        <v>#REF!</v>
      </c>
      <c r="O116" t="e">
        <f>AND(#REF!,"AAAAAH/v3w4=")</f>
        <v>#REF!</v>
      </c>
      <c r="P116" t="e">
        <f>AND(#REF!,"AAAAAH/v3w8=")</f>
        <v>#REF!</v>
      </c>
      <c r="Q116" t="e">
        <f>AND(#REF!,"AAAAAH/v3xA=")</f>
        <v>#REF!</v>
      </c>
      <c r="R116" t="e">
        <f>AND(#REF!,"AAAAAH/v3xE=")</f>
        <v>#REF!</v>
      </c>
      <c r="S116" t="e">
        <f>AND(#REF!,"AAAAAH/v3xI=")</f>
        <v>#REF!</v>
      </c>
      <c r="T116" t="e">
        <f>AND(#REF!,"AAAAAH/v3xM=")</f>
        <v>#REF!</v>
      </c>
      <c r="U116" t="e">
        <f>AND(#REF!,"AAAAAH/v3xQ=")</f>
        <v>#REF!</v>
      </c>
      <c r="V116" t="e">
        <f>AND(#REF!,"AAAAAH/v3xU=")</f>
        <v>#REF!</v>
      </c>
      <c r="W116" t="e">
        <f>AND(#REF!,"AAAAAH/v3xY=")</f>
        <v>#REF!</v>
      </c>
      <c r="X116" t="e">
        <f>AND(#REF!,"AAAAAH/v3xc=")</f>
        <v>#REF!</v>
      </c>
      <c r="Y116" t="e">
        <f>AND(#REF!,"AAAAAH/v3xg=")</f>
        <v>#REF!</v>
      </c>
      <c r="Z116" t="e">
        <f>AND(#REF!,"AAAAAH/v3xk=")</f>
        <v>#REF!</v>
      </c>
      <c r="AA116" t="e">
        <f>AND(#REF!,"AAAAAH/v3xo=")</f>
        <v>#REF!</v>
      </c>
      <c r="AB116" t="e">
        <f>AND(#REF!,"AAAAAH/v3xs=")</f>
        <v>#REF!</v>
      </c>
      <c r="AC116" t="e">
        <f>AND(#REF!,"AAAAAH/v3xw=")</f>
        <v>#REF!</v>
      </c>
      <c r="AD116" t="e">
        <f>AND(#REF!,"AAAAAH/v3x0=")</f>
        <v>#REF!</v>
      </c>
      <c r="AE116" t="e">
        <f>AND(#REF!,"AAAAAH/v3x4=")</f>
        <v>#REF!</v>
      </c>
      <c r="AF116" t="e">
        <f>AND(#REF!,"AAAAAH/v3x8=")</f>
        <v>#REF!</v>
      </c>
      <c r="AG116" t="e">
        <f>AND(#REF!,"AAAAAH/v3yA=")</f>
        <v>#REF!</v>
      </c>
      <c r="AH116" t="e">
        <f>AND(#REF!,"AAAAAH/v3yE=")</f>
        <v>#REF!</v>
      </c>
      <c r="AI116" t="e">
        <f>AND(#REF!,"AAAAAH/v3yI=")</f>
        <v>#REF!</v>
      </c>
      <c r="AJ116" t="e">
        <f>AND(#REF!,"AAAAAH/v3yM=")</f>
        <v>#REF!</v>
      </c>
      <c r="AK116" t="e">
        <f>AND(#REF!,"AAAAAH/v3yQ=")</f>
        <v>#REF!</v>
      </c>
      <c r="AL116" t="e">
        <f>AND(#REF!,"AAAAAH/v3yU=")</f>
        <v>#REF!</v>
      </c>
      <c r="AM116" t="e">
        <f>AND(#REF!,"AAAAAH/v3yY=")</f>
        <v>#REF!</v>
      </c>
      <c r="AN116" t="e">
        <f>AND(#REF!,"AAAAAH/v3yc=")</f>
        <v>#REF!</v>
      </c>
      <c r="AO116" t="e">
        <f>AND(#REF!,"AAAAAH/v3yg=")</f>
        <v>#REF!</v>
      </c>
      <c r="AP116" t="e">
        <f>AND(#REF!,"AAAAAH/v3yk=")</f>
        <v>#REF!</v>
      </c>
      <c r="AQ116" t="e">
        <f>AND(#REF!,"AAAAAH/v3yo=")</f>
        <v>#REF!</v>
      </c>
      <c r="AR116" t="e">
        <f>AND(#REF!,"AAAAAH/v3ys=")</f>
        <v>#REF!</v>
      </c>
      <c r="AS116" t="e">
        <f>AND(#REF!,"AAAAAH/v3yw=")</f>
        <v>#REF!</v>
      </c>
      <c r="AT116" t="e">
        <f>AND(#REF!,"AAAAAH/v3y0=")</f>
        <v>#REF!</v>
      </c>
      <c r="AU116" t="e">
        <f>AND(#REF!,"AAAAAH/v3y4=")</f>
        <v>#REF!</v>
      </c>
      <c r="AV116" t="e">
        <f>AND(#REF!,"AAAAAH/v3y8=")</f>
        <v>#REF!</v>
      </c>
      <c r="AW116" t="e">
        <f>AND(#REF!,"AAAAAH/v3zA=")</f>
        <v>#REF!</v>
      </c>
      <c r="AX116" t="e">
        <f>AND(#REF!,"AAAAAH/v3zE=")</f>
        <v>#REF!</v>
      </c>
      <c r="AY116" t="e">
        <f>AND(#REF!,"AAAAAH/v3zI=")</f>
        <v>#REF!</v>
      </c>
      <c r="AZ116" t="e">
        <f>AND(#REF!,"AAAAAH/v3zM=")</f>
        <v>#REF!</v>
      </c>
      <c r="BA116" t="e">
        <f>AND(#REF!,"AAAAAH/v3zQ=")</f>
        <v>#REF!</v>
      </c>
      <c r="BB116" t="e">
        <f>AND(#REF!,"AAAAAH/v3zU=")</f>
        <v>#REF!</v>
      </c>
      <c r="BC116" t="e">
        <f>AND(#REF!,"AAAAAH/v3zY=")</f>
        <v>#REF!</v>
      </c>
      <c r="BD116" t="e">
        <f>AND(#REF!,"AAAAAH/v3zc=")</f>
        <v>#REF!</v>
      </c>
      <c r="BE116" t="e">
        <f>AND(#REF!,"AAAAAH/v3zg=")</f>
        <v>#REF!</v>
      </c>
      <c r="BF116" t="e">
        <f>AND(#REF!,"AAAAAH/v3zk=")</f>
        <v>#REF!</v>
      </c>
      <c r="BG116" t="e">
        <f>AND(#REF!,"AAAAAH/v3zo=")</f>
        <v>#REF!</v>
      </c>
      <c r="BH116" t="e">
        <f>AND(#REF!,"AAAAAH/v3zs=")</f>
        <v>#REF!</v>
      </c>
      <c r="BI116" t="e">
        <f>AND(#REF!,"AAAAAH/v3zw=")</f>
        <v>#REF!</v>
      </c>
      <c r="BJ116" t="e">
        <f>AND(#REF!,"AAAAAH/v3z0=")</f>
        <v>#REF!</v>
      </c>
      <c r="BK116" t="e">
        <f>AND(#REF!,"AAAAAH/v3z4=")</f>
        <v>#REF!</v>
      </c>
      <c r="BL116" t="e">
        <f>AND(#REF!,"AAAAAH/v3z8=")</f>
        <v>#REF!</v>
      </c>
      <c r="BM116" t="e">
        <f>AND(#REF!,"AAAAAH/v30A=")</f>
        <v>#REF!</v>
      </c>
      <c r="BN116" t="e">
        <f>AND(#REF!,"AAAAAH/v30E=")</f>
        <v>#REF!</v>
      </c>
      <c r="BO116" t="e">
        <f>AND(#REF!,"AAAAAH/v30I=")</f>
        <v>#REF!</v>
      </c>
      <c r="BP116" t="e">
        <f>AND(#REF!,"AAAAAH/v30M=")</f>
        <v>#REF!</v>
      </c>
      <c r="BQ116" t="e">
        <f>AND(#REF!,"AAAAAH/v30Q=")</f>
        <v>#REF!</v>
      </c>
      <c r="BR116" t="e">
        <f>AND(#REF!,"AAAAAH/v30U=")</f>
        <v>#REF!</v>
      </c>
      <c r="BS116" t="e">
        <f>AND(#REF!,"AAAAAH/v30Y=")</f>
        <v>#REF!</v>
      </c>
      <c r="BT116" t="e">
        <f>AND(#REF!,"AAAAAH/v30c=")</f>
        <v>#REF!</v>
      </c>
      <c r="BU116" t="e">
        <f>AND(#REF!,"AAAAAH/v30g=")</f>
        <v>#REF!</v>
      </c>
      <c r="BV116" t="e">
        <f>AND(#REF!,"AAAAAH/v30k=")</f>
        <v>#REF!</v>
      </c>
      <c r="BW116" t="e">
        <f>AND(#REF!,"AAAAAH/v30o=")</f>
        <v>#REF!</v>
      </c>
      <c r="BX116" t="e">
        <f>AND(#REF!,"AAAAAH/v30s=")</f>
        <v>#REF!</v>
      </c>
      <c r="BY116" t="e">
        <f>AND(#REF!,"AAAAAH/v30w=")</f>
        <v>#REF!</v>
      </c>
      <c r="BZ116" t="e">
        <f>AND(#REF!,"AAAAAH/v300=")</f>
        <v>#REF!</v>
      </c>
      <c r="CA116" t="e">
        <f>AND(#REF!,"AAAAAH/v304=")</f>
        <v>#REF!</v>
      </c>
      <c r="CB116" t="e">
        <f>AND(#REF!,"AAAAAH/v308=")</f>
        <v>#REF!</v>
      </c>
      <c r="CC116" t="e">
        <f>AND(#REF!,"AAAAAH/v31A=")</f>
        <v>#REF!</v>
      </c>
      <c r="CD116" t="e">
        <f>AND(#REF!,"AAAAAH/v31E=")</f>
        <v>#REF!</v>
      </c>
      <c r="CE116" t="e">
        <f>AND(#REF!,"AAAAAH/v31I=")</f>
        <v>#REF!</v>
      </c>
      <c r="CF116" t="e">
        <f>AND(#REF!,"AAAAAH/v31M=")</f>
        <v>#REF!</v>
      </c>
      <c r="CG116" t="e">
        <f>AND(#REF!,"AAAAAH/v31Q=")</f>
        <v>#REF!</v>
      </c>
      <c r="CH116" t="e">
        <f>AND(#REF!,"AAAAAH/v31U=")</f>
        <v>#REF!</v>
      </c>
      <c r="CI116" t="e">
        <f>AND(#REF!,"AAAAAH/v31Y=")</f>
        <v>#REF!</v>
      </c>
      <c r="CJ116" t="e">
        <f>AND(#REF!,"AAAAAH/v31c=")</f>
        <v>#REF!</v>
      </c>
      <c r="CK116" t="e">
        <f>AND(#REF!,"AAAAAH/v31g=")</f>
        <v>#REF!</v>
      </c>
      <c r="CL116" t="e">
        <f>AND(#REF!,"AAAAAH/v31k=")</f>
        <v>#REF!</v>
      </c>
      <c r="CM116" t="e">
        <f>AND(#REF!,"AAAAAH/v31o=")</f>
        <v>#REF!</v>
      </c>
      <c r="CN116" t="e">
        <f>AND(#REF!,"AAAAAH/v31s=")</f>
        <v>#REF!</v>
      </c>
      <c r="CO116" t="e">
        <f>AND(#REF!,"AAAAAH/v31w=")</f>
        <v>#REF!</v>
      </c>
      <c r="CP116" t="e">
        <f>AND(#REF!,"AAAAAH/v310=")</f>
        <v>#REF!</v>
      </c>
      <c r="CQ116" t="e">
        <f>AND(#REF!,"AAAAAH/v314=")</f>
        <v>#REF!</v>
      </c>
      <c r="CR116" t="e">
        <f>AND(#REF!,"AAAAAH/v318=")</f>
        <v>#REF!</v>
      </c>
      <c r="CS116" t="e">
        <f>AND(#REF!,"AAAAAH/v32A=")</f>
        <v>#REF!</v>
      </c>
      <c r="CT116" t="e">
        <f>AND(#REF!,"AAAAAH/v32E=")</f>
        <v>#REF!</v>
      </c>
      <c r="CU116" t="e">
        <f>AND(#REF!,"AAAAAH/v32I=")</f>
        <v>#REF!</v>
      </c>
      <c r="CV116" t="e">
        <f>AND(#REF!,"AAAAAH/v32M=")</f>
        <v>#REF!</v>
      </c>
      <c r="CW116" t="e">
        <f>AND(#REF!,"AAAAAH/v32Q=")</f>
        <v>#REF!</v>
      </c>
      <c r="CX116" t="e">
        <f>AND(#REF!,"AAAAAH/v32U=")</f>
        <v>#REF!</v>
      </c>
      <c r="CY116" t="e">
        <f>AND(#REF!,"AAAAAH/v32Y=")</f>
        <v>#REF!</v>
      </c>
      <c r="CZ116" t="e">
        <f>AND(#REF!,"AAAAAH/v32c=")</f>
        <v>#REF!</v>
      </c>
      <c r="DA116" t="e">
        <f>AND(#REF!,"AAAAAH/v32g=")</f>
        <v>#REF!</v>
      </c>
      <c r="DB116" t="e">
        <f>AND(#REF!,"AAAAAH/v32k=")</f>
        <v>#REF!</v>
      </c>
      <c r="DC116" t="e">
        <f>AND(#REF!,"AAAAAH/v32o=")</f>
        <v>#REF!</v>
      </c>
      <c r="DD116" t="e">
        <f>AND(#REF!,"AAAAAH/v32s=")</f>
        <v>#REF!</v>
      </c>
      <c r="DE116" t="e">
        <f>AND(#REF!,"AAAAAH/v32w=")</f>
        <v>#REF!</v>
      </c>
      <c r="DF116" t="e">
        <f>AND(#REF!,"AAAAAH/v320=")</f>
        <v>#REF!</v>
      </c>
      <c r="DG116" t="e">
        <f>AND(#REF!,"AAAAAH/v324=")</f>
        <v>#REF!</v>
      </c>
      <c r="DH116" t="e">
        <f>AND(#REF!,"AAAAAH/v328=")</f>
        <v>#REF!</v>
      </c>
      <c r="DI116" t="e">
        <f>AND(#REF!,"AAAAAH/v33A=")</f>
        <v>#REF!</v>
      </c>
      <c r="DJ116" t="e">
        <f>AND(#REF!,"AAAAAH/v33E=")</f>
        <v>#REF!</v>
      </c>
      <c r="DK116" t="e">
        <f>AND(#REF!,"AAAAAH/v33I=")</f>
        <v>#REF!</v>
      </c>
      <c r="DL116" t="e">
        <f>AND(#REF!,"AAAAAH/v33M=")</f>
        <v>#REF!</v>
      </c>
      <c r="DM116" t="e">
        <f>AND(#REF!,"AAAAAH/v33Q=")</f>
        <v>#REF!</v>
      </c>
      <c r="DN116" t="e">
        <f>AND(#REF!,"AAAAAH/v33U=")</f>
        <v>#REF!</v>
      </c>
      <c r="DO116" t="e">
        <f>AND(#REF!,"AAAAAH/v33Y=")</f>
        <v>#REF!</v>
      </c>
      <c r="DP116" t="e">
        <f>AND(#REF!,"AAAAAH/v33c=")</f>
        <v>#REF!</v>
      </c>
      <c r="DQ116" t="e">
        <f>AND(#REF!,"AAAAAH/v33g=")</f>
        <v>#REF!</v>
      </c>
      <c r="DR116" t="e">
        <f>AND(#REF!,"AAAAAH/v33k=")</f>
        <v>#REF!</v>
      </c>
      <c r="DS116" t="e">
        <f>AND(#REF!,"AAAAAH/v33o=")</f>
        <v>#REF!</v>
      </c>
      <c r="DT116" t="e">
        <f>AND(#REF!,"AAAAAH/v33s=")</f>
        <v>#REF!</v>
      </c>
      <c r="DU116" t="e">
        <f>AND(#REF!,"AAAAAH/v33w=")</f>
        <v>#REF!</v>
      </c>
      <c r="DV116" t="e">
        <f>AND(#REF!,"AAAAAH/v330=")</f>
        <v>#REF!</v>
      </c>
      <c r="DW116" t="e">
        <f>AND(#REF!,"AAAAAH/v334=")</f>
        <v>#REF!</v>
      </c>
      <c r="DX116" t="e">
        <f>AND(#REF!,"AAAAAH/v338=")</f>
        <v>#REF!</v>
      </c>
      <c r="DY116" t="e">
        <f>AND(#REF!,"AAAAAH/v34A=")</f>
        <v>#REF!</v>
      </c>
      <c r="DZ116" t="e">
        <f>AND(#REF!,"AAAAAH/v34E=")</f>
        <v>#REF!</v>
      </c>
      <c r="EA116" t="e">
        <f>AND(#REF!,"AAAAAH/v34I=")</f>
        <v>#REF!</v>
      </c>
      <c r="EB116" t="e">
        <f>AND(#REF!,"AAAAAH/v34M=")</f>
        <v>#REF!</v>
      </c>
      <c r="EC116" t="e">
        <f>AND(#REF!,"AAAAAH/v34Q=")</f>
        <v>#REF!</v>
      </c>
      <c r="ED116" t="e">
        <f>AND(#REF!,"AAAAAH/v34U=")</f>
        <v>#REF!</v>
      </c>
      <c r="EE116" t="e">
        <f>AND(#REF!,"AAAAAH/v34Y=")</f>
        <v>#REF!</v>
      </c>
      <c r="EF116" t="e">
        <f>AND(#REF!,"AAAAAH/v34c=")</f>
        <v>#REF!</v>
      </c>
      <c r="EG116" t="e">
        <f>AND(#REF!,"AAAAAH/v34g=")</f>
        <v>#REF!</v>
      </c>
      <c r="EH116" t="e">
        <f>AND(#REF!,"AAAAAH/v34k=")</f>
        <v>#REF!</v>
      </c>
      <c r="EI116" t="e">
        <f>AND(#REF!,"AAAAAH/v34o=")</f>
        <v>#REF!</v>
      </c>
      <c r="EJ116" t="e">
        <f>AND(#REF!,"AAAAAH/v34s=")</f>
        <v>#REF!</v>
      </c>
      <c r="EK116" t="e">
        <f>AND(#REF!,"AAAAAH/v34w=")</f>
        <v>#REF!</v>
      </c>
      <c r="EL116" t="e">
        <f>AND(#REF!,"AAAAAH/v340=")</f>
        <v>#REF!</v>
      </c>
      <c r="EM116" t="e">
        <f>AND(#REF!,"AAAAAH/v344=")</f>
        <v>#REF!</v>
      </c>
      <c r="EN116" t="e">
        <f>AND(#REF!,"AAAAAH/v348=")</f>
        <v>#REF!</v>
      </c>
      <c r="EO116" t="e">
        <f>AND(#REF!,"AAAAAH/v35A=")</f>
        <v>#REF!</v>
      </c>
      <c r="EP116" t="e">
        <f>AND(#REF!,"AAAAAH/v35E=")</f>
        <v>#REF!</v>
      </c>
      <c r="EQ116" t="e">
        <f>AND(#REF!,"AAAAAH/v35I=")</f>
        <v>#REF!</v>
      </c>
      <c r="ER116" t="e">
        <f>AND(#REF!,"AAAAAH/v35M=")</f>
        <v>#REF!</v>
      </c>
      <c r="ES116" t="e">
        <f>AND(#REF!,"AAAAAH/v35Q=")</f>
        <v>#REF!</v>
      </c>
      <c r="ET116" t="e">
        <f>AND(#REF!,"AAAAAH/v35U=")</f>
        <v>#REF!</v>
      </c>
      <c r="EU116" t="e">
        <f>AND(#REF!,"AAAAAH/v35Y=")</f>
        <v>#REF!</v>
      </c>
      <c r="EV116" t="e">
        <f>AND(#REF!,"AAAAAH/v35c=")</f>
        <v>#REF!</v>
      </c>
      <c r="EW116" t="e">
        <f>AND(#REF!,"AAAAAH/v35g=")</f>
        <v>#REF!</v>
      </c>
      <c r="EX116" t="e">
        <f>AND(#REF!,"AAAAAH/v35k=")</f>
        <v>#REF!</v>
      </c>
      <c r="EY116" t="e">
        <f>AND(#REF!,"AAAAAH/v35o=")</f>
        <v>#REF!</v>
      </c>
      <c r="EZ116" t="e">
        <f>AND(#REF!,"AAAAAH/v35s=")</f>
        <v>#REF!</v>
      </c>
      <c r="FA116" t="e">
        <f>AND(#REF!,"AAAAAH/v35w=")</f>
        <v>#REF!</v>
      </c>
      <c r="FB116" t="e">
        <f>AND(#REF!,"AAAAAH/v350=")</f>
        <v>#REF!</v>
      </c>
      <c r="FC116" t="e">
        <f>AND(#REF!,"AAAAAH/v354=")</f>
        <v>#REF!</v>
      </c>
      <c r="FD116" t="e">
        <f>AND(#REF!,"AAAAAH/v358=")</f>
        <v>#REF!</v>
      </c>
      <c r="FE116" t="e">
        <f>AND(#REF!,"AAAAAH/v36A=")</f>
        <v>#REF!</v>
      </c>
      <c r="FF116" t="e">
        <f>AND(#REF!,"AAAAAH/v36E=")</f>
        <v>#REF!</v>
      </c>
      <c r="FG116" t="e">
        <f>AND(#REF!,"AAAAAH/v36I=")</f>
        <v>#REF!</v>
      </c>
      <c r="FH116" t="e">
        <f>AND(#REF!,"AAAAAH/v36M=")</f>
        <v>#REF!</v>
      </c>
      <c r="FI116" t="e">
        <f>AND(#REF!,"AAAAAH/v36Q=")</f>
        <v>#REF!</v>
      </c>
      <c r="FJ116" t="e">
        <f>AND(#REF!,"AAAAAH/v36U=")</f>
        <v>#REF!</v>
      </c>
      <c r="FK116" t="e">
        <f>AND(#REF!,"AAAAAH/v36Y=")</f>
        <v>#REF!</v>
      </c>
      <c r="FL116" t="e">
        <f>AND(#REF!,"AAAAAH/v36c=")</f>
        <v>#REF!</v>
      </c>
      <c r="FM116" t="e">
        <f>AND(#REF!,"AAAAAH/v36g=")</f>
        <v>#REF!</v>
      </c>
      <c r="FN116" t="e">
        <f>AND(#REF!,"AAAAAH/v36k=")</f>
        <v>#REF!</v>
      </c>
      <c r="FO116" t="e">
        <f>AND(#REF!,"AAAAAH/v36o=")</f>
        <v>#REF!</v>
      </c>
      <c r="FP116" t="e">
        <f>AND(#REF!,"AAAAAH/v36s=")</f>
        <v>#REF!</v>
      </c>
      <c r="FQ116" t="e">
        <f>AND(#REF!,"AAAAAH/v36w=")</f>
        <v>#REF!</v>
      </c>
      <c r="FR116" t="e">
        <f>AND(#REF!,"AAAAAH/v360=")</f>
        <v>#REF!</v>
      </c>
      <c r="FS116" t="e">
        <f>AND(#REF!,"AAAAAH/v364=")</f>
        <v>#REF!</v>
      </c>
      <c r="FT116" t="e">
        <f>AND(#REF!,"AAAAAH/v368=")</f>
        <v>#REF!</v>
      </c>
      <c r="FU116" t="e">
        <f>AND(#REF!,"AAAAAH/v37A=")</f>
        <v>#REF!</v>
      </c>
      <c r="FV116" t="e">
        <f>AND(#REF!,"AAAAAH/v37E=")</f>
        <v>#REF!</v>
      </c>
      <c r="FW116" t="e">
        <f>AND(#REF!,"AAAAAH/v37I=")</f>
        <v>#REF!</v>
      </c>
      <c r="FX116" t="e">
        <f>AND(#REF!,"AAAAAH/v37M=")</f>
        <v>#REF!</v>
      </c>
      <c r="FY116" t="e">
        <f>AND(#REF!,"AAAAAH/v37Q=")</f>
        <v>#REF!</v>
      </c>
      <c r="FZ116" t="e">
        <f>AND(#REF!,"AAAAAH/v37U=")</f>
        <v>#REF!</v>
      </c>
      <c r="GA116" t="e">
        <f>AND(#REF!,"AAAAAH/v37Y=")</f>
        <v>#REF!</v>
      </c>
      <c r="GB116" t="e">
        <f>AND(#REF!,"AAAAAH/v37c=")</f>
        <v>#REF!</v>
      </c>
      <c r="GC116" t="e">
        <f>AND(#REF!,"AAAAAH/v37g=")</f>
        <v>#REF!</v>
      </c>
      <c r="GD116" t="e">
        <f>AND(#REF!,"AAAAAH/v37k=")</f>
        <v>#REF!</v>
      </c>
      <c r="GE116" t="e">
        <f>AND(#REF!,"AAAAAH/v37o=")</f>
        <v>#REF!</v>
      </c>
      <c r="GF116" t="e">
        <f>AND(#REF!,"AAAAAH/v37s=")</f>
        <v>#REF!</v>
      </c>
      <c r="GG116" t="e">
        <f>AND(#REF!,"AAAAAH/v37w=")</f>
        <v>#REF!</v>
      </c>
      <c r="GH116" t="e">
        <f>AND(#REF!,"AAAAAH/v370=")</f>
        <v>#REF!</v>
      </c>
      <c r="GI116" t="e">
        <f>AND(#REF!,"AAAAAH/v374=")</f>
        <v>#REF!</v>
      </c>
      <c r="GJ116" t="e">
        <f>AND(#REF!,"AAAAAH/v378=")</f>
        <v>#REF!</v>
      </c>
      <c r="GK116" t="e">
        <f>AND(#REF!,"AAAAAH/v38A=")</f>
        <v>#REF!</v>
      </c>
      <c r="GL116" t="e">
        <f>AND(#REF!,"AAAAAH/v38E=")</f>
        <v>#REF!</v>
      </c>
      <c r="GM116" t="e">
        <f>AND(#REF!,"AAAAAH/v38I=")</f>
        <v>#REF!</v>
      </c>
      <c r="GN116" t="e">
        <f>AND(#REF!,"AAAAAH/v38M=")</f>
        <v>#REF!</v>
      </c>
      <c r="GO116" t="e">
        <f>AND(#REF!,"AAAAAH/v38Q=")</f>
        <v>#REF!</v>
      </c>
      <c r="GP116" t="e">
        <f>AND(#REF!,"AAAAAH/v38U=")</f>
        <v>#REF!</v>
      </c>
      <c r="GQ116" t="e">
        <f>AND(#REF!,"AAAAAH/v38Y=")</f>
        <v>#REF!</v>
      </c>
      <c r="GR116" t="e">
        <f>AND(#REF!,"AAAAAH/v38c=")</f>
        <v>#REF!</v>
      </c>
      <c r="GS116" t="e">
        <f>AND(#REF!,"AAAAAH/v38g=")</f>
        <v>#REF!</v>
      </c>
      <c r="GT116" t="e">
        <f>AND(#REF!,"AAAAAH/v38k=")</f>
        <v>#REF!</v>
      </c>
      <c r="GU116" t="e">
        <f>AND(#REF!,"AAAAAH/v38o=")</f>
        <v>#REF!</v>
      </c>
      <c r="GV116" t="e">
        <f>AND(#REF!,"AAAAAH/v38s=")</f>
        <v>#REF!</v>
      </c>
      <c r="GW116" t="e">
        <f>AND(#REF!,"AAAAAH/v38w=")</f>
        <v>#REF!</v>
      </c>
      <c r="GX116" t="e">
        <f>AND(#REF!,"AAAAAH/v380=")</f>
        <v>#REF!</v>
      </c>
      <c r="GY116" t="e">
        <f>AND(#REF!,"AAAAAH/v384=")</f>
        <v>#REF!</v>
      </c>
      <c r="GZ116" t="e">
        <f>AND(#REF!,"AAAAAH/v388=")</f>
        <v>#REF!</v>
      </c>
      <c r="HA116" t="e">
        <f>AND(#REF!,"AAAAAH/v39A=")</f>
        <v>#REF!</v>
      </c>
      <c r="HB116" t="e">
        <f>AND(#REF!,"AAAAAH/v39E=")</f>
        <v>#REF!</v>
      </c>
      <c r="HC116" t="e">
        <f>AND(#REF!,"AAAAAH/v39I=")</f>
        <v>#REF!</v>
      </c>
      <c r="HD116" t="e">
        <f>AND(#REF!,"AAAAAH/v39M=")</f>
        <v>#REF!</v>
      </c>
      <c r="HE116" t="e">
        <f>AND(#REF!,"AAAAAH/v39Q=")</f>
        <v>#REF!</v>
      </c>
      <c r="HF116" t="e">
        <f>AND(#REF!,"AAAAAH/v39U=")</f>
        <v>#REF!</v>
      </c>
      <c r="HG116" t="e">
        <f>AND(#REF!,"AAAAAH/v39Y=")</f>
        <v>#REF!</v>
      </c>
      <c r="HH116" t="e">
        <f>AND(#REF!,"AAAAAH/v39c=")</f>
        <v>#REF!</v>
      </c>
      <c r="HI116" t="e">
        <f>AND(#REF!,"AAAAAH/v39g=")</f>
        <v>#REF!</v>
      </c>
      <c r="HJ116" t="e">
        <f>AND(#REF!,"AAAAAH/v39k=")</f>
        <v>#REF!</v>
      </c>
      <c r="HK116" t="e">
        <f>AND(#REF!,"AAAAAH/v39o=")</f>
        <v>#REF!</v>
      </c>
      <c r="HL116" t="e">
        <f>AND(#REF!,"AAAAAH/v39s=")</f>
        <v>#REF!</v>
      </c>
      <c r="HM116" t="e">
        <f>AND(#REF!,"AAAAAH/v39w=")</f>
        <v>#REF!</v>
      </c>
      <c r="HN116" t="e">
        <f>AND(#REF!,"AAAAAH/v390=")</f>
        <v>#REF!</v>
      </c>
      <c r="HO116" t="e">
        <f>AND(#REF!,"AAAAAH/v394=")</f>
        <v>#REF!</v>
      </c>
      <c r="HP116" t="e">
        <f>AND(#REF!,"AAAAAH/v398=")</f>
        <v>#REF!</v>
      </c>
      <c r="HQ116" t="e">
        <f>AND(#REF!,"AAAAAH/v3+A=")</f>
        <v>#REF!</v>
      </c>
      <c r="HR116" t="e">
        <f>AND(#REF!,"AAAAAH/v3+E=")</f>
        <v>#REF!</v>
      </c>
      <c r="HS116" t="e">
        <f>AND(#REF!,"AAAAAH/v3+I=")</f>
        <v>#REF!</v>
      </c>
      <c r="HT116" t="e">
        <f>AND(#REF!,"AAAAAH/v3+M=")</f>
        <v>#REF!</v>
      </c>
      <c r="HU116" t="e">
        <f>AND(#REF!,"AAAAAH/v3+Q=")</f>
        <v>#REF!</v>
      </c>
      <c r="HV116" t="e">
        <f>AND(#REF!,"AAAAAH/v3+U=")</f>
        <v>#REF!</v>
      </c>
      <c r="HW116" t="e">
        <f>AND(#REF!,"AAAAAH/v3+Y=")</f>
        <v>#REF!</v>
      </c>
      <c r="HX116" t="e">
        <f>AND(#REF!,"AAAAAH/v3+c=")</f>
        <v>#REF!</v>
      </c>
      <c r="HY116" t="e">
        <f>AND(#REF!,"AAAAAH/v3+g=")</f>
        <v>#REF!</v>
      </c>
      <c r="HZ116" t="e">
        <f>AND(#REF!,"AAAAAH/v3+k=")</f>
        <v>#REF!</v>
      </c>
      <c r="IA116" t="e">
        <f>AND(#REF!,"AAAAAH/v3+o=")</f>
        <v>#REF!</v>
      </c>
      <c r="IB116" t="e">
        <f>AND(#REF!,"AAAAAH/v3+s=")</f>
        <v>#REF!</v>
      </c>
      <c r="IC116" t="e">
        <f>AND(#REF!,"AAAAAH/v3+w=")</f>
        <v>#REF!</v>
      </c>
      <c r="ID116" t="e">
        <f>AND(#REF!,"AAAAAH/v3+0=")</f>
        <v>#REF!</v>
      </c>
      <c r="IE116" t="e">
        <f>AND(#REF!,"AAAAAH/v3+4=")</f>
        <v>#REF!</v>
      </c>
      <c r="IF116" t="e">
        <f>AND(#REF!,"AAAAAH/v3+8=")</f>
        <v>#REF!</v>
      </c>
      <c r="IG116" t="e">
        <f>AND(#REF!,"AAAAAH/v3/A=")</f>
        <v>#REF!</v>
      </c>
      <c r="IH116" t="e">
        <f>AND(#REF!,"AAAAAH/v3/E=")</f>
        <v>#REF!</v>
      </c>
      <c r="II116" t="e">
        <f>AND(#REF!,"AAAAAH/v3/I=")</f>
        <v>#REF!</v>
      </c>
      <c r="IJ116" t="e">
        <f>AND(#REF!,"AAAAAH/v3/M=")</f>
        <v>#REF!</v>
      </c>
      <c r="IK116" t="e">
        <f>AND(#REF!,"AAAAAH/v3/Q=")</f>
        <v>#REF!</v>
      </c>
      <c r="IL116" t="e">
        <f>AND(#REF!,"AAAAAH/v3/U=")</f>
        <v>#REF!</v>
      </c>
      <c r="IM116" t="e">
        <f>AND(#REF!,"AAAAAH/v3/Y=")</f>
        <v>#REF!</v>
      </c>
      <c r="IN116" t="e">
        <f>AND(#REF!,"AAAAAH/v3/c=")</f>
        <v>#REF!</v>
      </c>
      <c r="IO116" t="e">
        <f>AND(#REF!,"AAAAAH/v3/g=")</f>
        <v>#REF!</v>
      </c>
      <c r="IP116" t="e">
        <f>AND(#REF!,"AAAAAH/v3/k=")</f>
        <v>#REF!</v>
      </c>
      <c r="IQ116" t="e">
        <f>AND(#REF!,"AAAAAH/v3/o=")</f>
        <v>#REF!</v>
      </c>
      <c r="IR116" t="e">
        <f>AND(#REF!,"AAAAAH/v3/s=")</f>
        <v>#REF!</v>
      </c>
      <c r="IS116" t="e">
        <f>AND(#REF!,"AAAAAH/v3/w=")</f>
        <v>#REF!</v>
      </c>
      <c r="IT116" t="e">
        <f>AND(#REF!,"AAAAAH/v3/0=")</f>
        <v>#REF!</v>
      </c>
      <c r="IU116" t="e">
        <f>AND(#REF!,"AAAAAH/v3/4=")</f>
        <v>#REF!</v>
      </c>
      <c r="IV116" t="e">
        <f>AND(#REF!,"AAAAAH/v3/8=")</f>
        <v>#REF!</v>
      </c>
    </row>
    <row r="117" spans="1:256">
      <c r="A117" t="e">
        <f>AND(#REF!,"AAAAAGu3/wA=")</f>
        <v>#REF!</v>
      </c>
      <c r="B117" t="e">
        <f>AND(#REF!,"AAAAAGu3/wE=")</f>
        <v>#REF!</v>
      </c>
      <c r="C117" t="e">
        <f>AND(#REF!,"AAAAAGu3/wI=")</f>
        <v>#REF!</v>
      </c>
      <c r="D117" t="e">
        <f>AND(#REF!,"AAAAAGu3/wM=")</f>
        <v>#REF!</v>
      </c>
      <c r="E117" t="e">
        <f>AND(#REF!,"AAAAAGu3/wQ=")</f>
        <v>#REF!</v>
      </c>
      <c r="F117" t="e">
        <f>AND(#REF!,"AAAAAGu3/wU=")</f>
        <v>#REF!</v>
      </c>
      <c r="G117" t="e">
        <f>AND(#REF!,"AAAAAGu3/wY=")</f>
        <v>#REF!</v>
      </c>
      <c r="H117" t="e">
        <f>AND(#REF!,"AAAAAGu3/wc=")</f>
        <v>#REF!</v>
      </c>
      <c r="I117" t="e">
        <f>AND(#REF!,"AAAAAGu3/wg=")</f>
        <v>#REF!</v>
      </c>
      <c r="J117" t="e">
        <f>AND(#REF!,"AAAAAGu3/wk=")</f>
        <v>#REF!</v>
      </c>
      <c r="K117" t="e">
        <f>AND(#REF!,"AAAAAGu3/wo=")</f>
        <v>#REF!</v>
      </c>
      <c r="L117" t="e">
        <f>AND(#REF!,"AAAAAGu3/ws=")</f>
        <v>#REF!</v>
      </c>
      <c r="M117" t="e">
        <f>AND(#REF!,"AAAAAGu3/ww=")</f>
        <v>#REF!</v>
      </c>
      <c r="N117" t="e">
        <f>AND(#REF!,"AAAAAGu3/w0=")</f>
        <v>#REF!</v>
      </c>
      <c r="O117" t="e">
        <f>AND(#REF!,"AAAAAGu3/w4=")</f>
        <v>#REF!</v>
      </c>
      <c r="P117" t="e">
        <f>AND(#REF!,"AAAAAGu3/w8=")</f>
        <v>#REF!</v>
      </c>
      <c r="Q117" t="e">
        <f>AND(#REF!,"AAAAAGu3/xA=")</f>
        <v>#REF!</v>
      </c>
      <c r="R117" t="e">
        <f>AND(#REF!,"AAAAAGu3/xE=")</f>
        <v>#REF!</v>
      </c>
      <c r="S117" t="e">
        <f>AND(#REF!,"AAAAAGu3/xI=")</f>
        <v>#REF!</v>
      </c>
      <c r="T117" t="e">
        <f>AND(#REF!,"AAAAAGu3/xM=")</f>
        <v>#REF!</v>
      </c>
      <c r="U117" t="e">
        <f>AND(#REF!,"AAAAAGu3/xQ=")</f>
        <v>#REF!</v>
      </c>
      <c r="V117" t="e">
        <f>AND(#REF!,"AAAAAGu3/xU=")</f>
        <v>#REF!</v>
      </c>
      <c r="W117" t="e">
        <f>AND(#REF!,"AAAAAGu3/xY=")</f>
        <v>#REF!</v>
      </c>
      <c r="X117" t="e">
        <f>AND(#REF!,"AAAAAGu3/xc=")</f>
        <v>#REF!</v>
      </c>
      <c r="Y117" t="e">
        <f>AND(#REF!,"AAAAAGu3/xg=")</f>
        <v>#REF!</v>
      </c>
      <c r="Z117" t="e">
        <f>AND(#REF!,"AAAAAGu3/xk=")</f>
        <v>#REF!</v>
      </c>
      <c r="AA117" t="e">
        <f>AND(#REF!,"AAAAAGu3/xo=")</f>
        <v>#REF!</v>
      </c>
      <c r="AB117" t="e">
        <f>AND(#REF!,"AAAAAGu3/xs=")</f>
        <v>#REF!</v>
      </c>
      <c r="AC117" t="e">
        <f>AND(#REF!,"AAAAAGu3/xw=")</f>
        <v>#REF!</v>
      </c>
      <c r="AD117" t="e">
        <f>AND(#REF!,"AAAAAGu3/x0=")</f>
        <v>#REF!</v>
      </c>
      <c r="AE117" t="e">
        <f>AND(#REF!,"AAAAAGu3/x4=")</f>
        <v>#REF!</v>
      </c>
      <c r="AF117" t="e">
        <f>AND(#REF!,"AAAAAGu3/x8=")</f>
        <v>#REF!</v>
      </c>
      <c r="AG117" t="e">
        <f>AND(#REF!,"AAAAAGu3/yA=")</f>
        <v>#REF!</v>
      </c>
      <c r="AH117" t="e">
        <f>AND(#REF!,"AAAAAGu3/yE=")</f>
        <v>#REF!</v>
      </c>
      <c r="AI117" t="e">
        <f>AND(#REF!,"AAAAAGu3/yI=")</f>
        <v>#REF!</v>
      </c>
      <c r="AJ117" t="e">
        <f>AND(#REF!,"AAAAAGu3/yM=")</f>
        <v>#REF!</v>
      </c>
      <c r="AK117" t="e">
        <f>AND(#REF!,"AAAAAGu3/yQ=")</f>
        <v>#REF!</v>
      </c>
      <c r="AL117" t="e">
        <f>AND(#REF!,"AAAAAGu3/yU=")</f>
        <v>#REF!</v>
      </c>
      <c r="AM117" t="e">
        <f>AND(#REF!,"AAAAAGu3/yY=")</f>
        <v>#REF!</v>
      </c>
      <c r="AN117" t="e">
        <f>AND(#REF!,"AAAAAGu3/yc=")</f>
        <v>#REF!</v>
      </c>
      <c r="AO117" t="e">
        <f>AND(#REF!,"AAAAAGu3/yg=")</f>
        <v>#REF!</v>
      </c>
      <c r="AP117" t="e">
        <f>AND(#REF!,"AAAAAGu3/yk=")</f>
        <v>#REF!</v>
      </c>
      <c r="AQ117" t="e">
        <f>AND(#REF!,"AAAAAGu3/yo=")</f>
        <v>#REF!</v>
      </c>
      <c r="AR117" t="e">
        <f>AND(#REF!,"AAAAAGu3/ys=")</f>
        <v>#REF!</v>
      </c>
      <c r="AS117" t="e">
        <f>AND(#REF!,"AAAAAGu3/yw=")</f>
        <v>#REF!</v>
      </c>
      <c r="AT117" t="e">
        <f>AND(#REF!,"AAAAAGu3/y0=")</f>
        <v>#REF!</v>
      </c>
      <c r="AU117" t="e">
        <f>AND(#REF!,"AAAAAGu3/y4=")</f>
        <v>#REF!</v>
      </c>
      <c r="AV117" t="e">
        <f>AND(#REF!,"AAAAAGu3/y8=")</f>
        <v>#REF!</v>
      </c>
      <c r="AW117" t="e">
        <f>AND(#REF!,"AAAAAGu3/zA=")</f>
        <v>#REF!</v>
      </c>
      <c r="AX117" t="e">
        <f>AND(#REF!,"AAAAAGu3/zE=")</f>
        <v>#REF!</v>
      </c>
      <c r="AY117" t="e">
        <f>AND(#REF!,"AAAAAGu3/zI=")</f>
        <v>#REF!</v>
      </c>
      <c r="AZ117" t="e">
        <f>AND(#REF!,"AAAAAGu3/zM=")</f>
        <v>#REF!</v>
      </c>
      <c r="BA117" t="e">
        <f>AND(#REF!,"AAAAAGu3/zQ=")</f>
        <v>#REF!</v>
      </c>
      <c r="BB117" t="e">
        <f>AND(#REF!,"AAAAAGu3/zU=")</f>
        <v>#REF!</v>
      </c>
      <c r="BC117" t="e">
        <f>AND(#REF!,"AAAAAGu3/zY=")</f>
        <v>#REF!</v>
      </c>
      <c r="BD117" t="e">
        <f>AND(#REF!,"AAAAAGu3/zc=")</f>
        <v>#REF!</v>
      </c>
      <c r="BE117" t="e">
        <f>AND(#REF!,"AAAAAGu3/zg=")</f>
        <v>#REF!</v>
      </c>
      <c r="BF117" t="e">
        <f>AND(#REF!,"AAAAAGu3/zk=")</f>
        <v>#REF!</v>
      </c>
      <c r="BG117" t="e">
        <f>AND(#REF!,"AAAAAGu3/zo=")</f>
        <v>#REF!</v>
      </c>
      <c r="BH117" t="e">
        <f>AND(#REF!,"AAAAAGu3/zs=")</f>
        <v>#REF!</v>
      </c>
      <c r="BI117" t="e">
        <f>AND(#REF!,"AAAAAGu3/zw=")</f>
        <v>#REF!</v>
      </c>
      <c r="BJ117" t="e">
        <f>AND(#REF!,"AAAAAGu3/z0=")</f>
        <v>#REF!</v>
      </c>
      <c r="BK117" t="e">
        <f>AND(#REF!,"AAAAAGu3/z4=")</f>
        <v>#REF!</v>
      </c>
      <c r="BL117" t="e">
        <f>AND(#REF!,"AAAAAGu3/z8=")</f>
        <v>#REF!</v>
      </c>
      <c r="BM117" t="e">
        <f>AND(#REF!,"AAAAAGu3/0A=")</f>
        <v>#REF!</v>
      </c>
      <c r="BN117" t="e">
        <f>AND(#REF!,"AAAAAGu3/0E=")</f>
        <v>#REF!</v>
      </c>
      <c r="BO117" t="e">
        <f>AND(#REF!,"AAAAAGu3/0I=")</f>
        <v>#REF!</v>
      </c>
      <c r="BP117" t="e">
        <f>AND(#REF!,"AAAAAGu3/0M=")</f>
        <v>#REF!</v>
      </c>
      <c r="BQ117" t="e">
        <f>AND(#REF!,"AAAAAGu3/0Q=")</f>
        <v>#REF!</v>
      </c>
      <c r="BR117" t="e">
        <f>AND(#REF!,"AAAAAGu3/0U=")</f>
        <v>#REF!</v>
      </c>
      <c r="BS117" t="e">
        <f>AND(#REF!,"AAAAAGu3/0Y=")</f>
        <v>#REF!</v>
      </c>
      <c r="BT117" t="e">
        <f>AND(#REF!,"AAAAAGu3/0c=")</f>
        <v>#REF!</v>
      </c>
      <c r="BU117" t="e">
        <f>AND(#REF!,"AAAAAGu3/0g=")</f>
        <v>#REF!</v>
      </c>
      <c r="BV117" t="e">
        <f>AND(#REF!,"AAAAAGu3/0k=")</f>
        <v>#REF!</v>
      </c>
      <c r="BW117" t="e">
        <f>AND(#REF!,"AAAAAGu3/0o=")</f>
        <v>#REF!</v>
      </c>
      <c r="BX117" t="e">
        <f>AND(#REF!,"AAAAAGu3/0s=")</f>
        <v>#REF!</v>
      </c>
      <c r="BY117" t="e">
        <f>AND(#REF!,"AAAAAGu3/0w=")</f>
        <v>#REF!</v>
      </c>
      <c r="BZ117" t="e">
        <f>AND(#REF!,"AAAAAGu3/00=")</f>
        <v>#REF!</v>
      </c>
      <c r="CA117" t="e">
        <f>AND(#REF!,"AAAAAGu3/04=")</f>
        <v>#REF!</v>
      </c>
      <c r="CB117" t="e">
        <f>AND(#REF!,"AAAAAGu3/08=")</f>
        <v>#REF!</v>
      </c>
      <c r="CC117" t="e">
        <f>AND(#REF!,"AAAAAGu3/1A=")</f>
        <v>#REF!</v>
      </c>
      <c r="CD117" t="e">
        <f>AND(#REF!,"AAAAAGu3/1E=")</f>
        <v>#REF!</v>
      </c>
      <c r="CE117" t="e">
        <f>AND(#REF!,"AAAAAGu3/1I=")</f>
        <v>#REF!</v>
      </c>
      <c r="CF117" t="e">
        <f>AND(#REF!,"AAAAAGu3/1M=")</f>
        <v>#REF!</v>
      </c>
      <c r="CG117" t="e">
        <f>AND(#REF!,"AAAAAGu3/1Q=")</f>
        <v>#REF!</v>
      </c>
      <c r="CH117" t="e">
        <f>AND(#REF!,"AAAAAGu3/1U=")</f>
        <v>#REF!</v>
      </c>
      <c r="CI117" t="e">
        <f>AND(#REF!,"AAAAAGu3/1Y=")</f>
        <v>#REF!</v>
      </c>
      <c r="CJ117" t="e">
        <f>AND(#REF!,"AAAAAGu3/1c=")</f>
        <v>#REF!</v>
      </c>
      <c r="CK117" t="e">
        <f>AND(#REF!,"AAAAAGu3/1g=")</f>
        <v>#REF!</v>
      </c>
      <c r="CL117" t="e">
        <f>AND(#REF!,"AAAAAGu3/1k=")</f>
        <v>#REF!</v>
      </c>
      <c r="CM117" t="e">
        <f>AND(#REF!,"AAAAAGu3/1o=")</f>
        <v>#REF!</v>
      </c>
      <c r="CN117" t="e">
        <f>AND(#REF!,"AAAAAGu3/1s=")</f>
        <v>#REF!</v>
      </c>
      <c r="CO117" t="e">
        <f>AND(#REF!,"AAAAAGu3/1w=")</f>
        <v>#REF!</v>
      </c>
      <c r="CP117" t="e">
        <f>AND(#REF!,"AAAAAGu3/10=")</f>
        <v>#REF!</v>
      </c>
      <c r="CQ117" t="e">
        <f>AND(#REF!,"AAAAAGu3/14=")</f>
        <v>#REF!</v>
      </c>
      <c r="CR117" t="e">
        <f>AND(#REF!,"AAAAAGu3/18=")</f>
        <v>#REF!</v>
      </c>
      <c r="CS117" t="e">
        <f>AND(#REF!,"AAAAAGu3/2A=")</f>
        <v>#REF!</v>
      </c>
      <c r="CT117" t="e">
        <f>AND(#REF!,"AAAAAGu3/2E=")</f>
        <v>#REF!</v>
      </c>
      <c r="CU117" t="e">
        <f>AND(#REF!,"AAAAAGu3/2I=")</f>
        <v>#REF!</v>
      </c>
      <c r="CV117" t="e">
        <f>AND(#REF!,"AAAAAGu3/2M=")</f>
        <v>#REF!</v>
      </c>
      <c r="CW117" t="e">
        <f>AND(#REF!,"AAAAAGu3/2Q=")</f>
        <v>#REF!</v>
      </c>
      <c r="CX117" t="e">
        <f>AND(#REF!,"AAAAAGu3/2U=")</f>
        <v>#REF!</v>
      </c>
      <c r="CY117" t="e">
        <f>AND(#REF!,"AAAAAGu3/2Y=")</f>
        <v>#REF!</v>
      </c>
      <c r="CZ117" t="e">
        <f>AND(#REF!,"AAAAAGu3/2c=")</f>
        <v>#REF!</v>
      </c>
      <c r="DA117" t="e">
        <f>AND(#REF!,"AAAAAGu3/2g=")</f>
        <v>#REF!</v>
      </c>
      <c r="DB117" t="e">
        <f>AND(#REF!,"AAAAAGu3/2k=")</f>
        <v>#REF!</v>
      </c>
      <c r="DC117" t="e">
        <f>AND(#REF!,"AAAAAGu3/2o=")</f>
        <v>#REF!</v>
      </c>
      <c r="DD117" t="e">
        <f>AND(#REF!,"AAAAAGu3/2s=")</f>
        <v>#REF!</v>
      </c>
      <c r="DE117" t="e">
        <f>AND(#REF!,"AAAAAGu3/2w=")</f>
        <v>#REF!</v>
      </c>
      <c r="DF117" t="e">
        <f>AND(#REF!,"AAAAAGu3/20=")</f>
        <v>#REF!</v>
      </c>
      <c r="DG117" t="e">
        <f>AND(#REF!,"AAAAAGu3/24=")</f>
        <v>#REF!</v>
      </c>
      <c r="DH117" t="e">
        <f>AND(#REF!,"AAAAAGu3/28=")</f>
        <v>#REF!</v>
      </c>
      <c r="DI117" t="e">
        <f>AND(#REF!,"AAAAAGu3/3A=")</f>
        <v>#REF!</v>
      </c>
      <c r="DJ117" t="e">
        <f>AND(#REF!,"AAAAAGu3/3E=")</f>
        <v>#REF!</v>
      </c>
      <c r="DK117" t="e">
        <f>AND(#REF!,"AAAAAGu3/3I=")</f>
        <v>#REF!</v>
      </c>
      <c r="DL117" t="e">
        <f>AND(#REF!,"AAAAAGu3/3M=")</f>
        <v>#REF!</v>
      </c>
      <c r="DM117" t="e">
        <f>AND(#REF!,"AAAAAGu3/3Q=")</f>
        <v>#REF!</v>
      </c>
      <c r="DN117" t="e">
        <f>AND(#REF!,"AAAAAGu3/3U=")</f>
        <v>#REF!</v>
      </c>
      <c r="DO117" t="e">
        <f>AND(#REF!,"AAAAAGu3/3Y=")</f>
        <v>#REF!</v>
      </c>
      <c r="DP117" t="e">
        <f>AND(#REF!,"AAAAAGu3/3c=")</f>
        <v>#REF!</v>
      </c>
      <c r="DQ117" t="e">
        <f>AND(#REF!,"AAAAAGu3/3g=")</f>
        <v>#REF!</v>
      </c>
      <c r="DR117" t="e">
        <f>AND(#REF!,"AAAAAGu3/3k=")</f>
        <v>#REF!</v>
      </c>
      <c r="DS117" t="e">
        <f>AND(#REF!,"AAAAAGu3/3o=")</f>
        <v>#REF!</v>
      </c>
      <c r="DT117" t="e">
        <f>AND(#REF!,"AAAAAGu3/3s=")</f>
        <v>#REF!</v>
      </c>
      <c r="DU117" t="e">
        <f>AND(#REF!,"AAAAAGu3/3w=")</f>
        <v>#REF!</v>
      </c>
      <c r="DV117" t="e">
        <f>AND(#REF!,"AAAAAGu3/30=")</f>
        <v>#REF!</v>
      </c>
      <c r="DW117" t="e">
        <f>AND(#REF!,"AAAAAGu3/34=")</f>
        <v>#REF!</v>
      </c>
      <c r="DX117" t="e">
        <f>AND(#REF!,"AAAAAGu3/38=")</f>
        <v>#REF!</v>
      </c>
      <c r="DY117" t="e">
        <f>AND(#REF!,"AAAAAGu3/4A=")</f>
        <v>#REF!</v>
      </c>
      <c r="DZ117" t="e">
        <f>AND(#REF!,"AAAAAGu3/4E=")</f>
        <v>#REF!</v>
      </c>
      <c r="EA117" t="e">
        <f>AND(#REF!,"AAAAAGu3/4I=")</f>
        <v>#REF!</v>
      </c>
      <c r="EB117" t="e">
        <f>AND(#REF!,"AAAAAGu3/4M=")</f>
        <v>#REF!</v>
      </c>
      <c r="EC117" t="e">
        <f>AND(#REF!,"AAAAAGu3/4Q=")</f>
        <v>#REF!</v>
      </c>
      <c r="ED117" t="e">
        <f>AND(#REF!,"AAAAAGu3/4U=")</f>
        <v>#REF!</v>
      </c>
      <c r="EE117" t="e">
        <f>AND(#REF!,"AAAAAGu3/4Y=")</f>
        <v>#REF!</v>
      </c>
      <c r="EF117" t="e">
        <f>AND(#REF!,"AAAAAGu3/4c=")</f>
        <v>#REF!</v>
      </c>
      <c r="EG117" t="e">
        <f>AND(#REF!,"AAAAAGu3/4g=")</f>
        <v>#REF!</v>
      </c>
      <c r="EH117" t="e">
        <f>AND(#REF!,"AAAAAGu3/4k=")</f>
        <v>#REF!</v>
      </c>
      <c r="EI117" t="e">
        <f>AND(#REF!,"AAAAAGu3/4o=")</f>
        <v>#REF!</v>
      </c>
      <c r="EJ117" t="e">
        <f>AND(#REF!,"AAAAAGu3/4s=")</f>
        <v>#REF!</v>
      </c>
      <c r="EK117" t="e">
        <f>AND(#REF!,"AAAAAGu3/4w=")</f>
        <v>#REF!</v>
      </c>
      <c r="EL117" t="e">
        <f>AND(#REF!,"AAAAAGu3/40=")</f>
        <v>#REF!</v>
      </c>
      <c r="EM117" t="e">
        <f>AND(#REF!,"AAAAAGu3/44=")</f>
        <v>#REF!</v>
      </c>
      <c r="EN117" t="e">
        <f>AND(#REF!,"AAAAAGu3/48=")</f>
        <v>#REF!</v>
      </c>
      <c r="EO117" t="e">
        <f>AND(#REF!,"AAAAAGu3/5A=")</f>
        <v>#REF!</v>
      </c>
      <c r="EP117" t="e">
        <f>AND(#REF!,"AAAAAGu3/5E=")</f>
        <v>#REF!</v>
      </c>
      <c r="EQ117" t="e">
        <f>AND(#REF!,"AAAAAGu3/5I=")</f>
        <v>#REF!</v>
      </c>
      <c r="ER117" t="e">
        <f>AND(#REF!,"AAAAAGu3/5M=")</f>
        <v>#REF!</v>
      </c>
      <c r="ES117" t="e">
        <f>AND(#REF!,"AAAAAGu3/5Q=")</f>
        <v>#REF!</v>
      </c>
      <c r="ET117" t="e">
        <f>AND(#REF!,"AAAAAGu3/5U=")</f>
        <v>#REF!</v>
      </c>
      <c r="EU117" t="e">
        <f>AND(#REF!,"AAAAAGu3/5Y=")</f>
        <v>#REF!</v>
      </c>
      <c r="EV117" t="e">
        <f>AND(#REF!,"AAAAAGu3/5c=")</f>
        <v>#REF!</v>
      </c>
      <c r="EW117" t="e">
        <f>AND(#REF!,"AAAAAGu3/5g=")</f>
        <v>#REF!</v>
      </c>
      <c r="EX117" t="e">
        <f>AND(#REF!,"AAAAAGu3/5k=")</f>
        <v>#REF!</v>
      </c>
      <c r="EY117" t="e">
        <f>AND(#REF!,"AAAAAGu3/5o=")</f>
        <v>#REF!</v>
      </c>
      <c r="EZ117" t="e">
        <f>AND(#REF!,"AAAAAGu3/5s=")</f>
        <v>#REF!</v>
      </c>
      <c r="FA117" t="e">
        <f>AND(#REF!,"AAAAAGu3/5w=")</f>
        <v>#REF!</v>
      </c>
      <c r="FB117" t="e">
        <f>AND(#REF!,"AAAAAGu3/50=")</f>
        <v>#REF!</v>
      </c>
      <c r="FC117" t="e">
        <f>AND(#REF!,"AAAAAGu3/54=")</f>
        <v>#REF!</v>
      </c>
      <c r="FD117" t="e">
        <f>AND(#REF!,"AAAAAGu3/58=")</f>
        <v>#REF!</v>
      </c>
      <c r="FE117" t="e">
        <f>AND(#REF!,"AAAAAGu3/6A=")</f>
        <v>#REF!</v>
      </c>
      <c r="FF117" t="e">
        <f>AND(#REF!,"AAAAAGu3/6E=")</f>
        <v>#REF!</v>
      </c>
      <c r="FG117" t="e">
        <f>AND(#REF!,"AAAAAGu3/6I=")</f>
        <v>#REF!</v>
      </c>
      <c r="FH117" t="e">
        <f>AND(#REF!,"AAAAAGu3/6M=")</f>
        <v>#REF!</v>
      </c>
      <c r="FI117" t="e">
        <f>AND(#REF!,"AAAAAGu3/6Q=")</f>
        <v>#REF!</v>
      </c>
      <c r="FJ117" t="e">
        <f>AND(#REF!,"AAAAAGu3/6U=")</f>
        <v>#REF!</v>
      </c>
      <c r="FK117" t="e">
        <f>AND(#REF!,"AAAAAGu3/6Y=")</f>
        <v>#REF!</v>
      </c>
      <c r="FL117" t="e">
        <f>AND(#REF!,"AAAAAGu3/6c=")</f>
        <v>#REF!</v>
      </c>
      <c r="FM117" t="e">
        <f>AND(#REF!,"AAAAAGu3/6g=")</f>
        <v>#REF!</v>
      </c>
      <c r="FN117" t="e">
        <f>AND(#REF!,"AAAAAGu3/6k=")</f>
        <v>#REF!</v>
      </c>
      <c r="FO117" t="e">
        <f>AND(#REF!,"AAAAAGu3/6o=")</f>
        <v>#REF!</v>
      </c>
      <c r="FP117" t="e">
        <f>AND(#REF!,"AAAAAGu3/6s=")</f>
        <v>#REF!</v>
      </c>
      <c r="FQ117" t="e">
        <f>AND(#REF!,"AAAAAGu3/6w=")</f>
        <v>#REF!</v>
      </c>
      <c r="FR117" t="e">
        <f>AND(#REF!,"AAAAAGu3/60=")</f>
        <v>#REF!</v>
      </c>
      <c r="FS117" t="e">
        <f>AND(#REF!,"AAAAAGu3/64=")</f>
        <v>#REF!</v>
      </c>
      <c r="FT117" t="e">
        <f>AND(#REF!,"AAAAAGu3/68=")</f>
        <v>#REF!</v>
      </c>
      <c r="FU117" t="e">
        <f>AND(#REF!,"AAAAAGu3/7A=")</f>
        <v>#REF!</v>
      </c>
      <c r="FV117" t="e">
        <f>AND(#REF!,"AAAAAGu3/7E=")</f>
        <v>#REF!</v>
      </c>
      <c r="FW117" t="e">
        <f>AND(#REF!,"AAAAAGu3/7I=")</f>
        <v>#REF!</v>
      </c>
      <c r="FX117" t="e">
        <f>AND(#REF!,"AAAAAGu3/7M=")</f>
        <v>#REF!</v>
      </c>
      <c r="FY117" t="e">
        <f>AND(#REF!,"AAAAAGu3/7Q=")</f>
        <v>#REF!</v>
      </c>
      <c r="FZ117" t="e">
        <f>AND(#REF!,"AAAAAGu3/7U=")</f>
        <v>#REF!</v>
      </c>
      <c r="GA117" t="e">
        <f>AND(#REF!,"AAAAAGu3/7Y=")</f>
        <v>#REF!</v>
      </c>
      <c r="GB117" t="e">
        <f>AND(#REF!,"AAAAAGu3/7c=")</f>
        <v>#REF!</v>
      </c>
      <c r="GC117" t="e">
        <f>AND(#REF!,"AAAAAGu3/7g=")</f>
        <v>#REF!</v>
      </c>
      <c r="GD117" t="e">
        <f>AND(#REF!,"AAAAAGu3/7k=")</f>
        <v>#REF!</v>
      </c>
      <c r="GE117" t="e">
        <f>AND(#REF!,"AAAAAGu3/7o=")</f>
        <v>#REF!</v>
      </c>
      <c r="GF117" t="e">
        <f>AND(#REF!,"AAAAAGu3/7s=")</f>
        <v>#REF!</v>
      </c>
      <c r="GG117" t="e">
        <f>AND(#REF!,"AAAAAGu3/7w=")</f>
        <v>#REF!</v>
      </c>
      <c r="GH117" t="e">
        <f>AND(#REF!,"AAAAAGu3/70=")</f>
        <v>#REF!</v>
      </c>
      <c r="GI117" t="e">
        <f>AND(#REF!,"AAAAAGu3/74=")</f>
        <v>#REF!</v>
      </c>
      <c r="GJ117" t="e">
        <f>AND(#REF!,"AAAAAGu3/78=")</f>
        <v>#REF!</v>
      </c>
      <c r="GK117" t="e">
        <f>AND(#REF!,"AAAAAGu3/8A=")</f>
        <v>#REF!</v>
      </c>
      <c r="GL117" t="e">
        <f>AND(#REF!,"AAAAAGu3/8E=")</f>
        <v>#REF!</v>
      </c>
      <c r="GM117" t="e">
        <f>AND(#REF!,"AAAAAGu3/8I=")</f>
        <v>#REF!</v>
      </c>
      <c r="GN117" t="e">
        <f>AND(#REF!,"AAAAAGu3/8M=")</f>
        <v>#REF!</v>
      </c>
      <c r="GO117" t="e">
        <f>AND(#REF!,"AAAAAGu3/8Q=")</f>
        <v>#REF!</v>
      </c>
      <c r="GP117" t="e">
        <f>AND(#REF!,"AAAAAGu3/8U=")</f>
        <v>#REF!</v>
      </c>
      <c r="GQ117" t="e">
        <f>AND(#REF!,"AAAAAGu3/8Y=")</f>
        <v>#REF!</v>
      </c>
      <c r="GR117" t="e">
        <f>AND(#REF!,"AAAAAGu3/8c=")</f>
        <v>#REF!</v>
      </c>
      <c r="GS117" t="e">
        <f>AND(#REF!,"AAAAAGu3/8g=")</f>
        <v>#REF!</v>
      </c>
      <c r="GT117" t="e">
        <f>AND(#REF!,"AAAAAGu3/8k=")</f>
        <v>#REF!</v>
      </c>
      <c r="GU117" t="e">
        <f>AND(#REF!,"AAAAAGu3/8o=")</f>
        <v>#REF!</v>
      </c>
      <c r="GV117" t="e">
        <f>AND(#REF!,"AAAAAGu3/8s=")</f>
        <v>#REF!</v>
      </c>
      <c r="GW117" t="e">
        <f>AND(#REF!,"AAAAAGu3/8w=")</f>
        <v>#REF!</v>
      </c>
      <c r="GX117" t="e">
        <f>AND(#REF!,"AAAAAGu3/80=")</f>
        <v>#REF!</v>
      </c>
      <c r="GY117" t="e">
        <f>AND(#REF!,"AAAAAGu3/84=")</f>
        <v>#REF!</v>
      </c>
      <c r="GZ117" t="e">
        <f>AND(#REF!,"AAAAAGu3/88=")</f>
        <v>#REF!</v>
      </c>
      <c r="HA117" t="e">
        <f>AND(#REF!,"AAAAAGu3/9A=")</f>
        <v>#REF!</v>
      </c>
      <c r="HB117" t="e">
        <f>AND(#REF!,"AAAAAGu3/9E=")</f>
        <v>#REF!</v>
      </c>
      <c r="HC117" t="e">
        <f>AND(#REF!,"AAAAAGu3/9I=")</f>
        <v>#REF!</v>
      </c>
      <c r="HD117" t="e">
        <f>AND(#REF!,"AAAAAGu3/9M=")</f>
        <v>#REF!</v>
      </c>
      <c r="HE117" t="e">
        <f>AND(#REF!,"AAAAAGu3/9Q=")</f>
        <v>#REF!</v>
      </c>
      <c r="HF117" t="e">
        <f>AND(#REF!,"AAAAAGu3/9U=")</f>
        <v>#REF!</v>
      </c>
      <c r="HG117" t="e">
        <f>AND(#REF!,"AAAAAGu3/9Y=")</f>
        <v>#REF!</v>
      </c>
      <c r="HH117" t="e">
        <f>AND(#REF!,"AAAAAGu3/9c=")</f>
        <v>#REF!</v>
      </c>
      <c r="HI117" t="e">
        <f>AND(#REF!,"AAAAAGu3/9g=")</f>
        <v>#REF!</v>
      </c>
      <c r="HJ117" t="e">
        <f>AND(#REF!,"AAAAAGu3/9k=")</f>
        <v>#REF!</v>
      </c>
      <c r="HK117" t="e">
        <f>AND(#REF!,"AAAAAGu3/9o=")</f>
        <v>#REF!</v>
      </c>
      <c r="HL117" t="e">
        <f>AND(#REF!,"AAAAAGu3/9s=")</f>
        <v>#REF!</v>
      </c>
      <c r="HM117" t="e">
        <f>AND(#REF!,"AAAAAGu3/9w=")</f>
        <v>#REF!</v>
      </c>
      <c r="HN117" t="e">
        <f>AND(#REF!,"AAAAAGu3/90=")</f>
        <v>#REF!</v>
      </c>
      <c r="HO117" t="e">
        <f>AND(#REF!,"AAAAAGu3/94=")</f>
        <v>#REF!</v>
      </c>
      <c r="HP117" t="e">
        <f>AND(#REF!,"AAAAAGu3/98=")</f>
        <v>#REF!</v>
      </c>
      <c r="HQ117" t="e">
        <f>AND(#REF!,"AAAAAGu3/+A=")</f>
        <v>#REF!</v>
      </c>
      <c r="HR117" t="e">
        <f>AND(#REF!,"AAAAAGu3/+E=")</f>
        <v>#REF!</v>
      </c>
      <c r="HS117" t="e">
        <f>AND(#REF!,"AAAAAGu3/+I=")</f>
        <v>#REF!</v>
      </c>
      <c r="HT117" t="e">
        <f>AND(#REF!,"AAAAAGu3/+M=")</f>
        <v>#REF!</v>
      </c>
      <c r="HU117" t="e">
        <f>AND(#REF!,"AAAAAGu3/+Q=")</f>
        <v>#REF!</v>
      </c>
      <c r="HV117" t="e">
        <f>AND(#REF!,"AAAAAGu3/+U=")</f>
        <v>#REF!</v>
      </c>
      <c r="HW117" t="e">
        <f>AND(#REF!,"AAAAAGu3/+Y=")</f>
        <v>#REF!</v>
      </c>
      <c r="HX117" t="e">
        <f>AND(#REF!,"AAAAAGu3/+c=")</f>
        <v>#REF!</v>
      </c>
      <c r="HY117" t="e">
        <f>AND(#REF!,"AAAAAGu3/+g=")</f>
        <v>#REF!</v>
      </c>
      <c r="HZ117" t="e">
        <f>AND(#REF!,"AAAAAGu3/+k=")</f>
        <v>#REF!</v>
      </c>
      <c r="IA117" t="e">
        <f>AND(#REF!,"AAAAAGu3/+o=")</f>
        <v>#REF!</v>
      </c>
      <c r="IB117" t="e">
        <f>AND(#REF!,"AAAAAGu3/+s=")</f>
        <v>#REF!</v>
      </c>
      <c r="IC117" t="e">
        <f>AND(#REF!,"AAAAAGu3/+w=")</f>
        <v>#REF!</v>
      </c>
      <c r="ID117" t="e">
        <f>AND(#REF!,"AAAAAGu3/+0=")</f>
        <v>#REF!</v>
      </c>
      <c r="IE117" t="e">
        <f>AND(#REF!,"AAAAAGu3/+4=")</f>
        <v>#REF!</v>
      </c>
      <c r="IF117" t="e">
        <f>AND(#REF!,"AAAAAGu3/+8=")</f>
        <v>#REF!</v>
      </c>
      <c r="IG117" t="e">
        <f>AND(#REF!,"AAAAAGu3//A=")</f>
        <v>#REF!</v>
      </c>
      <c r="IH117" t="e">
        <f>AND(#REF!,"AAAAAGu3//E=")</f>
        <v>#REF!</v>
      </c>
      <c r="II117" t="e">
        <f>AND(#REF!,"AAAAAGu3//I=")</f>
        <v>#REF!</v>
      </c>
      <c r="IJ117" t="e">
        <f>AND(#REF!,"AAAAAGu3//M=")</f>
        <v>#REF!</v>
      </c>
      <c r="IK117" t="e">
        <f>AND(#REF!,"AAAAAGu3//Q=")</f>
        <v>#REF!</v>
      </c>
      <c r="IL117" t="e">
        <f>AND(#REF!,"AAAAAGu3//U=")</f>
        <v>#REF!</v>
      </c>
      <c r="IM117" t="e">
        <f>AND(#REF!,"AAAAAGu3//Y=")</f>
        <v>#REF!</v>
      </c>
      <c r="IN117" t="e">
        <f>AND(#REF!,"AAAAAGu3//c=")</f>
        <v>#REF!</v>
      </c>
      <c r="IO117" t="e">
        <f>AND(#REF!,"AAAAAGu3//g=")</f>
        <v>#REF!</v>
      </c>
      <c r="IP117" t="e">
        <f>AND(#REF!,"AAAAAGu3//k=")</f>
        <v>#REF!</v>
      </c>
      <c r="IQ117" t="e">
        <f>AND(#REF!,"AAAAAGu3//o=")</f>
        <v>#REF!</v>
      </c>
      <c r="IR117" t="e">
        <f>AND(#REF!,"AAAAAGu3//s=")</f>
        <v>#REF!</v>
      </c>
      <c r="IS117" t="e">
        <f>AND(#REF!,"AAAAAGu3//w=")</f>
        <v>#REF!</v>
      </c>
      <c r="IT117" t="e">
        <f>AND(#REF!,"AAAAAGu3//0=")</f>
        <v>#REF!</v>
      </c>
      <c r="IU117" t="e">
        <f>AND(#REF!,"AAAAAGu3//4=")</f>
        <v>#REF!</v>
      </c>
      <c r="IV117" t="e">
        <f>AND(#REF!,"AAAAAGu3//8=")</f>
        <v>#REF!</v>
      </c>
    </row>
    <row r="118" spans="1:256">
      <c r="A118" t="e">
        <f>AND(#REF!,"AAAAAG9ztQA=")</f>
        <v>#REF!</v>
      </c>
      <c r="B118" t="e">
        <f>AND(#REF!,"AAAAAG9ztQE=")</f>
        <v>#REF!</v>
      </c>
      <c r="C118" t="e">
        <f>AND(#REF!,"AAAAAG9ztQI=")</f>
        <v>#REF!</v>
      </c>
      <c r="D118" t="e">
        <f>AND(#REF!,"AAAAAG9ztQM=")</f>
        <v>#REF!</v>
      </c>
      <c r="E118" t="e">
        <f>AND(#REF!,"AAAAAG9ztQQ=")</f>
        <v>#REF!</v>
      </c>
      <c r="F118" t="e">
        <f>AND(#REF!,"AAAAAG9ztQU=")</f>
        <v>#REF!</v>
      </c>
      <c r="G118" t="e">
        <f>AND(#REF!,"AAAAAG9ztQY=")</f>
        <v>#REF!</v>
      </c>
      <c r="H118" t="e">
        <f>AND(#REF!,"AAAAAG9ztQc=")</f>
        <v>#REF!</v>
      </c>
      <c r="I118" t="e">
        <f>AND(#REF!,"AAAAAG9ztQg=")</f>
        <v>#REF!</v>
      </c>
      <c r="J118" t="e">
        <f>AND(#REF!,"AAAAAG9ztQk=")</f>
        <v>#REF!</v>
      </c>
      <c r="K118" t="e">
        <f>AND(#REF!,"AAAAAG9ztQo=")</f>
        <v>#REF!</v>
      </c>
      <c r="L118" t="e">
        <f>AND(#REF!,"AAAAAG9ztQs=")</f>
        <v>#REF!</v>
      </c>
      <c r="M118" t="e">
        <f>AND(#REF!,"AAAAAG9ztQw=")</f>
        <v>#REF!</v>
      </c>
      <c r="N118" t="e">
        <f>AND(#REF!,"AAAAAG9ztQ0=")</f>
        <v>#REF!</v>
      </c>
      <c r="O118" t="e">
        <f>AND(#REF!,"AAAAAG9ztQ4=")</f>
        <v>#REF!</v>
      </c>
      <c r="P118" t="e">
        <f>AND(#REF!,"AAAAAG9ztQ8=")</f>
        <v>#REF!</v>
      </c>
      <c r="Q118" t="e">
        <f>AND(#REF!,"AAAAAG9ztRA=")</f>
        <v>#REF!</v>
      </c>
      <c r="R118" t="e">
        <f>AND(#REF!,"AAAAAG9ztRE=")</f>
        <v>#REF!</v>
      </c>
      <c r="S118" t="e">
        <f>AND(#REF!,"AAAAAG9ztRI=")</f>
        <v>#REF!</v>
      </c>
      <c r="T118" t="e">
        <f>AND(#REF!,"AAAAAG9ztRM=")</f>
        <v>#REF!</v>
      </c>
      <c r="U118" t="e">
        <f>AND(#REF!,"AAAAAG9ztRQ=")</f>
        <v>#REF!</v>
      </c>
      <c r="V118" t="e">
        <f>AND(#REF!,"AAAAAG9ztRU=")</f>
        <v>#REF!</v>
      </c>
      <c r="W118" t="e">
        <f>AND(#REF!,"AAAAAG9ztRY=")</f>
        <v>#REF!</v>
      </c>
      <c r="X118" t="e">
        <f>AND(#REF!,"AAAAAG9ztRc=")</f>
        <v>#REF!</v>
      </c>
      <c r="Y118" t="e">
        <f>AND(#REF!,"AAAAAG9ztRg=")</f>
        <v>#REF!</v>
      </c>
      <c r="Z118" t="e">
        <f>AND(#REF!,"AAAAAG9ztRk=")</f>
        <v>#REF!</v>
      </c>
      <c r="AA118" t="e">
        <f>AND(#REF!,"AAAAAG9ztRo=")</f>
        <v>#REF!</v>
      </c>
      <c r="AB118" t="e">
        <f>AND(#REF!,"AAAAAG9ztRs=")</f>
        <v>#REF!</v>
      </c>
      <c r="AC118" t="e">
        <f>AND(#REF!,"AAAAAG9ztRw=")</f>
        <v>#REF!</v>
      </c>
      <c r="AD118" t="e">
        <f>AND(#REF!,"AAAAAG9ztR0=")</f>
        <v>#REF!</v>
      </c>
      <c r="AE118" t="e">
        <f>AND(#REF!,"AAAAAG9ztR4=")</f>
        <v>#REF!</v>
      </c>
      <c r="AF118" t="e">
        <f>AND(#REF!,"AAAAAG9ztR8=")</f>
        <v>#REF!</v>
      </c>
      <c r="AG118" t="e">
        <f>AND(#REF!,"AAAAAG9ztSA=")</f>
        <v>#REF!</v>
      </c>
      <c r="AH118" t="e">
        <f>AND(#REF!,"AAAAAG9ztSE=")</f>
        <v>#REF!</v>
      </c>
      <c r="AI118" t="e">
        <f>AND(#REF!,"AAAAAG9ztSI=")</f>
        <v>#REF!</v>
      </c>
      <c r="AJ118" t="e">
        <f>AND(#REF!,"AAAAAG9ztSM=")</f>
        <v>#REF!</v>
      </c>
      <c r="AK118" t="e">
        <f>AND(#REF!,"AAAAAG9ztSQ=")</f>
        <v>#REF!</v>
      </c>
      <c r="AL118" t="e">
        <f>AND(#REF!,"AAAAAG9ztSU=")</f>
        <v>#REF!</v>
      </c>
      <c r="AM118" t="e">
        <f>AND(#REF!,"AAAAAG9ztSY=")</f>
        <v>#REF!</v>
      </c>
      <c r="AN118" t="e">
        <f>AND(#REF!,"AAAAAG9ztSc=")</f>
        <v>#REF!</v>
      </c>
      <c r="AO118" t="e">
        <f>AND(#REF!,"AAAAAG9ztSg=")</f>
        <v>#REF!</v>
      </c>
      <c r="AP118" t="e">
        <f>AND(#REF!,"AAAAAG9ztSk=")</f>
        <v>#REF!</v>
      </c>
      <c r="AQ118" t="e">
        <f>AND(#REF!,"AAAAAG9ztSo=")</f>
        <v>#REF!</v>
      </c>
      <c r="AR118" t="e">
        <f>AND(#REF!,"AAAAAG9ztSs=")</f>
        <v>#REF!</v>
      </c>
      <c r="AS118" t="e">
        <f>AND(#REF!,"AAAAAG9ztSw=")</f>
        <v>#REF!</v>
      </c>
      <c r="AT118" t="e">
        <f>AND(#REF!,"AAAAAG9ztS0=")</f>
        <v>#REF!</v>
      </c>
      <c r="AU118" t="e">
        <f>AND(#REF!,"AAAAAG9ztS4=")</f>
        <v>#REF!</v>
      </c>
      <c r="AV118" t="e">
        <f>AND(#REF!,"AAAAAG9ztS8=")</f>
        <v>#REF!</v>
      </c>
      <c r="AW118" t="e">
        <f>AND(#REF!,"AAAAAG9ztTA=")</f>
        <v>#REF!</v>
      </c>
      <c r="AX118" t="e">
        <f>AND(#REF!,"AAAAAG9ztTE=")</f>
        <v>#REF!</v>
      </c>
      <c r="AY118" t="e">
        <f>AND(#REF!,"AAAAAG9ztTI=")</f>
        <v>#REF!</v>
      </c>
      <c r="AZ118" t="e">
        <f>AND(#REF!,"AAAAAG9ztTM=")</f>
        <v>#REF!</v>
      </c>
      <c r="BA118" t="e">
        <f>AND(#REF!,"AAAAAG9ztTQ=")</f>
        <v>#REF!</v>
      </c>
      <c r="BB118" t="e">
        <f>AND(#REF!,"AAAAAG9ztTU=")</f>
        <v>#REF!</v>
      </c>
      <c r="BC118" t="e">
        <f>AND(#REF!,"AAAAAG9ztTY=")</f>
        <v>#REF!</v>
      </c>
      <c r="BD118" t="e">
        <f>AND(#REF!,"AAAAAG9ztTc=")</f>
        <v>#REF!</v>
      </c>
      <c r="BE118" t="e">
        <f>AND(#REF!,"AAAAAG9ztTg=")</f>
        <v>#REF!</v>
      </c>
      <c r="BF118" t="e">
        <f>AND(#REF!,"AAAAAG9ztTk=")</f>
        <v>#REF!</v>
      </c>
      <c r="BG118" t="e">
        <f>AND(#REF!,"AAAAAG9ztTo=")</f>
        <v>#REF!</v>
      </c>
      <c r="BH118" t="e">
        <f>AND(#REF!,"AAAAAG9ztTs=")</f>
        <v>#REF!</v>
      </c>
      <c r="BI118" t="e">
        <f>AND(#REF!,"AAAAAG9ztTw=")</f>
        <v>#REF!</v>
      </c>
      <c r="BJ118" t="e">
        <f>AND(#REF!,"AAAAAG9ztT0=")</f>
        <v>#REF!</v>
      </c>
      <c r="BK118" t="e">
        <f>AND(#REF!,"AAAAAG9ztT4=")</f>
        <v>#REF!</v>
      </c>
      <c r="BL118" t="e">
        <f>AND(#REF!,"AAAAAG9ztT8=")</f>
        <v>#REF!</v>
      </c>
      <c r="BM118" t="e">
        <f>AND(#REF!,"AAAAAG9ztUA=")</f>
        <v>#REF!</v>
      </c>
      <c r="BN118" t="e">
        <f>AND(#REF!,"AAAAAG9ztUE=")</f>
        <v>#REF!</v>
      </c>
      <c r="BO118" t="e">
        <f>AND(#REF!,"AAAAAG9ztUI=")</f>
        <v>#REF!</v>
      </c>
      <c r="BP118" t="e">
        <f>AND(#REF!,"AAAAAG9ztUM=")</f>
        <v>#REF!</v>
      </c>
      <c r="BQ118" t="e">
        <f>AND(#REF!,"AAAAAG9ztUQ=")</f>
        <v>#REF!</v>
      </c>
      <c r="BR118" t="e">
        <f>AND(#REF!,"AAAAAG9ztUU=")</f>
        <v>#REF!</v>
      </c>
      <c r="BS118" t="e">
        <f>AND(#REF!,"AAAAAG9ztUY=")</f>
        <v>#REF!</v>
      </c>
      <c r="BT118" t="e">
        <f>AND(#REF!,"AAAAAG9ztUc=")</f>
        <v>#REF!</v>
      </c>
      <c r="BU118" t="e">
        <f>AND(#REF!,"AAAAAG9ztUg=")</f>
        <v>#REF!</v>
      </c>
      <c r="BV118" t="e">
        <f>AND(#REF!,"AAAAAG9ztUk=")</f>
        <v>#REF!</v>
      </c>
      <c r="BW118" t="e">
        <f>AND(#REF!,"AAAAAG9ztUo=")</f>
        <v>#REF!</v>
      </c>
      <c r="BX118" t="e">
        <f>AND(#REF!,"AAAAAG9ztUs=")</f>
        <v>#REF!</v>
      </c>
      <c r="BY118" t="e">
        <f>AND(#REF!,"AAAAAG9ztUw=")</f>
        <v>#REF!</v>
      </c>
      <c r="BZ118" t="e">
        <f>AND(#REF!,"AAAAAG9ztU0=")</f>
        <v>#REF!</v>
      </c>
      <c r="CA118" t="e">
        <f>AND(#REF!,"AAAAAG9ztU4=")</f>
        <v>#REF!</v>
      </c>
      <c r="CB118" t="e">
        <f>AND(#REF!,"AAAAAG9ztU8=")</f>
        <v>#REF!</v>
      </c>
      <c r="CC118" t="e">
        <f>AND(#REF!,"AAAAAG9ztVA=")</f>
        <v>#REF!</v>
      </c>
      <c r="CD118" t="e">
        <f>AND(#REF!,"AAAAAG9ztVE=")</f>
        <v>#REF!</v>
      </c>
      <c r="CE118" t="e">
        <f>AND(#REF!,"AAAAAG9ztVI=")</f>
        <v>#REF!</v>
      </c>
      <c r="CF118" t="e">
        <f>AND(#REF!,"AAAAAG9ztVM=")</f>
        <v>#REF!</v>
      </c>
      <c r="CG118" t="e">
        <f>AND(#REF!,"AAAAAG9ztVQ=")</f>
        <v>#REF!</v>
      </c>
      <c r="CH118" t="e">
        <f>AND(#REF!,"AAAAAG9ztVU=")</f>
        <v>#REF!</v>
      </c>
      <c r="CI118" t="e">
        <f>AND(#REF!,"AAAAAG9ztVY=")</f>
        <v>#REF!</v>
      </c>
      <c r="CJ118" t="e">
        <f>AND(#REF!,"AAAAAG9ztVc=")</f>
        <v>#REF!</v>
      </c>
      <c r="CK118" t="e">
        <f>AND(#REF!,"AAAAAG9ztVg=")</f>
        <v>#REF!</v>
      </c>
      <c r="CL118" t="e">
        <f>AND(#REF!,"AAAAAG9ztVk=")</f>
        <v>#REF!</v>
      </c>
      <c r="CM118" t="e">
        <f>AND(#REF!,"AAAAAG9ztVo=")</f>
        <v>#REF!</v>
      </c>
      <c r="CN118" t="e">
        <f>AND(#REF!,"AAAAAG9ztVs=")</f>
        <v>#REF!</v>
      </c>
      <c r="CO118" t="e">
        <f>AND(#REF!,"AAAAAG9ztVw=")</f>
        <v>#REF!</v>
      </c>
      <c r="CP118" t="e">
        <f>AND(#REF!,"AAAAAG9ztV0=")</f>
        <v>#REF!</v>
      </c>
      <c r="CQ118" t="e">
        <f>AND(#REF!,"AAAAAG9ztV4=")</f>
        <v>#REF!</v>
      </c>
      <c r="CR118" t="e">
        <f>AND(#REF!,"AAAAAG9ztV8=")</f>
        <v>#REF!</v>
      </c>
      <c r="CS118" t="e">
        <f>AND(#REF!,"AAAAAG9ztWA=")</f>
        <v>#REF!</v>
      </c>
      <c r="CT118" t="e">
        <f>AND(#REF!,"AAAAAG9ztWE=")</f>
        <v>#REF!</v>
      </c>
      <c r="CU118" t="e">
        <f>AND(#REF!,"AAAAAG9ztWI=")</f>
        <v>#REF!</v>
      </c>
      <c r="CV118" t="e">
        <f>AND(#REF!,"AAAAAG9ztWM=")</f>
        <v>#REF!</v>
      </c>
      <c r="CW118" t="e">
        <f>AND(#REF!,"AAAAAG9ztWQ=")</f>
        <v>#REF!</v>
      </c>
      <c r="CX118" t="e">
        <f>AND(#REF!,"AAAAAG9ztWU=")</f>
        <v>#REF!</v>
      </c>
      <c r="CY118" t="e">
        <f>AND(#REF!,"AAAAAG9ztWY=")</f>
        <v>#REF!</v>
      </c>
      <c r="CZ118" t="e">
        <f>AND(#REF!,"AAAAAG9ztWc=")</f>
        <v>#REF!</v>
      </c>
      <c r="DA118" t="e">
        <f>AND(#REF!,"AAAAAG9ztWg=")</f>
        <v>#REF!</v>
      </c>
      <c r="DB118" t="e">
        <f>AND(#REF!,"AAAAAG9ztWk=")</f>
        <v>#REF!</v>
      </c>
      <c r="DC118" t="e">
        <f>AND(#REF!,"AAAAAG9ztWo=")</f>
        <v>#REF!</v>
      </c>
      <c r="DD118" t="e">
        <f>AND(#REF!,"AAAAAG9ztWs=")</f>
        <v>#REF!</v>
      </c>
      <c r="DE118" t="e">
        <f>AND(#REF!,"AAAAAG9ztWw=")</f>
        <v>#REF!</v>
      </c>
      <c r="DF118" t="e">
        <f>AND(#REF!,"AAAAAG9ztW0=")</f>
        <v>#REF!</v>
      </c>
      <c r="DG118" t="e">
        <f>AND(#REF!,"AAAAAG9ztW4=")</f>
        <v>#REF!</v>
      </c>
      <c r="DH118" t="e">
        <f>AND(#REF!,"AAAAAG9ztW8=")</f>
        <v>#REF!</v>
      </c>
      <c r="DI118" t="e">
        <f>AND(#REF!,"AAAAAG9ztXA=")</f>
        <v>#REF!</v>
      </c>
      <c r="DJ118" t="e">
        <f>AND(#REF!,"AAAAAG9ztXE=")</f>
        <v>#REF!</v>
      </c>
      <c r="DK118" t="e">
        <f>AND(#REF!,"AAAAAG9ztXI=")</f>
        <v>#REF!</v>
      </c>
      <c r="DL118" t="e">
        <f>AND(#REF!,"AAAAAG9ztXM=")</f>
        <v>#REF!</v>
      </c>
      <c r="DM118" t="e">
        <f>AND(#REF!,"AAAAAG9ztXQ=")</f>
        <v>#REF!</v>
      </c>
      <c r="DN118" t="e">
        <f>AND(#REF!,"AAAAAG9ztXU=")</f>
        <v>#REF!</v>
      </c>
      <c r="DO118" t="e">
        <f>AND(#REF!,"AAAAAG9ztXY=")</f>
        <v>#REF!</v>
      </c>
      <c r="DP118" t="e">
        <f>AND(#REF!,"AAAAAG9ztXc=")</f>
        <v>#REF!</v>
      </c>
      <c r="DQ118" t="e">
        <f>AND(#REF!,"AAAAAG9ztXg=")</f>
        <v>#REF!</v>
      </c>
      <c r="DR118" t="e">
        <f>AND(#REF!,"AAAAAG9ztXk=")</f>
        <v>#REF!</v>
      </c>
      <c r="DS118" t="e">
        <f>AND(#REF!,"AAAAAG9ztXo=")</f>
        <v>#REF!</v>
      </c>
      <c r="DT118" t="e">
        <f>AND(#REF!,"AAAAAG9ztXs=")</f>
        <v>#REF!</v>
      </c>
      <c r="DU118" t="e">
        <f>AND(#REF!,"AAAAAG9ztXw=")</f>
        <v>#REF!</v>
      </c>
      <c r="DV118" t="e">
        <f>AND(#REF!,"AAAAAG9ztX0=")</f>
        <v>#REF!</v>
      </c>
      <c r="DW118" t="e">
        <f>AND(#REF!,"AAAAAG9ztX4=")</f>
        <v>#REF!</v>
      </c>
      <c r="DX118" t="e">
        <f>AND(#REF!,"AAAAAG9ztX8=")</f>
        <v>#REF!</v>
      </c>
      <c r="DY118" t="e">
        <f>AND(#REF!,"AAAAAG9ztYA=")</f>
        <v>#REF!</v>
      </c>
      <c r="DZ118" t="e">
        <f>AND(#REF!,"AAAAAG9ztYE=")</f>
        <v>#REF!</v>
      </c>
      <c r="EA118" t="e">
        <f>AND(#REF!,"AAAAAG9ztYI=")</f>
        <v>#REF!</v>
      </c>
      <c r="EB118" t="e">
        <f>AND(#REF!,"AAAAAG9ztYM=")</f>
        <v>#REF!</v>
      </c>
      <c r="EC118" t="e">
        <f>AND(#REF!,"AAAAAG9ztYQ=")</f>
        <v>#REF!</v>
      </c>
      <c r="ED118" t="e">
        <f>AND(#REF!,"AAAAAG9ztYU=")</f>
        <v>#REF!</v>
      </c>
      <c r="EE118" t="e">
        <f>AND(#REF!,"AAAAAG9ztYY=")</f>
        <v>#REF!</v>
      </c>
      <c r="EF118" t="e">
        <f>AND(#REF!,"AAAAAG9ztYc=")</f>
        <v>#REF!</v>
      </c>
      <c r="EG118" t="e">
        <f>AND(#REF!,"AAAAAG9ztYg=")</f>
        <v>#REF!</v>
      </c>
      <c r="EH118" t="e">
        <f>AND(#REF!,"AAAAAG9ztYk=")</f>
        <v>#REF!</v>
      </c>
      <c r="EI118" t="e">
        <f>AND(#REF!,"AAAAAG9ztYo=")</f>
        <v>#REF!</v>
      </c>
      <c r="EJ118" t="e">
        <f>AND(#REF!,"AAAAAG9ztYs=")</f>
        <v>#REF!</v>
      </c>
      <c r="EK118" t="e">
        <f>AND(#REF!,"AAAAAG9ztYw=")</f>
        <v>#REF!</v>
      </c>
      <c r="EL118" t="e">
        <f>AND(#REF!,"AAAAAG9ztY0=")</f>
        <v>#REF!</v>
      </c>
      <c r="EM118" t="e">
        <f>AND(#REF!,"AAAAAG9ztY4=")</f>
        <v>#REF!</v>
      </c>
      <c r="EN118" t="e">
        <f>AND(#REF!,"AAAAAG9ztY8=")</f>
        <v>#REF!</v>
      </c>
      <c r="EO118" t="e">
        <f>AND(#REF!,"AAAAAG9ztZA=")</f>
        <v>#REF!</v>
      </c>
      <c r="EP118" t="e">
        <f>AND(#REF!,"AAAAAG9ztZE=")</f>
        <v>#REF!</v>
      </c>
      <c r="EQ118" t="e">
        <f>AND(#REF!,"AAAAAG9ztZI=")</f>
        <v>#REF!</v>
      </c>
      <c r="ER118" t="e">
        <f>AND(#REF!,"AAAAAG9ztZM=")</f>
        <v>#REF!</v>
      </c>
      <c r="ES118" t="e">
        <f>AND(#REF!,"AAAAAG9ztZQ=")</f>
        <v>#REF!</v>
      </c>
      <c r="ET118" t="e">
        <f>AND(#REF!,"AAAAAG9ztZU=")</f>
        <v>#REF!</v>
      </c>
      <c r="EU118" t="e">
        <f>AND(#REF!,"AAAAAG9ztZY=")</f>
        <v>#REF!</v>
      </c>
      <c r="EV118" t="e">
        <f>AND(#REF!,"AAAAAG9ztZc=")</f>
        <v>#REF!</v>
      </c>
      <c r="EW118" t="e">
        <f>AND(#REF!,"AAAAAG9ztZg=")</f>
        <v>#REF!</v>
      </c>
      <c r="EX118" t="e">
        <f>AND(#REF!,"AAAAAG9ztZk=")</f>
        <v>#REF!</v>
      </c>
      <c r="EY118" t="e">
        <f>AND(#REF!,"AAAAAG9ztZo=")</f>
        <v>#REF!</v>
      </c>
      <c r="EZ118" t="e">
        <f>AND(#REF!,"AAAAAG9ztZs=")</f>
        <v>#REF!</v>
      </c>
      <c r="FA118" t="e">
        <f>AND(#REF!,"AAAAAG9ztZw=")</f>
        <v>#REF!</v>
      </c>
      <c r="FB118" t="e">
        <f>AND(#REF!,"AAAAAG9ztZ0=")</f>
        <v>#REF!</v>
      </c>
      <c r="FC118" t="e">
        <f>AND(#REF!,"AAAAAG9ztZ4=")</f>
        <v>#REF!</v>
      </c>
      <c r="FD118" t="e">
        <f>AND(#REF!,"AAAAAG9ztZ8=")</f>
        <v>#REF!</v>
      </c>
      <c r="FE118" t="e">
        <f>AND(#REF!,"AAAAAG9ztaA=")</f>
        <v>#REF!</v>
      </c>
      <c r="FF118" t="e">
        <f>AND(#REF!,"AAAAAG9ztaE=")</f>
        <v>#REF!</v>
      </c>
      <c r="FG118" t="e">
        <f>AND(#REF!,"AAAAAG9ztaI=")</f>
        <v>#REF!</v>
      </c>
      <c r="FH118" t="e">
        <f>AND(#REF!,"AAAAAG9ztaM=")</f>
        <v>#REF!</v>
      </c>
      <c r="FI118" t="e">
        <f>AND(#REF!,"AAAAAG9ztaQ=")</f>
        <v>#REF!</v>
      </c>
      <c r="FJ118" t="e">
        <f>AND(#REF!,"AAAAAG9ztaU=")</f>
        <v>#REF!</v>
      </c>
      <c r="FK118" t="e">
        <f>AND(#REF!,"AAAAAG9ztaY=")</f>
        <v>#REF!</v>
      </c>
      <c r="FL118" t="e">
        <f>AND(#REF!,"AAAAAG9ztac=")</f>
        <v>#REF!</v>
      </c>
      <c r="FM118" t="e">
        <f>AND(#REF!,"AAAAAG9ztag=")</f>
        <v>#REF!</v>
      </c>
      <c r="FN118" t="e">
        <f>AND(#REF!,"AAAAAG9ztak=")</f>
        <v>#REF!</v>
      </c>
      <c r="FO118" t="e">
        <f>AND(#REF!,"AAAAAG9ztao=")</f>
        <v>#REF!</v>
      </c>
      <c r="FP118" t="e">
        <f>AND(#REF!,"AAAAAG9ztas=")</f>
        <v>#REF!</v>
      </c>
      <c r="FQ118" t="e">
        <f>AND(#REF!,"AAAAAG9ztaw=")</f>
        <v>#REF!</v>
      </c>
      <c r="FR118" t="e">
        <f>AND(#REF!,"AAAAAG9zta0=")</f>
        <v>#REF!</v>
      </c>
      <c r="FS118" t="e">
        <f>AND(#REF!,"AAAAAG9zta4=")</f>
        <v>#REF!</v>
      </c>
      <c r="FT118" t="e">
        <f>AND(#REF!,"AAAAAG9zta8=")</f>
        <v>#REF!</v>
      </c>
      <c r="FU118" t="e">
        <f>AND(#REF!,"AAAAAG9ztbA=")</f>
        <v>#REF!</v>
      </c>
      <c r="FV118" t="e">
        <f>AND(#REF!,"AAAAAG9ztbE=")</f>
        <v>#REF!</v>
      </c>
      <c r="FW118" t="e">
        <f>AND(#REF!,"AAAAAG9ztbI=")</f>
        <v>#REF!</v>
      </c>
      <c r="FX118" t="e">
        <f>AND(#REF!,"AAAAAG9ztbM=")</f>
        <v>#REF!</v>
      </c>
      <c r="FY118" t="e">
        <f>AND(#REF!,"AAAAAG9ztbQ=")</f>
        <v>#REF!</v>
      </c>
      <c r="FZ118" t="e">
        <f>AND(#REF!,"AAAAAG9ztbU=")</f>
        <v>#REF!</v>
      </c>
      <c r="GA118" t="e">
        <f>AND(#REF!,"AAAAAG9ztbY=")</f>
        <v>#REF!</v>
      </c>
      <c r="GB118" t="e">
        <f>AND(#REF!,"AAAAAG9ztbc=")</f>
        <v>#REF!</v>
      </c>
      <c r="GC118" t="e">
        <f>AND(#REF!,"AAAAAG9ztbg=")</f>
        <v>#REF!</v>
      </c>
      <c r="GD118" t="e">
        <f>AND(#REF!,"AAAAAG9ztbk=")</f>
        <v>#REF!</v>
      </c>
      <c r="GE118" t="e">
        <f>AND(#REF!,"AAAAAG9ztbo=")</f>
        <v>#REF!</v>
      </c>
      <c r="GF118" t="e">
        <f>AND(#REF!,"AAAAAG9ztbs=")</f>
        <v>#REF!</v>
      </c>
      <c r="GG118" t="e">
        <f>AND(#REF!,"AAAAAG9ztbw=")</f>
        <v>#REF!</v>
      </c>
      <c r="GH118" t="e">
        <f>AND(#REF!,"AAAAAG9ztb0=")</f>
        <v>#REF!</v>
      </c>
      <c r="GI118" t="e">
        <f>AND(#REF!,"AAAAAG9ztb4=")</f>
        <v>#REF!</v>
      </c>
      <c r="GJ118" t="e">
        <f>AND(#REF!,"AAAAAG9ztb8=")</f>
        <v>#REF!</v>
      </c>
      <c r="GK118" t="e">
        <f>AND(#REF!,"AAAAAG9ztcA=")</f>
        <v>#REF!</v>
      </c>
      <c r="GL118" t="e">
        <f>AND(#REF!,"AAAAAG9ztcE=")</f>
        <v>#REF!</v>
      </c>
      <c r="GM118" t="e">
        <f>AND(#REF!,"AAAAAG9ztcI=")</f>
        <v>#REF!</v>
      </c>
      <c r="GN118" t="e">
        <f>AND(#REF!,"AAAAAG9ztcM=")</f>
        <v>#REF!</v>
      </c>
      <c r="GO118" t="e">
        <f>AND(#REF!,"AAAAAG9ztcQ=")</f>
        <v>#REF!</v>
      </c>
      <c r="GP118" t="e">
        <f>AND(#REF!,"AAAAAG9ztcU=")</f>
        <v>#REF!</v>
      </c>
      <c r="GQ118" t="e">
        <f>AND(#REF!,"AAAAAG9ztcY=")</f>
        <v>#REF!</v>
      </c>
      <c r="GR118" t="e">
        <f>AND(#REF!,"AAAAAG9ztcc=")</f>
        <v>#REF!</v>
      </c>
      <c r="GS118" t="e">
        <f>AND(#REF!,"AAAAAG9ztcg=")</f>
        <v>#REF!</v>
      </c>
      <c r="GT118" t="e">
        <f>AND(#REF!,"AAAAAG9ztck=")</f>
        <v>#REF!</v>
      </c>
      <c r="GU118" t="e">
        <f>AND(#REF!,"AAAAAG9ztco=")</f>
        <v>#REF!</v>
      </c>
      <c r="GV118" t="e">
        <f>AND(#REF!,"AAAAAG9ztcs=")</f>
        <v>#REF!</v>
      </c>
      <c r="GW118" t="e">
        <f>AND(#REF!,"AAAAAG9ztcw=")</f>
        <v>#REF!</v>
      </c>
      <c r="GX118" t="e">
        <f>AND(#REF!,"AAAAAG9ztc0=")</f>
        <v>#REF!</v>
      </c>
      <c r="GY118" t="e">
        <f>AND(#REF!,"AAAAAG9ztc4=")</f>
        <v>#REF!</v>
      </c>
      <c r="GZ118" t="e">
        <f>AND(#REF!,"AAAAAG9ztc8=")</f>
        <v>#REF!</v>
      </c>
      <c r="HA118" t="e">
        <f>AND(#REF!,"AAAAAG9ztdA=")</f>
        <v>#REF!</v>
      </c>
      <c r="HB118" t="e">
        <f>AND(#REF!,"AAAAAG9ztdE=")</f>
        <v>#REF!</v>
      </c>
      <c r="HC118" t="e">
        <f>AND(#REF!,"AAAAAG9ztdI=")</f>
        <v>#REF!</v>
      </c>
      <c r="HD118" t="e">
        <f>AND(#REF!,"AAAAAG9ztdM=")</f>
        <v>#REF!</v>
      </c>
      <c r="HE118" t="e">
        <f>AND(#REF!,"AAAAAG9ztdQ=")</f>
        <v>#REF!</v>
      </c>
      <c r="HF118" t="e">
        <f>AND(#REF!,"AAAAAG9ztdU=")</f>
        <v>#REF!</v>
      </c>
      <c r="HG118" t="e">
        <f>AND(#REF!,"AAAAAG9ztdY=")</f>
        <v>#REF!</v>
      </c>
      <c r="HH118" t="e">
        <f>AND(#REF!,"AAAAAG9ztdc=")</f>
        <v>#REF!</v>
      </c>
      <c r="HI118" t="e">
        <f>AND(#REF!,"AAAAAG9ztdg=")</f>
        <v>#REF!</v>
      </c>
      <c r="HJ118" t="e">
        <f>AND(#REF!,"AAAAAG9ztdk=")</f>
        <v>#REF!</v>
      </c>
      <c r="HK118" t="e">
        <f>AND(#REF!,"AAAAAG9ztdo=")</f>
        <v>#REF!</v>
      </c>
      <c r="HL118" t="e">
        <f>AND(#REF!,"AAAAAG9ztds=")</f>
        <v>#REF!</v>
      </c>
      <c r="HM118" t="e">
        <f>AND(#REF!,"AAAAAG9ztdw=")</f>
        <v>#REF!</v>
      </c>
      <c r="HN118" t="e">
        <f>AND(#REF!,"AAAAAG9ztd0=")</f>
        <v>#REF!</v>
      </c>
      <c r="HO118" t="e">
        <f>AND(#REF!,"AAAAAG9ztd4=")</f>
        <v>#REF!</v>
      </c>
      <c r="HP118" t="e">
        <f>AND(#REF!,"AAAAAG9ztd8=")</f>
        <v>#REF!</v>
      </c>
      <c r="HQ118" t="e">
        <f>AND(#REF!,"AAAAAG9zteA=")</f>
        <v>#REF!</v>
      </c>
      <c r="HR118" t="e">
        <f>AND(#REF!,"AAAAAG9zteE=")</f>
        <v>#REF!</v>
      </c>
      <c r="HS118" t="e">
        <f>AND(#REF!,"AAAAAG9zteI=")</f>
        <v>#REF!</v>
      </c>
      <c r="HT118" t="e">
        <f>AND(#REF!,"AAAAAG9zteM=")</f>
        <v>#REF!</v>
      </c>
      <c r="HU118" t="e">
        <f>AND(#REF!,"AAAAAG9zteQ=")</f>
        <v>#REF!</v>
      </c>
      <c r="HV118" t="e">
        <f>AND(#REF!,"AAAAAG9zteU=")</f>
        <v>#REF!</v>
      </c>
      <c r="HW118" t="e">
        <f>AND(#REF!,"AAAAAG9zteY=")</f>
        <v>#REF!</v>
      </c>
      <c r="HX118" t="e">
        <f>AND(#REF!,"AAAAAG9ztec=")</f>
        <v>#REF!</v>
      </c>
      <c r="HY118" t="e">
        <f>AND(#REF!,"AAAAAG9zteg=")</f>
        <v>#REF!</v>
      </c>
      <c r="HZ118" t="e">
        <f>AND(#REF!,"AAAAAG9ztek=")</f>
        <v>#REF!</v>
      </c>
      <c r="IA118" t="e">
        <f>AND(#REF!,"AAAAAG9zteo=")</f>
        <v>#REF!</v>
      </c>
      <c r="IB118" t="e">
        <f>AND(#REF!,"AAAAAG9ztes=")</f>
        <v>#REF!</v>
      </c>
      <c r="IC118" t="e">
        <f>AND(#REF!,"AAAAAG9ztew=")</f>
        <v>#REF!</v>
      </c>
      <c r="ID118" t="e">
        <f>AND(#REF!,"AAAAAG9zte0=")</f>
        <v>#REF!</v>
      </c>
      <c r="IE118" t="e">
        <f>AND(#REF!,"AAAAAG9zte4=")</f>
        <v>#REF!</v>
      </c>
      <c r="IF118" t="e">
        <f>AND(#REF!,"AAAAAG9zte8=")</f>
        <v>#REF!</v>
      </c>
      <c r="IG118" t="e">
        <f>AND(#REF!,"AAAAAG9ztfA=")</f>
        <v>#REF!</v>
      </c>
      <c r="IH118" t="e">
        <f>AND(#REF!,"AAAAAG9ztfE=")</f>
        <v>#REF!</v>
      </c>
      <c r="II118" t="e">
        <f>AND(#REF!,"AAAAAG9ztfI=")</f>
        <v>#REF!</v>
      </c>
      <c r="IJ118" t="e">
        <f>AND(#REF!,"AAAAAG9ztfM=")</f>
        <v>#REF!</v>
      </c>
      <c r="IK118" t="e">
        <f>AND(#REF!,"AAAAAG9ztfQ=")</f>
        <v>#REF!</v>
      </c>
      <c r="IL118" t="e">
        <f>AND(#REF!,"AAAAAG9ztfU=")</f>
        <v>#REF!</v>
      </c>
      <c r="IM118" t="e">
        <f>AND(#REF!,"AAAAAG9ztfY=")</f>
        <v>#REF!</v>
      </c>
      <c r="IN118" t="e">
        <f>AND(#REF!,"AAAAAG9ztfc=")</f>
        <v>#REF!</v>
      </c>
      <c r="IO118" t="e">
        <f>AND(#REF!,"AAAAAG9ztfg=")</f>
        <v>#REF!</v>
      </c>
      <c r="IP118" t="e">
        <f>AND(#REF!,"AAAAAG9ztfk=")</f>
        <v>#REF!</v>
      </c>
      <c r="IQ118" t="e">
        <f>AND(#REF!,"AAAAAG9ztfo=")</f>
        <v>#REF!</v>
      </c>
      <c r="IR118" t="e">
        <f>AND(#REF!,"AAAAAG9ztfs=")</f>
        <v>#REF!</v>
      </c>
      <c r="IS118" t="e">
        <f>AND(#REF!,"AAAAAG9ztfw=")</f>
        <v>#REF!</v>
      </c>
      <c r="IT118" t="e">
        <f>AND(#REF!,"AAAAAG9ztf0=")</f>
        <v>#REF!</v>
      </c>
      <c r="IU118" t="e">
        <f>AND(#REF!,"AAAAAG9ztf4=")</f>
        <v>#REF!</v>
      </c>
      <c r="IV118" t="e">
        <f>AND(#REF!,"AAAAAG9ztf8=")</f>
        <v>#REF!</v>
      </c>
    </row>
    <row r="119" spans="1:256">
      <c r="A119" t="e">
        <f>AND(#REF!,"AAAAAH/n/gA=")</f>
        <v>#REF!</v>
      </c>
      <c r="B119" t="e">
        <f>AND(#REF!,"AAAAAH/n/gE=")</f>
        <v>#REF!</v>
      </c>
      <c r="C119" t="e">
        <f>AND(#REF!,"AAAAAH/n/gI=")</f>
        <v>#REF!</v>
      </c>
      <c r="D119" t="e">
        <f>AND(#REF!,"AAAAAH/n/gM=")</f>
        <v>#REF!</v>
      </c>
      <c r="E119" t="e">
        <f>AND(#REF!,"AAAAAH/n/gQ=")</f>
        <v>#REF!</v>
      </c>
      <c r="F119" t="e">
        <f>AND(#REF!,"AAAAAH/n/gU=")</f>
        <v>#REF!</v>
      </c>
      <c r="G119" t="e">
        <f>AND(#REF!,"AAAAAH/n/gY=")</f>
        <v>#REF!</v>
      </c>
      <c r="H119" t="e">
        <f>AND(#REF!,"AAAAAH/n/gc=")</f>
        <v>#REF!</v>
      </c>
      <c r="I119" t="e">
        <f>AND(#REF!,"AAAAAH/n/gg=")</f>
        <v>#REF!</v>
      </c>
      <c r="J119" t="e">
        <f>AND(#REF!,"AAAAAH/n/gk=")</f>
        <v>#REF!</v>
      </c>
      <c r="K119" t="e">
        <f>AND(#REF!,"AAAAAH/n/go=")</f>
        <v>#REF!</v>
      </c>
      <c r="L119" t="e">
        <f>AND(#REF!,"AAAAAH/n/gs=")</f>
        <v>#REF!</v>
      </c>
      <c r="M119" t="e">
        <f>AND(#REF!,"AAAAAH/n/gw=")</f>
        <v>#REF!</v>
      </c>
      <c r="N119" t="e">
        <f>AND(#REF!,"AAAAAH/n/g0=")</f>
        <v>#REF!</v>
      </c>
      <c r="O119" t="e">
        <f>AND(#REF!,"AAAAAH/n/g4=")</f>
        <v>#REF!</v>
      </c>
      <c r="P119" t="e">
        <f>AND(#REF!,"AAAAAH/n/g8=")</f>
        <v>#REF!</v>
      </c>
      <c r="Q119" t="e">
        <f>AND(#REF!,"AAAAAH/n/hA=")</f>
        <v>#REF!</v>
      </c>
      <c r="R119" t="e">
        <f>AND(#REF!,"AAAAAH/n/hE=")</f>
        <v>#REF!</v>
      </c>
      <c r="S119" t="e">
        <f>AND(#REF!,"AAAAAH/n/hI=")</f>
        <v>#REF!</v>
      </c>
      <c r="T119" t="e">
        <f>AND(#REF!,"AAAAAH/n/hM=")</f>
        <v>#REF!</v>
      </c>
      <c r="U119" t="e">
        <f>AND(#REF!,"AAAAAH/n/hQ=")</f>
        <v>#REF!</v>
      </c>
      <c r="V119" t="e">
        <f>AND(#REF!,"AAAAAH/n/hU=")</f>
        <v>#REF!</v>
      </c>
      <c r="W119" t="e">
        <f>AND(#REF!,"AAAAAH/n/hY=")</f>
        <v>#REF!</v>
      </c>
      <c r="X119" t="e">
        <f>AND(#REF!,"AAAAAH/n/hc=")</f>
        <v>#REF!</v>
      </c>
      <c r="Y119" t="e">
        <f>AND(#REF!,"AAAAAH/n/hg=")</f>
        <v>#REF!</v>
      </c>
      <c r="Z119" t="e">
        <f>AND(#REF!,"AAAAAH/n/hk=")</f>
        <v>#REF!</v>
      </c>
      <c r="AA119" t="e">
        <f>AND(#REF!,"AAAAAH/n/ho=")</f>
        <v>#REF!</v>
      </c>
      <c r="AB119" t="e">
        <f>AND(#REF!,"AAAAAH/n/hs=")</f>
        <v>#REF!</v>
      </c>
      <c r="AC119" t="e">
        <f>AND(#REF!,"AAAAAH/n/hw=")</f>
        <v>#REF!</v>
      </c>
      <c r="AD119" t="e">
        <f>AND(#REF!,"AAAAAH/n/h0=")</f>
        <v>#REF!</v>
      </c>
      <c r="AE119" t="e">
        <f>AND(#REF!,"AAAAAH/n/h4=")</f>
        <v>#REF!</v>
      </c>
      <c r="AF119" t="e">
        <f>AND(#REF!,"AAAAAH/n/h8=")</f>
        <v>#REF!</v>
      </c>
      <c r="AG119" t="e">
        <f>AND(#REF!,"AAAAAH/n/iA=")</f>
        <v>#REF!</v>
      </c>
      <c r="AH119" t="e">
        <f>AND(#REF!,"AAAAAH/n/iE=")</f>
        <v>#REF!</v>
      </c>
      <c r="AI119" t="e">
        <f>AND(#REF!,"AAAAAH/n/iI=")</f>
        <v>#REF!</v>
      </c>
      <c r="AJ119" t="e">
        <f>AND(#REF!,"AAAAAH/n/iM=")</f>
        <v>#REF!</v>
      </c>
      <c r="AK119" t="e">
        <f>AND(#REF!,"AAAAAH/n/iQ=")</f>
        <v>#REF!</v>
      </c>
      <c r="AL119" t="e">
        <f>AND(#REF!,"AAAAAH/n/iU=")</f>
        <v>#REF!</v>
      </c>
      <c r="AM119" t="e">
        <f>AND(#REF!,"AAAAAH/n/iY=")</f>
        <v>#REF!</v>
      </c>
      <c r="AN119" t="e">
        <f>AND(#REF!,"AAAAAH/n/ic=")</f>
        <v>#REF!</v>
      </c>
      <c r="AO119" t="e">
        <f>AND(#REF!,"AAAAAH/n/ig=")</f>
        <v>#REF!</v>
      </c>
      <c r="AP119" t="e">
        <f>AND(#REF!,"AAAAAH/n/ik=")</f>
        <v>#REF!</v>
      </c>
      <c r="AQ119" t="e">
        <f>AND(#REF!,"AAAAAH/n/io=")</f>
        <v>#REF!</v>
      </c>
      <c r="AR119" t="e">
        <f>AND(#REF!,"AAAAAH/n/is=")</f>
        <v>#REF!</v>
      </c>
      <c r="AS119" t="e">
        <f>AND(#REF!,"AAAAAH/n/iw=")</f>
        <v>#REF!</v>
      </c>
      <c r="AT119" t="e">
        <f>AND(#REF!,"AAAAAH/n/i0=")</f>
        <v>#REF!</v>
      </c>
      <c r="AU119" t="e">
        <f>AND(#REF!,"AAAAAH/n/i4=")</f>
        <v>#REF!</v>
      </c>
      <c r="AV119" t="e">
        <f>AND(#REF!,"AAAAAH/n/i8=")</f>
        <v>#REF!</v>
      </c>
      <c r="AW119" t="e">
        <f>AND(#REF!,"AAAAAH/n/jA=")</f>
        <v>#REF!</v>
      </c>
      <c r="AX119" t="e">
        <f>AND(#REF!,"AAAAAH/n/jE=")</f>
        <v>#REF!</v>
      </c>
      <c r="AY119" t="e">
        <f>AND(#REF!,"AAAAAH/n/jI=")</f>
        <v>#REF!</v>
      </c>
      <c r="AZ119" t="e">
        <f>AND(#REF!,"AAAAAH/n/jM=")</f>
        <v>#REF!</v>
      </c>
      <c r="BA119" t="e">
        <f>AND(#REF!,"AAAAAH/n/jQ=")</f>
        <v>#REF!</v>
      </c>
      <c r="BB119" t="e">
        <f>AND(#REF!,"AAAAAH/n/jU=")</f>
        <v>#REF!</v>
      </c>
      <c r="BC119" t="e">
        <f>AND(#REF!,"AAAAAH/n/jY=")</f>
        <v>#REF!</v>
      </c>
      <c r="BD119" t="e">
        <f>AND(#REF!,"AAAAAH/n/jc=")</f>
        <v>#REF!</v>
      </c>
      <c r="BE119" t="e">
        <f>AND(#REF!,"AAAAAH/n/jg=")</f>
        <v>#REF!</v>
      </c>
      <c r="BF119" t="e">
        <f>AND(#REF!,"AAAAAH/n/jk=")</f>
        <v>#REF!</v>
      </c>
      <c r="BG119" t="e">
        <f>AND(#REF!,"AAAAAH/n/jo=")</f>
        <v>#REF!</v>
      </c>
      <c r="BH119" t="e">
        <f>AND(#REF!,"AAAAAH/n/js=")</f>
        <v>#REF!</v>
      </c>
      <c r="BI119" t="e">
        <f>AND(#REF!,"AAAAAH/n/jw=")</f>
        <v>#REF!</v>
      </c>
      <c r="BJ119" t="e">
        <f>AND(#REF!,"AAAAAH/n/j0=")</f>
        <v>#REF!</v>
      </c>
      <c r="BK119" t="e">
        <f>AND(#REF!,"AAAAAH/n/j4=")</f>
        <v>#REF!</v>
      </c>
      <c r="BL119" t="e">
        <f>AND(#REF!,"AAAAAH/n/j8=")</f>
        <v>#REF!</v>
      </c>
      <c r="BM119" t="e">
        <f>AND(#REF!,"AAAAAH/n/kA=")</f>
        <v>#REF!</v>
      </c>
      <c r="BN119" t="e">
        <f>AND(#REF!,"AAAAAH/n/kE=")</f>
        <v>#REF!</v>
      </c>
      <c r="BO119" t="e">
        <f>AND(#REF!,"AAAAAH/n/kI=")</f>
        <v>#REF!</v>
      </c>
      <c r="BP119" t="e">
        <f>AND(#REF!,"AAAAAH/n/kM=")</f>
        <v>#REF!</v>
      </c>
      <c r="BQ119" t="e">
        <f>AND(#REF!,"AAAAAH/n/kQ=")</f>
        <v>#REF!</v>
      </c>
      <c r="BR119" t="e">
        <f>AND(#REF!,"AAAAAH/n/kU=")</f>
        <v>#REF!</v>
      </c>
      <c r="BS119" t="e">
        <f>AND(#REF!,"AAAAAH/n/kY=")</f>
        <v>#REF!</v>
      </c>
      <c r="BT119" t="e">
        <f>AND(#REF!,"AAAAAH/n/kc=")</f>
        <v>#REF!</v>
      </c>
      <c r="BU119" t="e">
        <f>AND(#REF!,"AAAAAH/n/kg=")</f>
        <v>#REF!</v>
      </c>
      <c r="BV119" t="e">
        <f>AND(#REF!,"AAAAAH/n/kk=")</f>
        <v>#REF!</v>
      </c>
      <c r="BW119" t="e">
        <f>AND(#REF!,"AAAAAH/n/ko=")</f>
        <v>#REF!</v>
      </c>
      <c r="BX119" t="e">
        <f>AND(#REF!,"AAAAAH/n/ks=")</f>
        <v>#REF!</v>
      </c>
      <c r="BY119" t="e">
        <f>AND(#REF!,"AAAAAH/n/kw=")</f>
        <v>#REF!</v>
      </c>
      <c r="BZ119" t="e">
        <f>AND(#REF!,"AAAAAH/n/k0=")</f>
        <v>#REF!</v>
      </c>
      <c r="CA119" t="e">
        <f>AND(#REF!,"AAAAAH/n/k4=")</f>
        <v>#REF!</v>
      </c>
      <c r="CB119" t="e">
        <f>AND(#REF!,"AAAAAH/n/k8=")</f>
        <v>#REF!</v>
      </c>
      <c r="CC119" t="e">
        <f>AND(#REF!,"AAAAAH/n/lA=")</f>
        <v>#REF!</v>
      </c>
      <c r="CD119" t="e">
        <f>AND(#REF!,"AAAAAH/n/lE=")</f>
        <v>#REF!</v>
      </c>
      <c r="CE119" t="e">
        <f>AND(#REF!,"AAAAAH/n/lI=")</f>
        <v>#REF!</v>
      </c>
      <c r="CF119" t="e">
        <f>AND(#REF!,"AAAAAH/n/lM=")</f>
        <v>#REF!</v>
      </c>
      <c r="CG119" t="e">
        <f>AND(#REF!,"AAAAAH/n/lQ=")</f>
        <v>#REF!</v>
      </c>
      <c r="CH119" t="e">
        <f>AND(#REF!,"AAAAAH/n/lU=")</f>
        <v>#REF!</v>
      </c>
      <c r="CI119" t="e">
        <f>AND(#REF!,"AAAAAH/n/lY=")</f>
        <v>#REF!</v>
      </c>
      <c r="CJ119" t="e">
        <f>AND(#REF!,"AAAAAH/n/lc=")</f>
        <v>#REF!</v>
      </c>
      <c r="CK119" t="e">
        <f>AND(#REF!,"AAAAAH/n/lg=")</f>
        <v>#REF!</v>
      </c>
      <c r="CL119" t="e">
        <f>AND(#REF!,"AAAAAH/n/lk=")</f>
        <v>#REF!</v>
      </c>
      <c r="CM119" t="e">
        <f>AND(#REF!,"AAAAAH/n/lo=")</f>
        <v>#REF!</v>
      </c>
      <c r="CN119" t="e">
        <f>AND(#REF!,"AAAAAH/n/ls=")</f>
        <v>#REF!</v>
      </c>
      <c r="CO119" t="e">
        <f>AND(#REF!,"AAAAAH/n/lw=")</f>
        <v>#REF!</v>
      </c>
      <c r="CP119" t="e">
        <f>AND(#REF!,"AAAAAH/n/l0=")</f>
        <v>#REF!</v>
      </c>
      <c r="CQ119" t="e">
        <f>AND(#REF!,"AAAAAH/n/l4=")</f>
        <v>#REF!</v>
      </c>
      <c r="CR119" t="e">
        <f>AND(#REF!,"AAAAAH/n/l8=")</f>
        <v>#REF!</v>
      </c>
      <c r="CS119" t="e">
        <f>AND(#REF!,"AAAAAH/n/mA=")</f>
        <v>#REF!</v>
      </c>
      <c r="CT119" t="e">
        <f>AND(#REF!,"AAAAAH/n/mE=")</f>
        <v>#REF!</v>
      </c>
      <c r="CU119" t="e">
        <f>AND(#REF!,"AAAAAH/n/mI=")</f>
        <v>#REF!</v>
      </c>
      <c r="CV119" t="e">
        <f>AND(#REF!,"AAAAAH/n/mM=")</f>
        <v>#REF!</v>
      </c>
      <c r="CW119" t="e">
        <f>AND(#REF!,"AAAAAH/n/mQ=")</f>
        <v>#REF!</v>
      </c>
      <c r="CX119" t="e">
        <f>AND(#REF!,"AAAAAH/n/mU=")</f>
        <v>#REF!</v>
      </c>
      <c r="CY119" t="e">
        <f>AND(#REF!,"AAAAAH/n/mY=")</f>
        <v>#REF!</v>
      </c>
      <c r="CZ119" t="e">
        <f>AND(#REF!,"AAAAAH/n/mc=")</f>
        <v>#REF!</v>
      </c>
      <c r="DA119" t="e">
        <f>AND(#REF!,"AAAAAH/n/mg=")</f>
        <v>#REF!</v>
      </c>
      <c r="DB119" t="e">
        <f>AND(#REF!,"AAAAAH/n/mk=")</f>
        <v>#REF!</v>
      </c>
      <c r="DC119" t="e">
        <f>AND(#REF!,"AAAAAH/n/mo=")</f>
        <v>#REF!</v>
      </c>
      <c r="DD119" t="e">
        <f>AND(#REF!,"AAAAAH/n/ms=")</f>
        <v>#REF!</v>
      </c>
      <c r="DE119" t="e">
        <f>AND(#REF!,"AAAAAH/n/mw=")</f>
        <v>#REF!</v>
      </c>
      <c r="DF119" t="e">
        <f>AND(#REF!,"AAAAAH/n/m0=")</f>
        <v>#REF!</v>
      </c>
      <c r="DG119" t="e">
        <f>AND(#REF!,"AAAAAH/n/m4=")</f>
        <v>#REF!</v>
      </c>
      <c r="DH119" t="e">
        <f>AND(#REF!,"AAAAAH/n/m8=")</f>
        <v>#REF!</v>
      </c>
      <c r="DI119" t="e">
        <f>AND(#REF!,"AAAAAH/n/nA=")</f>
        <v>#REF!</v>
      </c>
      <c r="DJ119" t="e">
        <f>AND(#REF!,"AAAAAH/n/nE=")</f>
        <v>#REF!</v>
      </c>
      <c r="DK119" t="e">
        <f>AND(#REF!,"AAAAAH/n/nI=")</f>
        <v>#REF!</v>
      </c>
      <c r="DL119" t="e">
        <f>AND(#REF!,"AAAAAH/n/nM=")</f>
        <v>#REF!</v>
      </c>
      <c r="DM119" t="e">
        <f>AND(#REF!,"AAAAAH/n/nQ=")</f>
        <v>#REF!</v>
      </c>
      <c r="DN119" t="e">
        <f>AND(#REF!,"AAAAAH/n/nU=")</f>
        <v>#REF!</v>
      </c>
      <c r="DO119" t="e">
        <f>AND(#REF!,"AAAAAH/n/nY=")</f>
        <v>#REF!</v>
      </c>
      <c r="DP119" t="e">
        <f>AND(#REF!,"AAAAAH/n/nc=")</f>
        <v>#REF!</v>
      </c>
      <c r="DQ119" t="e">
        <f>AND(#REF!,"AAAAAH/n/ng=")</f>
        <v>#REF!</v>
      </c>
      <c r="DR119" t="e">
        <f>AND(#REF!,"AAAAAH/n/nk=")</f>
        <v>#REF!</v>
      </c>
      <c r="DS119" t="e">
        <f>AND(#REF!,"AAAAAH/n/no=")</f>
        <v>#REF!</v>
      </c>
      <c r="DT119" t="e">
        <f>AND(#REF!,"AAAAAH/n/ns=")</f>
        <v>#REF!</v>
      </c>
      <c r="DU119" t="e">
        <f>AND(#REF!,"AAAAAH/n/nw=")</f>
        <v>#REF!</v>
      </c>
      <c r="DV119" t="e">
        <f>AND(#REF!,"AAAAAH/n/n0=")</f>
        <v>#REF!</v>
      </c>
      <c r="DW119" t="e">
        <f>AND(#REF!,"AAAAAH/n/n4=")</f>
        <v>#REF!</v>
      </c>
      <c r="DX119" t="e">
        <f>AND(#REF!,"AAAAAH/n/n8=")</f>
        <v>#REF!</v>
      </c>
      <c r="DY119" t="e">
        <f>AND(#REF!,"AAAAAH/n/oA=")</f>
        <v>#REF!</v>
      </c>
      <c r="DZ119" t="e">
        <f>AND(#REF!,"AAAAAH/n/oE=")</f>
        <v>#REF!</v>
      </c>
      <c r="EA119" t="e">
        <f>AND(#REF!,"AAAAAH/n/oI=")</f>
        <v>#REF!</v>
      </c>
      <c r="EB119" t="e">
        <f>AND(#REF!,"AAAAAH/n/oM=")</f>
        <v>#REF!</v>
      </c>
      <c r="EC119" t="e">
        <f>AND(#REF!,"AAAAAH/n/oQ=")</f>
        <v>#REF!</v>
      </c>
      <c r="ED119" t="e">
        <f>AND(#REF!,"AAAAAH/n/oU=")</f>
        <v>#REF!</v>
      </c>
      <c r="EE119" t="e">
        <f>AND(#REF!,"AAAAAH/n/oY=")</f>
        <v>#REF!</v>
      </c>
      <c r="EF119" t="e">
        <f>AND(#REF!,"AAAAAH/n/oc=")</f>
        <v>#REF!</v>
      </c>
      <c r="EG119" t="e">
        <f>AND(#REF!,"AAAAAH/n/og=")</f>
        <v>#REF!</v>
      </c>
      <c r="EH119" t="e">
        <f>AND(#REF!,"AAAAAH/n/ok=")</f>
        <v>#REF!</v>
      </c>
      <c r="EI119" t="e">
        <f>AND(#REF!,"AAAAAH/n/oo=")</f>
        <v>#REF!</v>
      </c>
      <c r="EJ119" t="e">
        <f>AND(#REF!,"AAAAAH/n/os=")</f>
        <v>#REF!</v>
      </c>
      <c r="EK119" t="e">
        <f>AND(#REF!,"AAAAAH/n/ow=")</f>
        <v>#REF!</v>
      </c>
      <c r="EL119" t="e">
        <f>AND(#REF!,"AAAAAH/n/o0=")</f>
        <v>#REF!</v>
      </c>
      <c r="EM119" t="e">
        <f>AND(#REF!,"AAAAAH/n/o4=")</f>
        <v>#REF!</v>
      </c>
      <c r="EN119" t="e">
        <f>AND(#REF!,"AAAAAH/n/o8=")</f>
        <v>#REF!</v>
      </c>
      <c r="EO119" t="e">
        <f>AND(#REF!,"AAAAAH/n/pA=")</f>
        <v>#REF!</v>
      </c>
      <c r="EP119" t="e">
        <f>AND(#REF!,"AAAAAH/n/pE=")</f>
        <v>#REF!</v>
      </c>
      <c r="EQ119" t="e">
        <f>AND(#REF!,"AAAAAH/n/pI=")</f>
        <v>#REF!</v>
      </c>
      <c r="ER119" t="e">
        <f>AND(#REF!,"AAAAAH/n/pM=")</f>
        <v>#REF!</v>
      </c>
      <c r="ES119" t="e">
        <f>AND(#REF!,"AAAAAH/n/pQ=")</f>
        <v>#REF!</v>
      </c>
      <c r="ET119" t="e">
        <f>AND(#REF!,"AAAAAH/n/pU=")</f>
        <v>#REF!</v>
      </c>
      <c r="EU119" t="e">
        <f>AND(#REF!,"AAAAAH/n/pY=")</f>
        <v>#REF!</v>
      </c>
      <c r="EV119" t="e">
        <f>AND(#REF!,"AAAAAH/n/pc=")</f>
        <v>#REF!</v>
      </c>
      <c r="EW119" t="e">
        <f>AND(#REF!,"AAAAAH/n/pg=")</f>
        <v>#REF!</v>
      </c>
      <c r="EX119" t="e">
        <f>AND(#REF!,"AAAAAH/n/pk=")</f>
        <v>#REF!</v>
      </c>
      <c r="EY119" t="e">
        <f>AND(#REF!,"AAAAAH/n/po=")</f>
        <v>#REF!</v>
      </c>
      <c r="EZ119" t="e">
        <f>AND(#REF!,"AAAAAH/n/ps=")</f>
        <v>#REF!</v>
      </c>
      <c r="FA119" t="e">
        <f>AND(#REF!,"AAAAAH/n/pw=")</f>
        <v>#REF!</v>
      </c>
      <c r="FB119" t="e">
        <f>AND(#REF!,"AAAAAH/n/p0=")</f>
        <v>#REF!</v>
      </c>
      <c r="FC119" t="e">
        <f>AND(#REF!,"AAAAAH/n/p4=")</f>
        <v>#REF!</v>
      </c>
      <c r="FD119" t="e">
        <f>AND(#REF!,"AAAAAH/n/p8=")</f>
        <v>#REF!</v>
      </c>
      <c r="FE119" t="e">
        <f>AND(#REF!,"AAAAAH/n/qA=")</f>
        <v>#REF!</v>
      </c>
      <c r="FF119" t="e">
        <f>AND(#REF!,"AAAAAH/n/qE=")</f>
        <v>#REF!</v>
      </c>
      <c r="FG119" t="e">
        <f>AND(#REF!,"AAAAAH/n/qI=")</f>
        <v>#REF!</v>
      </c>
      <c r="FH119" t="e">
        <f>AND(#REF!,"AAAAAH/n/qM=")</f>
        <v>#REF!</v>
      </c>
      <c r="FI119" t="e">
        <f>AND(#REF!,"AAAAAH/n/qQ=")</f>
        <v>#REF!</v>
      </c>
      <c r="FJ119" t="e">
        <f>AND(#REF!,"AAAAAH/n/qU=")</f>
        <v>#REF!</v>
      </c>
      <c r="FK119" t="e">
        <f>AND(#REF!,"AAAAAH/n/qY=")</f>
        <v>#REF!</v>
      </c>
      <c r="FL119" t="e">
        <f>AND(#REF!,"AAAAAH/n/qc=")</f>
        <v>#REF!</v>
      </c>
      <c r="FM119" t="e">
        <f>AND(#REF!,"AAAAAH/n/qg=")</f>
        <v>#REF!</v>
      </c>
      <c r="FN119" t="e">
        <f>AND(#REF!,"AAAAAH/n/qk=")</f>
        <v>#REF!</v>
      </c>
      <c r="FO119" t="e">
        <f>AND(#REF!,"AAAAAH/n/qo=")</f>
        <v>#REF!</v>
      </c>
      <c r="FP119" t="e">
        <f>AND(#REF!,"AAAAAH/n/qs=")</f>
        <v>#REF!</v>
      </c>
      <c r="FQ119" t="e">
        <f>AND(#REF!,"AAAAAH/n/qw=")</f>
        <v>#REF!</v>
      </c>
      <c r="FR119" t="e">
        <f>AND(#REF!,"AAAAAH/n/q0=")</f>
        <v>#REF!</v>
      </c>
      <c r="FS119" t="e">
        <f>AND(#REF!,"AAAAAH/n/q4=")</f>
        <v>#REF!</v>
      </c>
      <c r="FT119" t="e">
        <f>AND(#REF!,"AAAAAH/n/q8=")</f>
        <v>#REF!</v>
      </c>
      <c r="FU119" t="e">
        <f>AND(#REF!,"AAAAAH/n/rA=")</f>
        <v>#REF!</v>
      </c>
      <c r="FV119" t="e">
        <f>AND(#REF!,"AAAAAH/n/rE=")</f>
        <v>#REF!</v>
      </c>
      <c r="FW119" t="e">
        <f>AND(#REF!,"AAAAAH/n/rI=")</f>
        <v>#REF!</v>
      </c>
      <c r="FX119" t="e">
        <f>AND(#REF!,"AAAAAH/n/rM=")</f>
        <v>#REF!</v>
      </c>
      <c r="FY119" t="e">
        <f>AND(#REF!,"AAAAAH/n/rQ=")</f>
        <v>#REF!</v>
      </c>
      <c r="FZ119" t="e">
        <f>AND(#REF!,"AAAAAH/n/rU=")</f>
        <v>#REF!</v>
      </c>
      <c r="GA119" t="e">
        <f>AND(#REF!,"AAAAAH/n/rY=")</f>
        <v>#REF!</v>
      </c>
      <c r="GB119" t="e">
        <f>AND(#REF!,"AAAAAH/n/rc=")</f>
        <v>#REF!</v>
      </c>
      <c r="GC119" t="e">
        <f>AND(#REF!,"AAAAAH/n/rg=")</f>
        <v>#REF!</v>
      </c>
      <c r="GD119" t="e">
        <f>AND(#REF!,"AAAAAH/n/rk=")</f>
        <v>#REF!</v>
      </c>
      <c r="GE119" t="e">
        <f>AND(#REF!,"AAAAAH/n/ro=")</f>
        <v>#REF!</v>
      </c>
      <c r="GF119" t="e">
        <f>AND(#REF!,"AAAAAH/n/rs=")</f>
        <v>#REF!</v>
      </c>
      <c r="GG119" t="e">
        <f>AND(#REF!,"AAAAAH/n/rw=")</f>
        <v>#REF!</v>
      </c>
      <c r="GH119" t="e">
        <f>AND(#REF!,"AAAAAH/n/r0=")</f>
        <v>#REF!</v>
      </c>
      <c r="GI119" t="e">
        <f>AND(#REF!,"AAAAAH/n/r4=")</f>
        <v>#REF!</v>
      </c>
      <c r="GJ119" t="e">
        <f>AND(#REF!,"AAAAAH/n/r8=")</f>
        <v>#REF!</v>
      </c>
      <c r="GK119" t="e">
        <f>AND(#REF!,"AAAAAH/n/sA=")</f>
        <v>#REF!</v>
      </c>
      <c r="GL119" t="e">
        <f>AND(#REF!,"AAAAAH/n/sE=")</f>
        <v>#REF!</v>
      </c>
      <c r="GM119" t="e">
        <f>AND(#REF!,"AAAAAH/n/sI=")</f>
        <v>#REF!</v>
      </c>
      <c r="GN119" t="e">
        <f>AND(#REF!,"AAAAAH/n/sM=")</f>
        <v>#REF!</v>
      </c>
      <c r="GO119" t="e">
        <f>AND(#REF!,"AAAAAH/n/sQ=")</f>
        <v>#REF!</v>
      </c>
      <c r="GP119" t="e">
        <f>AND(#REF!,"AAAAAH/n/sU=")</f>
        <v>#REF!</v>
      </c>
      <c r="GQ119" t="e">
        <f>AND(#REF!,"AAAAAH/n/sY=")</f>
        <v>#REF!</v>
      </c>
      <c r="GR119" t="e">
        <f>AND(#REF!,"AAAAAH/n/sc=")</f>
        <v>#REF!</v>
      </c>
      <c r="GS119" t="e">
        <f>AND(#REF!,"AAAAAH/n/sg=")</f>
        <v>#REF!</v>
      </c>
      <c r="GT119" t="e">
        <f>AND(#REF!,"AAAAAH/n/sk=")</f>
        <v>#REF!</v>
      </c>
      <c r="GU119" t="e">
        <f>AND(#REF!,"AAAAAH/n/so=")</f>
        <v>#REF!</v>
      </c>
      <c r="GV119" t="e">
        <f>AND(#REF!,"AAAAAH/n/ss=")</f>
        <v>#REF!</v>
      </c>
      <c r="GW119" t="e">
        <f>AND(#REF!,"AAAAAH/n/sw=")</f>
        <v>#REF!</v>
      </c>
      <c r="GX119" t="e">
        <f>AND(#REF!,"AAAAAH/n/s0=")</f>
        <v>#REF!</v>
      </c>
      <c r="GY119" t="e">
        <f>AND(#REF!,"AAAAAH/n/s4=")</f>
        <v>#REF!</v>
      </c>
      <c r="GZ119" t="e">
        <f>AND(#REF!,"AAAAAH/n/s8=")</f>
        <v>#REF!</v>
      </c>
      <c r="HA119" t="e">
        <f>AND(#REF!,"AAAAAH/n/tA=")</f>
        <v>#REF!</v>
      </c>
      <c r="HB119" t="e">
        <f>AND(#REF!,"AAAAAH/n/tE=")</f>
        <v>#REF!</v>
      </c>
      <c r="HC119" t="e">
        <f>AND(#REF!,"AAAAAH/n/tI=")</f>
        <v>#REF!</v>
      </c>
      <c r="HD119" t="e">
        <f>AND(#REF!,"AAAAAH/n/tM=")</f>
        <v>#REF!</v>
      </c>
      <c r="HE119" t="e">
        <f>AND(#REF!,"AAAAAH/n/tQ=")</f>
        <v>#REF!</v>
      </c>
      <c r="HF119" t="e">
        <f>AND(#REF!,"AAAAAH/n/tU=")</f>
        <v>#REF!</v>
      </c>
      <c r="HG119" t="e">
        <f>AND(#REF!,"AAAAAH/n/tY=")</f>
        <v>#REF!</v>
      </c>
      <c r="HH119" t="e">
        <f>AND(#REF!,"AAAAAH/n/tc=")</f>
        <v>#REF!</v>
      </c>
      <c r="HI119" t="e">
        <f>AND(#REF!,"AAAAAH/n/tg=")</f>
        <v>#REF!</v>
      </c>
      <c r="HJ119" t="e">
        <f>AND(#REF!,"AAAAAH/n/tk=")</f>
        <v>#REF!</v>
      </c>
      <c r="HK119" t="e">
        <f>AND(#REF!,"AAAAAH/n/to=")</f>
        <v>#REF!</v>
      </c>
      <c r="HL119" t="e">
        <f>AND(#REF!,"AAAAAH/n/ts=")</f>
        <v>#REF!</v>
      </c>
      <c r="HM119" t="e">
        <f>AND(#REF!,"AAAAAH/n/tw=")</f>
        <v>#REF!</v>
      </c>
      <c r="HN119" t="e">
        <f>AND(#REF!,"AAAAAH/n/t0=")</f>
        <v>#REF!</v>
      </c>
      <c r="HO119" t="e">
        <f>AND(#REF!,"AAAAAH/n/t4=")</f>
        <v>#REF!</v>
      </c>
      <c r="HP119" t="e">
        <f>AND(#REF!,"AAAAAH/n/t8=")</f>
        <v>#REF!</v>
      </c>
      <c r="HQ119" t="e">
        <f>AND(#REF!,"AAAAAH/n/uA=")</f>
        <v>#REF!</v>
      </c>
      <c r="HR119" t="e">
        <f>AND(#REF!,"AAAAAH/n/uE=")</f>
        <v>#REF!</v>
      </c>
      <c r="HS119" t="e">
        <f>AND(#REF!,"AAAAAH/n/uI=")</f>
        <v>#REF!</v>
      </c>
      <c r="HT119" t="e">
        <f>AND(#REF!,"AAAAAH/n/uM=")</f>
        <v>#REF!</v>
      </c>
      <c r="HU119" t="e">
        <f>AND(#REF!,"AAAAAH/n/uQ=")</f>
        <v>#REF!</v>
      </c>
      <c r="HV119" t="e">
        <f>AND(#REF!,"AAAAAH/n/uU=")</f>
        <v>#REF!</v>
      </c>
      <c r="HW119" t="e">
        <f>AND(#REF!,"AAAAAH/n/uY=")</f>
        <v>#REF!</v>
      </c>
      <c r="HX119" t="e">
        <f>AND(#REF!,"AAAAAH/n/uc=")</f>
        <v>#REF!</v>
      </c>
      <c r="HY119" t="e">
        <f>AND(#REF!,"AAAAAH/n/ug=")</f>
        <v>#REF!</v>
      </c>
      <c r="HZ119" t="e">
        <f>AND(#REF!,"AAAAAH/n/uk=")</f>
        <v>#REF!</v>
      </c>
      <c r="IA119" t="e">
        <f>AND(#REF!,"AAAAAH/n/uo=")</f>
        <v>#REF!</v>
      </c>
      <c r="IB119" t="e">
        <f>AND(#REF!,"AAAAAH/n/us=")</f>
        <v>#REF!</v>
      </c>
      <c r="IC119" t="e">
        <f>AND(#REF!,"AAAAAH/n/uw=")</f>
        <v>#REF!</v>
      </c>
      <c r="ID119" t="e">
        <f>AND(#REF!,"AAAAAH/n/u0=")</f>
        <v>#REF!</v>
      </c>
      <c r="IE119" t="e">
        <f>AND(#REF!,"AAAAAH/n/u4=")</f>
        <v>#REF!</v>
      </c>
      <c r="IF119" t="e">
        <f>AND(#REF!,"AAAAAH/n/u8=")</f>
        <v>#REF!</v>
      </c>
      <c r="IG119" t="e">
        <f>AND(#REF!,"AAAAAH/n/vA=")</f>
        <v>#REF!</v>
      </c>
      <c r="IH119" t="e">
        <f>AND(#REF!,"AAAAAH/n/vE=")</f>
        <v>#REF!</v>
      </c>
      <c r="II119" t="e">
        <f>AND(#REF!,"AAAAAH/n/vI=")</f>
        <v>#REF!</v>
      </c>
      <c r="IJ119" t="e">
        <f>AND(#REF!,"AAAAAH/n/vM=")</f>
        <v>#REF!</v>
      </c>
      <c r="IK119" t="e">
        <f>AND(#REF!,"AAAAAH/n/vQ=")</f>
        <v>#REF!</v>
      </c>
      <c r="IL119" t="e">
        <f>AND(#REF!,"AAAAAH/n/vU=")</f>
        <v>#REF!</v>
      </c>
      <c r="IM119" t="e">
        <f>AND(#REF!,"AAAAAH/n/vY=")</f>
        <v>#REF!</v>
      </c>
      <c r="IN119" t="e">
        <f>AND(#REF!,"AAAAAH/n/vc=")</f>
        <v>#REF!</v>
      </c>
      <c r="IO119" t="e">
        <f>AND(#REF!,"AAAAAH/n/vg=")</f>
        <v>#REF!</v>
      </c>
      <c r="IP119" t="e">
        <f>AND(#REF!,"AAAAAH/n/vk=")</f>
        <v>#REF!</v>
      </c>
      <c r="IQ119" t="e">
        <f>AND(#REF!,"AAAAAH/n/vo=")</f>
        <v>#REF!</v>
      </c>
      <c r="IR119" t="e">
        <f>AND(#REF!,"AAAAAH/n/vs=")</f>
        <v>#REF!</v>
      </c>
      <c r="IS119" t="e">
        <f>AND(#REF!,"AAAAAH/n/vw=")</f>
        <v>#REF!</v>
      </c>
      <c r="IT119" t="e">
        <f>AND(#REF!,"AAAAAH/n/v0=")</f>
        <v>#REF!</v>
      </c>
      <c r="IU119" t="e">
        <f>AND(#REF!,"AAAAAH/n/v4=")</f>
        <v>#REF!</v>
      </c>
      <c r="IV119" t="e">
        <f>AND(#REF!,"AAAAAH/n/v8=")</f>
        <v>#REF!</v>
      </c>
    </row>
    <row r="120" spans="1:256">
      <c r="A120" t="e">
        <f>AND(#REF!,"AAAAAG/NbgA=")</f>
        <v>#REF!</v>
      </c>
      <c r="B120" t="e">
        <f>AND(#REF!,"AAAAAG/NbgE=")</f>
        <v>#REF!</v>
      </c>
      <c r="C120" t="e">
        <f>AND(#REF!,"AAAAAG/NbgI=")</f>
        <v>#REF!</v>
      </c>
      <c r="D120" t="e">
        <f>AND(#REF!,"AAAAAG/NbgM=")</f>
        <v>#REF!</v>
      </c>
      <c r="E120" t="e">
        <f>AND(#REF!,"AAAAAG/NbgQ=")</f>
        <v>#REF!</v>
      </c>
      <c r="F120" t="e">
        <f>AND(#REF!,"AAAAAG/NbgU=")</f>
        <v>#REF!</v>
      </c>
      <c r="G120" t="e">
        <f>AND(#REF!,"AAAAAG/NbgY=")</f>
        <v>#REF!</v>
      </c>
      <c r="H120" t="e">
        <f>AND(#REF!,"AAAAAG/Nbgc=")</f>
        <v>#REF!</v>
      </c>
      <c r="I120" t="e">
        <f>AND(#REF!,"AAAAAG/Nbgg=")</f>
        <v>#REF!</v>
      </c>
      <c r="J120" t="e">
        <f>AND(#REF!,"AAAAAG/Nbgk=")</f>
        <v>#REF!</v>
      </c>
      <c r="K120" t="e">
        <f>AND(#REF!,"AAAAAG/Nbgo=")</f>
        <v>#REF!</v>
      </c>
      <c r="L120" t="e">
        <f>AND(#REF!,"AAAAAG/Nbgs=")</f>
        <v>#REF!</v>
      </c>
      <c r="M120" t="e">
        <f>AND(#REF!,"AAAAAG/Nbgw=")</f>
        <v>#REF!</v>
      </c>
      <c r="N120" t="e">
        <f>AND(#REF!,"AAAAAG/Nbg0=")</f>
        <v>#REF!</v>
      </c>
      <c r="O120" t="e">
        <f>AND(#REF!,"AAAAAG/Nbg4=")</f>
        <v>#REF!</v>
      </c>
      <c r="P120" t="e">
        <f>AND(#REF!,"AAAAAG/Nbg8=")</f>
        <v>#REF!</v>
      </c>
      <c r="Q120" t="e">
        <f>AND(#REF!,"AAAAAG/NbhA=")</f>
        <v>#REF!</v>
      </c>
      <c r="R120" t="e">
        <f>AND(#REF!,"AAAAAG/NbhE=")</f>
        <v>#REF!</v>
      </c>
      <c r="S120" t="e">
        <f>AND(#REF!,"AAAAAG/NbhI=")</f>
        <v>#REF!</v>
      </c>
      <c r="T120" t="e">
        <f>AND(#REF!,"AAAAAG/NbhM=")</f>
        <v>#REF!</v>
      </c>
      <c r="U120" t="e">
        <f>AND(#REF!,"AAAAAG/NbhQ=")</f>
        <v>#REF!</v>
      </c>
      <c r="V120" t="e">
        <f>AND(#REF!,"AAAAAG/NbhU=")</f>
        <v>#REF!</v>
      </c>
      <c r="W120" t="e">
        <f>AND(#REF!,"AAAAAG/NbhY=")</f>
        <v>#REF!</v>
      </c>
      <c r="X120" t="e">
        <f>AND(#REF!,"AAAAAG/Nbhc=")</f>
        <v>#REF!</v>
      </c>
      <c r="Y120" t="e">
        <f>AND(#REF!,"AAAAAG/Nbhg=")</f>
        <v>#REF!</v>
      </c>
      <c r="Z120" t="e">
        <f>AND(#REF!,"AAAAAG/Nbhk=")</f>
        <v>#REF!</v>
      </c>
      <c r="AA120" t="e">
        <f>AND(#REF!,"AAAAAG/Nbho=")</f>
        <v>#REF!</v>
      </c>
      <c r="AB120" t="e">
        <f>AND(#REF!,"AAAAAG/Nbhs=")</f>
        <v>#REF!</v>
      </c>
      <c r="AC120" t="e">
        <f>AND(#REF!,"AAAAAG/Nbhw=")</f>
        <v>#REF!</v>
      </c>
      <c r="AD120" t="e">
        <f>AND(#REF!,"AAAAAG/Nbh0=")</f>
        <v>#REF!</v>
      </c>
      <c r="AE120" t="e">
        <f>AND(#REF!,"AAAAAG/Nbh4=")</f>
        <v>#REF!</v>
      </c>
      <c r="AF120" t="e">
        <f>AND(#REF!,"AAAAAG/Nbh8=")</f>
        <v>#REF!</v>
      </c>
      <c r="AG120" t="e">
        <f>AND(#REF!,"AAAAAG/NbiA=")</f>
        <v>#REF!</v>
      </c>
      <c r="AH120" t="e">
        <f>AND(#REF!,"AAAAAG/NbiE=")</f>
        <v>#REF!</v>
      </c>
      <c r="AI120" t="e">
        <f>AND(#REF!,"AAAAAG/NbiI=")</f>
        <v>#REF!</v>
      </c>
      <c r="AJ120" t="e">
        <f>AND(#REF!,"AAAAAG/NbiM=")</f>
        <v>#REF!</v>
      </c>
      <c r="AK120" t="e">
        <f>AND(#REF!,"AAAAAG/NbiQ=")</f>
        <v>#REF!</v>
      </c>
      <c r="AL120" t="e">
        <f>AND(#REF!,"AAAAAG/NbiU=")</f>
        <v>#REF!</v>
      </c>
      <c r="AM120" t="e">
        <f>AND(#REF!,"AAAAAG/NbiY=")</f>
        <v>#REF!</v>
      </c>
      <c r="AN120" t="e">
        <f>AND(#REF!,"AAAAAG/Nbic=")</f>
        <v>#REF!</v>
      </c>
      <c r="AO120" t="e">
        <f>AND(#REF!,"AAAAAG/Nbig=")</f>
        <v>#REF!</v>
      </c>
      <c r="AP120" t="e">
        <f>AND(#REF!,"AAAAAG/Nbik=")</f>
        <v>#REF!</v>
      </c>
      <c r="AQ120" t="e">
        <f>AND(#REF!,"AAAAAG/Nbio=")</f>
        <v>#REF!</v>
      </c>
      <c r="AR120" t="e">
        <f>AND(#REF!,"AAAAAG/Nbis=")</f>
        <v>#REF!</v>
      </c>
      <c r="AS120" t="e">
        <f>AND(#REF!,"AAAAAG/Nbiw=")</f>
        <v>#REF!</v>
      </c>
      <c r="AT120" t="e">
        <f>AND(#REF!,"AAAAAG/Nbi0=")</f>
        <v>#REF!</v>
      </c>
      <c r="AU120" t="e">
        <f>AND(#REF!,"AAAAAG/Nbi4=")</f>
        <v>#REF!</v>
      </c>
      <c r="AV120" t="e">
        <f>AND(#REF!,"AAAAAG/Nbi8=")</f>
        <v>#REF!</v>
      </c>
      <c r="AW120" t="e">
        <f>AND(#REF!,"AAAAAG/NbjA=")</f>
        <v>#REF!</v>
      </c>
      <c r="AX120" t="e">
        <f>AND(#REF!,"AAAAAG/NbjE=")</f>
        <v>#REF!</v>
      </c>
      <c r="AY120" t="e">
        <f>AND(#REF!,"AAAAAG/NbjI=")</f>
        <v>#REF!</v>
      </c>
      <c r="AZ120" t="e">
        <f>AND(#REF!,"AAAAAG/NbjM=")</f>
        <v>#REF!</v>
      </c>
      <c r="BA120" t="e">
        <f>AND(#REF!,"AAAAAG/NbjQ=")</f>
        <v>#REF!</v>
      </c>
      <c r="BB120" t="e">
        <f>AND(#REF!,"AAAAAG/NbjU=")</f>
        <v>#REF!</v>
      </c>
      <c r="BC120" t="e">
        <f>AND(#REF!,"AAAAAG/NbjY=")</f>
        <v>#REF!</v>
      </c>
      <c r="BD120" t="e">
        <f>AND(#REF!,"AAAAAG/Nbjc=")</f>
        <v>#REF!</v>
      </c>
      <c r="BE120" t="e">
        <f>AND(#REF!,"AAAAAG/Nbjg=")</f>
        <v>#REF!</v>
      </c>
      <c r="BF120" t="e">
        <f>AND(#REF!,"AAAAAG/Nbjk=")</f>
        <v>#REF!</v>
      </c>
      <c r="BG120" t="e">
        <f>AND(#REF!,"AAAAAG/Nbjo=")</f>
        <v>#REF!</v>
      </c>
      <c r="BH120" t="e">
        <f>AND(#REF!,"AAAAAG/Nbjs=")</f>
        <v>#REF!</v>
      </c>
      <c r="BI120" t="e">
        <f>AND(#REF!,"AAAAAG/Nbjw=")</f>
        <v>#REF!</v>
      </c>
      <c r="BJ120" t="e">
        <f>AND(#REF!,"AAAAAG/Nbj0=")</f>
        <v>#REF!</v>
      </c>
      <c r="BK120" t="e">
        <f>AND(#REF!,"AAAAAG/Nbj4=")</f>
        <v>#REF!</v>
      </c>
      <c r="BL120" t="e">
        <f>AND(#REF!,"AAAAAG/Nbj8=")</f>
        <v>#REF!</v>
      </c>
      <c r="BM120" t="e">
        <f>AND(#REF!,"AAAAAG/NbkA=")</f>
        <v>#REF!</v>
      </c>
      <c r="BN120" t="e">
        <f>AND(#REF!,"AAAAAG/NbkE=")</f>
        <v>#REF!</v>
      </c>
      <c r="BO120" t="e">
        <f>AND(#REF!,"AAAAAG/NbkI=")</f>
        <v>#REF!</v>
      </c>
      <c r="BP120" t="e">
        <f>AND(#REF!,"AAAAAG/NbkM=")</f>
        <v>#REF!</v>
      </c>
      <c r="BQ120" t="e">
        <f>AND(#REF!,"AAAAAG/NbkQ=")</f>
        <v>#REF!</v>
      </c>
      <c r="BR120" t="e">
        <f>AND(#REF!,"AAAAAG/NbkU=")</f>
        <v>#REF!</v>
      </c>
      <c r="BS120" t="e">
        <f>AND(#REF!,"AAAAAG/NbkY=")</f>
        <v>#REF!</v>
      </c>
      <c r="BT120" t="e">
        <f>AND(#REF!,"AAAAAG/Nbkc=")</f>
        <v>#REF!</v>
      </c>
      <c r="BU120" t="e">
        <f>AND(#REF!,"AAAAAG/Nbkg=")</f>
        <v>#REF!</v>
      </c>
      <c r="BV120" t="e">
        <f>AND(#REF!,"AAAAAG/Nbkk=")</f>
        <v>#REF!</v>
      </c>
      <c r="BW120" t="e">
        <f>AND(#REF!,"AAAAAG/Nbko=")</f>
        <v>#REF!</v>
      </c>
      <c r="BX120" t="e">
        <f>AND(#REF!,"AAAAAG/Nbks=")</f>
        <v>#REF!</v>
      </c>
      <c r="BY120" t="e">
        <f>AND(#REF!,"AAAAAG/Nbkw=")</f>
        <v>#REF!</v>
      </c>
      <c r="BZ120" t="e">
        <f>AND(#REF!,"AAAAAG/Nbk0=")</f>
        <v>#REF!</v>
      </c>
      <c r="CA120" t="e">
        <f>AND(#REF!,"AAAAAG/Nbk4=")</f>
        <v>#REF!</v>
      </c>
      <c r="CB120" t="e">
        <f>AND(#REF!,"AAAAAG/Nbk8=")</f>
        <v>#REF!</v>
      </c>
      <c r="CC120" t="e">
        <f>AND(#REF!,"AAAAAG/NblA=")</f>
        <v>#REF!</v>
      </c>
      <c r="CD120" t="e">
        <f>AND(#REF!,"AAAAAG/NblE=")</f>
        <v>#REF!</v>
      </c>
      <c r="CE120" t="e">
        <f>AND(#REF!,"AAAAAG/NblI=")</f>
        <v>#REF!</v>
      </c>
      <c r="CF120" t="e">
        <f>AND(#REF!,"AAAAAG/NblM=")</f>
        <v>#REF!</v>
      </c>
      <c r="CG120" t="e">
        <f>AND(#REF!,"AAAAAG/NblQ=")</f>
        <v>#REF!</v>
      </c>
      <c r="CH120" t="e">
        <f>AND(#REF!,"AAAAAG/NblU=")</f>
        <v>#REF!</v>
      </c>
      <c r="CI120" t="e">
        <f>AND(#REF!,"AAAAAG/NblY=")</f>
        <v>#REF!</v>
      </c>
      <c r="CJ120" t="e">
        <f>AND(#REF!,"AAAAAG/Nblc=")</f>
        <v>#REF!</v>
      </c>
      <c r="CK120" t="e">
        <f>AND(#REF!,"AAAAAG/Nblg=")</f>
        <v>#REF!</v>
      </c>
      <c r="CL120" t="e">
        <f>AND(#REF!,"AAAAAG/Nblk=")</f>
        <v>#REF!</v>
      </c>
      <c r="CM120" t="e">
        <f>AND(#REF!,"AAAAAG/Nblo=")</f>
        <v>#REF!</v>
      </c>
      <c r="CN120" t="e">
        <f>AND(#REF!,"AAAAAG/Nbls=")</f>
        <v>#REF!</v>
      </c>
      <c r="CO120" t="e">
        <f>AND(#REF!,"AAAAAG/Nblw=")</f>
        <v>#REF!</v>
      </c>
      <c r="CP120" t="e">
        <f>AND(#REF!,"AAAAAG/Nbl0=")</f>
        <v>#REF!</v>
      </c>
      <c r="CQ120" t="e">
        <f>AND(#REF!,"AAAAAG/Nbl4=")</f>
        <v>#REF!</v>
      </c>
      <c r="CR120" t="e">
        <f>AND(#REF!,"AAAAAG/Nbl8=")</f>
        <v>#REF!</v>
      </c>
      <c r="CS120" t="e">
        <f>AND(#REF!,"AAAAAG/NbmA=")</f>
        <v>#REF!</v>
      </c>
      <c r="CT120" t="e">
        <f>AND(#REF!,"AAAAAG/NbmE=")</f>
        <v>#REF!</v>
      </c>
      <c r="CU120" t="e">
        <f>AND(#REF!,"AAAAAG/NbmI=")</f>
        <v>#REF!</v>
      </c>
      <c r="CV120" t="e">
        <f>AND(#REF!,"AAAAAG/NbmM=")</f>
        <v>#REF!</v>
      </c>
      <c r="CW120" t="e">
        <f>AND(#REF!,"AAAAAG/NbmQ=")</f>
        <v>#REF!</v>
      </c>
      <c r="CX120" t="e">
        <f>AND(#REF!,"AAAAAG/NbmU=")</f>
        <v>#REF!</v>
      </c>
      <c r="CY120" t="e">
        <f>AND(#REF!,"AAAAAG/NbmY=")</f>
        <v>#REF!</v>
      </c>
      <c r="CZ120" t="e">
        <f>AND(#REF!,"AAAAAG/Nbmc=")</f>
        <v>#REF!</v>
      </c>
      <c r="DA120" t="e">
        <f>AND(#REF!,"AAAAAG/Nbmg=")</f>
        <v>#REF!</v>
      </c>
      <c r="DB120" t="e">
        <f>AND(#REF!,"AAAAAG/Nbmk=")</f>
        <v>#REF!</v>
      </c>
      <c r="DC120" t="e">
        <f>AND(#REF!,"AAAAAG/Nbmo=")</f>
        <v>#REF!</v>
      </c>
      <c r="DD120" t="e">
        <f>AND(#REF!,"AAAAAG/Nbms=")</f>
        <v>#REF!</v>
      </c>
      <c r="DE120" t="e">
        <f>AND(#REF!,"AAAAAG/Nbmw=")</f>
        <v>#REF!</v>
      </c>
      <c r="DF120" t="e">
        <f>AND(#REF!,"AAAAAG/Nbm0=")</f>
        <v>#REF!</v>
      </c>
      <c r="DG120" t="e">
        <f>AND(#REF!,"AAAAAG/Nbm4=")</f>
        <v>#REF!</v>
      </c>
      <c r="DH120" t="e">
        <f>AND(#REF!,"AAAAAG/Nbm8=")</f>
        <v>#REF!</v>
      </c>
      <c r="DI120" t="e">
        <f>AND(#REF!,"AAAAAG/NbnA=")</f>
        <v>#REF!</v>
      </c>
      <c r="DJ120" t="e">
        <f>AND(#REF!,"AAAAAG/NbnE=")</f>
        <v>#REF!</v>
      </c>
      <c r="DK120" t="e">
        <f>AND(#REF!,"AAAAAG/NbnI=")</f>
        <v>#REF!</v>
      </c>
      <c r="DL120" t="e">
        <f>AND(#REF!,"AAAAAG/NbnM=")</f>
        <v>#REF!</v>
      </c>
      <c r="DM120" t="e">
        <f>AND(#REF!,"AAAAAG/NbnQ=")</f>
        <v>#REF!</v>
      </c>
      <c r="DN120" t="e">
        <f>AND(#REF!,"AAAAAG/NbnU=")</f>
        <v>#REF!</v>
      </c>
      <c r="DO120" t="e">
        <f>AND(#REF!,"AAAAAG/NbnY=")</f>
        <v>#REF!</v>
      </c>
      <c r="DP120" t="e">
        <f>AND(#REF!,"AAAAAG/Nbnc=")</f>
        <v>#REF!</v>
      </c>
      <c r="DQ120" t="e">
        <f>AND(#REF!,"AAAAAG/Nbng=")</f>
        <v>#REF!</v>
      </c>
      <c r="DR120" t="e">
        <f>AND(#REF!,"AAAAAG/Nbnk=")</f>
        <v>#REF!</v>
      </c>
      <c r="DS120" t="e">
        <f>AND(#REF!,"AAAAAG/Nbno=")</f>
        <v>#REF!</v>
      </c>
      <c r="DT120" t="e">
        <f>AND(#REF!,"AAAAAG/Nbns=")</f>
        <v>#REF!</v>
      </c>
      <c r="DU120" t="e">
        <f>AND(#REF!,"AAAAAG/Nbnw=")</f>
        <v>#REF!</v>
      </c>
      <c r="DV120" t="e">
        <f>AND(#REF!,"AAAAAG/Nbn0=")</f>
        <v>#REF!</v>
      </c>
      <c r="DW120" t="e">
        <f>AND(#REF!,"AAAAAG/Nbn4=")</f>
        <v>#REF!</v>
      </c>
      <c r="DX120" t="e">
        <f>AND(#REF!,"AAAAAG/Nbn8=")</f>
        <v>#REF!</v>
      </c>
      <c r="DY120" t="e">
        <f>AND(#REF!,"AAAAAG/NboA=")</f>
        <v>#REF!</v>
      </c>
      <c r="DZ120" t="e">
        <f>AND(#REF!,"AAAAAG/NboE=")</f>
        <v>#REF!</v>
      </c>
      <c r="EA120" t="e">
        <f>AND(#REF!,"AAAAAG/NboI=")</f>
        <v>#REF!</v>
      </c>
      <c r="EB120" t="e">
        <f>AND(#REF!,"AAAAAG/NboM=")</f>
        <v>#REF!</v>
      </c>
      <c r="EC120" t="e">
        <f>AND(#REF!,"AAAAAG/NboQ=")</f>
        <v>#REF!</v>
      </c>
      <c r="ED120" t="e">
        <f>AND(#REF!,"AAAAAG/NboU=")</f>
        <v>#REF!</v>
      </c>
      <c r="EE120" t="e">
        <f>AND(#REF!,"AAAAAG/NboY=")</f>
        <v>#REF!</v>
      </c>
      <c r="EF120" t="e">
        <f>AND(#REF!,"AAAAAG/Nboc=")</f>
        <v>#REF!</v>
      </c>
      <c r="EG120" t="e">
        <f>AND(#REF!,"AAAAAG/Nbog=")</f>
        <v>#REF!</v>
      </c>
      <c r="EH120" t="e">
        <f>AND(#REF!,"AAAAAG/Nbok=")</f>
        <v>#REF!</v>
      </c>
      <c r="EI120" t="e">
        <f>AND(#REF!,"AAAAAG/Nboo=")</f>
        <v>#REF!</v>
      </c>
      <c r="EJ120" t="e">
        <f>AND(#REF!,"AAAAAG/Nbos=")</f>
        <v>#REF!</v>
      </c>
      <c r="EK120" t="e">
        <f>AND(#REF!,"AAAAAG/Nbow=")</f>
        <v>#REF!</v>
      </c>
      <c r="EL120" t="e">
        <f>AND(#REF!,"AAAAAG/Nbo0=")</f>
        <v>#REF!</v>
      </c>
      <c r="EM120" t="e">
        <f>AND(#REF!,"AAAAAG/Nbo4=")</f>
        <v>#REF!</v>
      </c>
      <c r="EN120" t="e">
        <f>AND(#REF!,"AAAAAG/Nbo8=")</f>
        <v>#REF!</v>
      </c>
      <c r="EO120" t="e">
        <f>AND(#REF!,"AAAAAG/NbpA=")</f>
        <v>#REF!</v>
      </c>
      <c r="EP120" t="e">
        <f>AND(#REF!,"AAAAAG/NbpE=")</f>
        <v>#REF!</v>
      </c>
      <c r="EQ120" t="e">
        <f>AND(#REF!,"AAAAAG/NbpI=")</f>
        <v>#REF!</v>
      </c>
      <c r="ER120" t="e">
        <f>AND(#REF!,"AAAAAG/NbpM=")</f>
        <v>#REF!</v>
      </c>
      <c r="ES120" t="e">
        <f>AND(#REF!,"AAAAAG/NbpQ=")</f>
        <v>#REF!</v>
      </c>
      <c r="ET120" t="e">
        <f>AND(#REF!,"AAAAAG/NbpU=")</f>
        <v>#REF!</v>
      </c>
      <c r="EU120" t="e">
        <f>AND(#REF!,"AAAAAG/NbpY=")</f>
        <v>#REF!</v>
      </c>
      <c r="EV120" t="e">
        <f>AND(#REF!,"AAAAAG/Nbpc=")</f>
        <v>#REF!</v>
      </c>
      <c r="EW120" t="e">
        <f>AND(#REF!,"AAAAAG/Nbpg=")</f>
        <v>#REF!</v>
      </c>
      <c r="EX120" t="e">
        <f>AND(#REF!,"AAAAAG/Nbpk=")</f>
        <v>#REF!</v>
      </c>
      <c r="EY120" t="e">
        <f>AND(#REF!,"AAAAAG/Nbpo=")</f>
        <v>#REF!</v>
      </c>
      <c r="EZ120" t="e">
        <f>AND(#REF!,"AAAAAG/Nbps=")</f>
        <v>#REF!</v>
      </c>
      <c r="FA120" t="e">
        <f>AND(#REF!,"AAAAAG/Nbpw=")</f>
        <v>#REF!</v>
      </c>
      <c r="FB120" t="e">
        <f>AND(#REF!,"AAAAAG/Nbp0=")</f>
        <v>#REF!</v>
      </c>
      <c r="FC120" t="e">
        <f>AND(#REF!,"AAAAAG/Nbp4=")</f>
        <v>#REF!</v>
      </c>
      <c r="FD120" t="e">
        <f>AND(#REF!,"AAAAAG/Nbp8=")</f>
        <v>#REF!</v>
      </c>
      <c r="FE120" t="e">
        <f>AND(#REF!,"AAAAAG/NbqA=")</f>
        <v>#REF!</v>
      </c>
      <c r="FF120" t="e">
        <f>AND(#REF!,"AAAAAG/NbqE=")</f>
        <v>#REF!</v>
      </c>
      <c r="FG120" t="e">
        <f>AND(#REF!,"AAAAAG/NbqI=")</f>
        <v>#REF!</v>
      </c>
      <c r="FH120" t="e">
        <f>AND(#REF!,"AAAAAG/NbqM=")</f>
        <v>#REF!</v>
      </c>
      <c r="FI120" t="e">
        <f>AND(#REF!,"AAAAAG/NbqQ=")</f>
        <v>#REF!</v>
      </c>
      <c r="FJ120" t="e">
        <f>AND(#REF!,"AAAAAG/NbqU=")</f>
        <v>#REF!</v>
      </c>
      <c r="FK120" t="e">
        <f>AND(#REF!,"AAAAAG/NbqY=")</f>
        <v>#REF!</v>
      </c>
      <c r="FL120" t="e">
        <f>AND(#REF!,"AAAAAG/Nbqc=")</f>
        <v>#REF!</v>
      </c>
      <c r="FM120" t="e">
        <f>AND(#REF!,"AAAAAG/Nbqg=")</f>
        <v>#REF!</v>
      </c>
      <c r="FN120" t="e">
        <f>AND(#REF!,"AAAAAG/Nbqk=")</f>
        <v>#REF!</v>
      </c>
      <c r="FO120" t="e">
        <f>AND(#REF!,"AAAAAG/Nbqo=")</f>
        <v>#REF!</v>
      </c>
      <c r="FP120" t="e">
        <f>AND(#REF!,"AAAAAG/Nbqs=")</f>
        <v>#REF!</v>
      </c>
      <c r="FQ120" t="e">
        <f>AND(#REF!,"AAAAAG/Nbqw=")</f>
        <v>#REF!</v>
      </c>
      <c r="FR120" t="e">
        <f>AND(#REF!,"AAAAAG/Nbq0=")</f>
        <v>#REF!</v>
      </c>
      <c r="FS120" t="e">
        <f>AND(#REF!,"AAAAAG/Nbq4=")</f>
        <v>#REF!</v>
      </c>
      <c r="FT120" t="e">
        <f>AND(#REF!,"AAAAAG/Nbq8=")</f>
        <v>#REF!</v>
      </c>
      <c r="FU120" t="e">
        <f>AND(#REF!,"AAAAAG/NbrA=")</f>
        <v>#REF!</v>
      </c>
      <c r="FV120" t="e">
        <f>AND(#REF!,"AAAAAG/NbrE=")</f>
        <v>#REF!</v>
      </c>
      <c r="FW120" t="e">
        <f>AND(#REF!,"AAAAAG/NbrI=")</f>
        <v>#REF!</v>
      </c>
      <c r="FX120" t="e">
        <f>AND(#REF!,"AAAAAG/NbrM=")</f>
        <v>#REF!</v>
      </c>
      <c r="FY120" t="e">
        <f>AND(#REF!,"AAAAAG/NbrQ=")</f>
        <v>#REF!</v>
      </c>
      <c r="FZ120" t="e">
        <f>AND(#REF!,"AAAAAG/NbrU=")</f>
        <v>#REF!</v>
      </c>
      <c r="GA120" t="e">
        <f>AND(#REF!,"AAAAAG/NbrY=")</f>
        <v>#REF!</v>
      </c>
      <c r="GB120" t="e">
        <f>AND(#REF!,"AAAAAG/Nbrc=")</f>
        <v>#REF!</v>
      </c>
      <c r="GC120" t="e">
        <f>AND(#REF!,"AAAAAG/Nbrg=")</f>
        <v>#REF!</v>
      </c>
      <c r="GD120" t="e">
        <f>AND(#REF!,"AAAAAG/Nbrk=")</f>
        <v>#REF!</v>
      </c>
      <c r="GE120" t="e">
        <f>AND(#REF!,"AAAAAG/Nbro=")</f>
        <v>#REF!</v>
      </c>
      <c r="GF120" t="e">
        <f>AND(#REF!,"AAAAAG/Nbrs=")</f>
        <v>#REF!</v>
      </c>
      <c r="GG120" t="e">
        <f>AND(#REF!,"AAAAAG/Nbrw=")</f>
        <v>#REF!</v>
      </c>
      <c r="GH120" t="e">
        <f>AND(#REF!,"AAAAAG/Nbr0=")</f>
        <v>#REF!</v>
      </c>
      <c r="GI120" t="e">
        <f>AND(#REF!,"AAAAAG/Nbr4=")</f>
        <v>#REF!</v>
      </c>
      <c r="GJ120" t="e">
        <f>AND(#REF!,"AAAAAG/Nbr8=")</f>
        <v>#REF!</v>
      </c>
      <c r="GK120" t="e">
        <f>AND(#REF!,"AAAAAG/NbsA=")</f>
        <v>#REF!</v>
      </c>
      <c r="GL120" t="e">
        <f>AND(#REF!,"AAAAAG/NbsE=")</f>
        <v>#REF!</v>
      </c>
      <c r="GM120" t="e">
        <f>AND(#REF!,"AAAAAG/NbsI=")</f>
        <v>#REF!</v>
      </c>
      <c r="GN120" t="e">
        <f>AND(#REF!,"AAAAAG/NbsM=")</f>
        <v>#REF!</v>
      </c>
      <c r="GO120" t="e">
        <f>AND(#REF!,"AAAAAG/NbsQ=")</f>
        <v>#REF!</v>
      </c>
      <c r="GP120" t="e">
        <f>AND(#REF!,"AAAAAG/NbsU=")</f>
        <v>#REF!</v>
      </c>
      <c r="GQ120" t="e">
        <f>AND(#REF!,"AAAAAG/NbsY=")</f>
        <v>#REF!</v>
      </c>
      <c r="GR120" t="e">
        <f>AND(#REF!,"AAAAAG/Nbsc=")</f>
        <v>#REF!</v>
      </c>
      <c r="GS120" t="e">
        <f>AND(#REF!,"AAAAAG/Nbsg=")</f>
        <v>#REF!</v>
      </c>
      <c r="GT120" t="e">
        <f>AND(#REF!,"AAAAAG/Nbsk=")</f>
        <v>#REF!</v>
      </c>
      <c r="GU120" t="e">
        <f>AND(#REF!,"AAAAAG/Nbso=")</f>
        <v>#REF!</v>
      </c>
      <c r="GV120" t="e">
        <f>AND(#REF!,"AAAAAG/Nbss=")</f>
        <v>#REF!</v>
      </c>
      <c r="GW120" t="e">
        <f>AND(#REF!,"AAAAAG/Nbsw=")</f>
        <v>#REF!</v>
      </c>
      <c r="GX120" t="e">
        <f>AND(#REF!,"AAAAAG/Nbs0=")</f>
        <v>#REF!</v>
      </c>
      <c r="GY120" t="e">
        <f>AND(#REF!,"AAAAAG/Nbs4=")</f>
        <v>#REF!</v>
      </c>
      <c r="GZ120" t="e">
        <f>AND(#REF!,"AAAAAG/Nbs8=")</f>
        <v>#REF!</v>
      </c>
      <c r="HA120" t="e">
        <f>AND(#REF!,"AAAAAG/NbtA=")</f>
        <v>#REF!</v>
      </c>
      <c r="HB120" t="e">
        <f>AND(#REF!,"AAAAAG/NbtE=")</f>
        <v>#REF!</v>
      </c>
      <c r="HC120" t="e">
        <f>AND(#REF!,"AAAAAG/NbtI=")</f>
        <v>#REF!</v>
      </c>
      <c r="HD120" t="e">
        <f>AND(#REF!,"AAAAAG/NbtM=")</f>
        <v>#REF!</v>
      </c>
      <c r="HE120" t="e">
        <f>AND(#REF!,"AAAAAG/NbtQ=")</f>
        <v>#REF!</v>
      </c>
      <c r="HF120" t="e">
        <f>AND(#REF!,"AAAAAG/NbtU=")</f>
        <v>#REF!</v>
      </c>
      <c r="HG120" t="e">
        <f>AND(#REF!,"AAAAAG/NbtY=")</f>
        <v>#REF!</v>
      </c>
      <c r="HH120" t="e">
        <f>AND(#REF!,"AAAAAG/Nbtc=")</f>
        <v>#REF!</v>
      </c>
      <c r="HI120" t="e">
        <f>AND(#REF!,"AAAAAG/Nbtg=")</f>
        <v>#REF!</v>
      </c>
      <c r="HJ120" t="e">
        <f>AND(#REF!,"AAAAAG/Nbtk=")</f>
        <v>#REF!</v>
      </c>
      <c r="HK120" t="e">
        <f>AND(#REF!,"AAAAAG/Nbto=")</f>
        <v>#REF!</v>
      </c>
      <c r="HL120" t="e">
        <f>AND(#REF!,"AAAAAG/Nbts=")</f>
        <v>#REF!</v>
      </c>
      <c r="HM120" t="e">
        <f>AND(#REF!,"AAAAAG/Nbtw=")</f>
        <v>#REF!</v>
      </c>
      <c r="HN120" t="e">
        <f>AND(#REF!,"AAAAAG/Nbt0=")</f>
        <v>#REF!</v>
      </c>
      <c r="HO120" t="e">
        <f>AND(#REF!,"AAAAAG/Nbt4=")</f>
        <v>#REF!</v>
      </c>
      <c r="HP120" t="e">
        <f>AND(#REF!,"AAAAAG/Nbt8=")</f>
        <v>#REF!</v>
      </c>
      <c r="HQ120" t="e">
        <f>AND(#REF!,"AAAAAG/NbuA=")</f>
        <v>#REF!</v>
      </c>
      <c r="HR120" t="e">
        <f>AND(#REF!,"AAAAAG/NbuE=")</f>
        <v>#REF!</v>
      </c>
      <c r="HS120" t="e">
        <f>AND(#REF!,"AAAAAG/NbuI=")</f>
        <v>#REF!</v>
      </c>
      <c r="HT120" t="e">
        <f>AND(#REF!,"AAAAAG/NbuM=")</f>
        <v>#REF!</v>
      </c>
      <c r="HU120" t="e">
        <f>AND(#REF!,"AAAAAG/NbuQ=")</f>
        <v>#REF!</v>
      </c>
      <c r="HV120" t="e">
        <f>AND(#REF!,"AAAAAG/NbuU=")</f>
        <v>#REF!</v>
      </c>
      <c r="HW120" t="e">
        <f>AND(#REF!,"AAAAAG/NbuY=")</f>
        <v>#REF!</v>
      </c>
      <c r="HX120" t="e">
        <f>AND(#REF!,"AAAAAG/Nbuc=")</f>
        <v>#REF!</v>
      </c>
      <c r="HY120" t="e">
        <f>AND(#REF!,"AAAAAG/Nbug=")</f>
        <v>#REF!</v>
      </c>
      <c r="HZ120" t="e">
        <f>AND(#REF!,"AAAAAG/Nbuk=")</f>
        <v>#REF!</v>
      </c>
      <c r="IA120" t="e">
        <f>AND(#REF!,"AAAAAG/Nbuo=")</f>
        <v>#REF!</v>
      </c>
      <c r="IB120" t="e">
        <f>AND(#REF!,"AAAAAG/Nbus=")</f>
        <v>#REF!</v>
      </c>
      <c r="IC120" t="e">
        <f>AND(#REF!,"AAAAAG/Nbuw=")</f>
        <v>#REF!</v>
      </c>
      <c r="ID120" t="e">
        <f>AND(#REF!,"AAAAAG/Nbu0=")</f>
        <v>#REF!</v>
      </c>
      <c r="IE120" t="e">
        <f>AND(#REF!,"AAAAAG/Nbu4=")</f>
        <v>#REF!</v>
      </c>
      <c r="IF120" t="e">
        <f>AND(#REF!,"AAAAAG/Nbu8=")</f>
        <v>#REF!</v>
      </c>
      <c r="IG120" t="e">
        <f>AND(#REF!,"AAAAAG/NbvA=")</f>
        <v>#REF!</v>
      </c>
      <c r="IH120" t="e">
        <f>AND(#REF!,"AAAAAG/NbvE=")</f>
        <v>#REF!</v>
      </c>
      <c r="II120" t="e">
        <f>AND(#REF!,"AAAAAG/NbvI=")</f>
        <v>#REF!</v>
      </c>
      <c r="IJ120" t="e">
        <f>AND(#REF!,"AAAAAG/NbvM=")</f>
        <v>#REF!</v>
      </c>
      <c r="IK120" t="e">
        <f>AND(#REF!,"AAAAAG/NbvQ=")</f>
        <v>#REF!</v>
      </c>
      <c r="IL120" t="e">
        <f>AND(#REF!,"AAAAAG/NbvU=")</f>
        <v>#REF!</v>
      </c>
      <c r="IM120" t="e">
        <f>AND(#REF!,"AAAAAG/NbvY=")</f>
        <v>#REF!</v>
      </c>
      <c r="IN120" t="e">
        <f>AND(#REF!,"AAAAAG/Nbvc=")</f>
        <v>#REF!</v>
      </c>
      <c r="IO120" t="e">
        <f>AND(#REF!,"AAAAAG/Nbvg=")</f>
        <v>#REF!</v>
      </c>
      <c r="IP120" t="e">
        <f>AND(#REF!,"AAAAAG/Nbvk=")</f>
        <v>#REF!</v>
      </c>
      <c r="IQ120" t="e">
        <f>AND(#REF!,"AAAAAG/Nbvo=")</f>
        <v>#REF!</v>
      </c>
      <c r="IR120" t="e">
        <f>AND(#REF!,"AAAAAG/Nbvs=")</f>
        <v>#REF!</v>
      </c>
      <c r="IS120" t="e">
        <f>AND(#REF!,"AAAAAG/Nbvw=")</f>
        <v>#REF!</v>
      </c>
      <c r="IT120" t="e">
        <f>AND(#REF!,"AAAAAG/Nbv0=")</f>
        <v>#REF!</v>
      </c>
      <c r="IU120" t="e">
        <f>AND(#REF!,"AAAAAG/Nbv4=")</f>
        <v>#REF!</v>
      </c>
      <c r="IV120" t="e">
        <f>AND(#REF!,"AAAAAG/Nbv8=")</f>
        <v>#REF!</v>
      </c>
    </row>
    <row r="121" spans="1:256">
      <c r="A121" t="e">
        <f>AND(#REF!,"AAAAAFTP8wA=")</f>
        <v>#REF!</v>
      </c>
      <c r="B121" t="e">
        <f>AND(#REF!,"AAAAAFTP8wE=")</f>
        <v>#REF!</v>
      </c>
      <c r="C121" t="e">
        <f>AND(#REF!,"AAAAAFTP8wI=")</f>
        <v>#REF!</v>
      </c>
      <c r="D121" t="e">
        <f>AND(#REF!,"AAAAAFTP8wM=")</f>
        <v>#REF!</v>
      </c>
      <c r="E121" t="e">
        <f>AND(#REF!,"AAAAAFTP8wQ=")</f>
        <v>#REF!</v>
      </c>
      <c r="F121" t="e">
        <f>AND(#REF!,"AAAAAFTP8wU=")</f>
        <v>#REF!</v>
      </c>
      <c r="G121" t="e">
        <f>AND(#REF!,"AAAAAFTP8wY=")</f>
        <v>#REF!</v>
      </c>
      <c r="H121" t="e">
        <f>AND(#REF!,"AAAAAFTP8wc=")</f>
        <v>#REF!</v>
      </c>
      <c r="I121" t="e">
        <f>AND(#REF!,"AAAAAFTP8wg=")</f>
        <v>#REF!</v>
      </c>
      <c r="J121" t="e">
        <f>AND(#REF!,"AAAAAFTP8wk=")</f>
        <v>#REF!</v>
      </c>
      <c r="K121" t="e">
        <f>AND(#REF!,"AAAAAFTP8wo=")</f>
        <v>#REF!</v>
      </c>
      <c r="L121" t="e">
        <f>AND(#REF!,"AAAAAFTP8ws=")</f>
        <v>#REF!</v>
      </c>
      <c r="M121" t="e">
        <f>AND(#REF!,"AAAAAFTP8ww=")</f>
        <v>#REF!</v>
      </c>
      <c r="N121" t="e">
        <f>AND(#REF!,"AAAAAFTP8w0=")</f>
        <v>#REF!</v>
      </c>
      <c r="O121" t="e">
        <f>AND(#REF!,"AAAAAFTP8w4=")</f>
        <v>#REF!</v>
      </c>
      <c r="P121" t="e">
        <f>AND(#REF!,"AAAAAFTP8w8=")</f>
        <v>#REF!</v>
      </c>
      <c r="Q121" t="e">
        <f>AND(#REF!,"AAAAAFTP8xA=")</f>
        <v>#REF!</v>
      </c>
      <c r="R121" t="e">
        <f>AND(#REF!,"AAAAAFTP8xE=")</f>
        <v>#REF!</v>
      </c>
      <c r="S121" t="e">
        <f>AND(#REF!,"AAAAAFTP8xI=")</f>
        <v>#REF!</v>
      </c>
      <c r="T121" t="e">
        <f>AND(#REF!,"AAAAAFTP8xM=")</f>
        <v>#REF!</v>
      </c>
      <c r="U121" t="e">
        <f>AND(#REF!,"AAAAAFTP8xQ=")</f>
        <v>#REF!</v>
      </c>
      <c r="V121" t="e">
        <f>AND(#REF!,"AAAAAFTP8xU=")</f>
        <v>#REF!</v>
      </c>
      <c r="W121" t="e">
        <f>AND(#REF!,"AAAAAFTP8xY=")</f>
        <v>#REF!</v>
      </c>
      <c r="X121" t="e">
        <f>AND(#REF!,"AAAAAFTP8xc=")</f>
        <v>#REF!</v>
      </c>
      <c r="Y121" t="e">
        <f>AND(#REF!,"AAAAAFTP8xg=")</f>
        <v>#REF!</v>
      </c>
      <c r="Z121" t="e">
        <f>AND(#REF!,"AAAAAFTP8xk=")</f>
        <v>#REF!</v>
      </c>
      <c r="AA121" t="e">
        <f>AND(#REF!,"AAAAAFTP8xo=")</f>
        <v>#REF!</v>
      </c>
      <c r="AB121" t="e">
        <f>AND(#REF!,"AAAAAFTP8xs=")</f>
        <v>#REF!</v>
      </c>
      <c r="AC121" t="e">
        <f>AND(#REF!,"AAAAAFTP8xw=")</f>
        <v>#REF!</v>
      </c>
      <c r="AD121" t="e">
        <f>AND(#REF!,"AAAAAFTP8x0=")</f>
        <v>#REF!</v>
      </c>
      <c r="AE121" t="e">
        <f>AND(#REF!,"AAAAAFTP8x4=")</f>
        <v>#REF!</v>
      </c>
      <c r="AF121" t="e">
        <f>AND(#REF!,"AAAAAFTP8x8=")</f>
        <v>#REF!</v>
      </c>
      <c r="AG121" t="e">
        <f>AND(#REF!,"AAAAAFTP8yA=")</f>
        <v>#REF!</v>
      </c>
      <c r="AH121" t="e">
        <f>AND(#REF!,"AAAAAFTP8yE=")</f>
        <v>#REF!</v>
      </c>
      <c r="AI121" t="e">
        <f>AND(#REF!,"AAAAAFTP8yI=")</f>
        <v>#REF!</v>
      </c>
      <c r="AJ121" t="e">
        <f>AND(#REF!,"AAAAAFTP8yM=")</f>
        <v>#REF!</v>
      </c>
      <c r="AK121" t="e">
        <f>AND(#REF!,"AAAAAFTP8yQ=")</f>
        <v>#REF!</v>
      </c>
      <c r="AL121" t="e">
        <f>AND(#REF!,"AAAAAFTP8yU=")</f>
        <v>#REF!</v>
      </c>
      <c r="AM121" t="e">
        <f>AND(#REF!,"AAAAAFTP8yY=")</f>
        <v>#REF!</v>
      </c>
      <c r="AN121" t="e">
        <f>AND(#REF!,"AAAAAFTP8yc=")</f>
        <v>#REF!</v>
      </c>
      <c r="AO121" t="e">
        <f>AND(#REF!,"AAAAAFTP8yg=")</f>
        <v>#REF!</v>
      </c>
      <c r="AP121" t="e">
        <f>AND(#REF!,"AAAAAFTP8yk=")</f>
        <v>#REF!</v>
      </c>
      <c r="AQ121" t="e">
        <f>AND(#REF!,"AAAAAFTP8yo=")</f>
        <v>#REF!</v>
      </c>
      <c r="AR121" t="e">
        <f>AND(#REF!,"AAAAAFTP8ys=")</f>
        <v>#REF!</v>
      </c>
      <c r="AS121" t="e">
        <f>AND(#REF!,"AAAAAFTP8yw=")</f>
        <v>#REF!</v>
      </c>
      <c r="AT121" t="e">
        <f>AND(#REF!,"AAAAAFTP8y0=")</f>
        <v>#REF!</v>
      </c>
      <c r="AU121" t="e">
        <f>AND(#REF!,"AAAAAFTP8y4=")</f>
        <v>#REF!</v>
      </c>
      <c r="AV121" t="e">
        <f>AND(#REF!,"AAAAAFTP8y8=")</f>
        <v>#REF!</v>
      </c>
      <c r="AW121" t="e">
        <f>AND(#REF!,"AAAAAFTP8zA=")</f>
        <v>#REF!</v>
      </c>
      <c r="AX121" t="e">
        <f>AND(#REF!,"AAAAAFTP8zE=")</f>
        <v>#REF!</v>
      </c>
      <c r="AY121" t="e">
        <f>AND(#REF!,"AAAAAFTP8zI=")</f>
        <v>#REF!</v>
      </c>
      <c r="AZ121" t="e">
        <f>AND(#REF!,"AAAAAFTP8zM=")</f>
        <v>#REF!</v>
      </c>
      <c r="BA121" t="e">
        <f>AND(#REF!,"AAAAAFTP8zQ=")</f>
        <v>#REF!</v>
      </c>
      <c r="BB121" t="e">
        <f>AND(#REF!,"AAAAAFTP8zU=")</f>
        <v>#REF!</v>
      </c>
      <c r="BC121" t="e">
        <f>AND(#REF!,"AAAAAFTP8zY=")</f>
        <v>#REF!</v>
      </c>
      <c r="BD121" t="e">
        <f>AND(#REF!,"AAAAAFTP8zc=")</f>
        <v>#REF!</v>
      </c>
      <c r="BE121" t="e">
        <f>AND(#REF!,"AAAAAFTP8zg=")</f>
        <v>#REF!</v>
      </c>
      <c r="BF121" t="e">
        <f>AND(#REF!,"AAAAAFTP8zk=")</f>
        <v>#REF!</v>
      </c>
      <c r="BG121" t="e">
        <f>AND(#REF!,"AAAAAFTP8zo=")</f>
        <v>#REF!</v>
      </c>
      <c r="BH121" t="e">
        <f>AND(#REF!,"AAAAAFTP8zs=")</f>
        <v>#REF!</v>
      </c>
      <c r="BI121" t="e">
        <f>AND(#REF!,"AAAAAFTP8zw=")</f>
        <v>#REF!</v>
      </c>
      <c r="BJ121" t="e">
        <f>AND(#REF!,"AAAAAFTP8z0=")</f>
        <v>#REF!</v>
      </c>
      <c r="BK121" t="e">
        <f>AND(#REF!,"AAAAAFTP8z4=")</f>
        <v>#REF!</v>
      </c>
      <c r="BL121" t="e">
        <f>AND(#REF!,"AAAAAFTP8z8=")</f>
        <v>#REF!</v>
      </c>
      <c r="BM121" t="e">
        <f>AND(#REF!,"AAAAAFTP80A=")</f>
        <v>#REF!</v>
      </c>
      <c r="BN121" t="e">
        <f>AND(#REF!,"AAAAAFTP80E=")</f>
        <v>#REF!</v>
      </c>
      <c r="BO121" t="e">
        <f>AND(#REF!,"AAAAAFTP80I=")</f>
        <v>#REF!</v>
      </c>
      <c r="BP121" t="e">
        <f>AND(#REF!,"AAAAAFTP80M=")</f>
        <v>#REF!</v>
      </c>
      <c r="BQ121" t="e">
        <f>AND(#REF!,"AAAAAFTP80Q=")</f>
        <v>#REF!</v>
      </c>
      <c r="BR121" t="e">
        <f>AND(#REF!,"AAAAAFTP80U=")</f>
        <v>#REF!</v>
      </c>
      <c r="BS121" t="e">
        <f>AND(#REF!,"AAAAAFTP80Y=")</f>
        <v>#REF!</v>
      </c>
      <c r="BT121" t="e">
        <f>AND(#REF!,"AAAAAFTP80c=")</f>
        <v>#REF!</v>
      </c>
      <c r="BU121" t="e">
        <f>AND(#REF!,"AAAAAFTP80g=")</f>
        <v>#REF!</v>
      </c>
      <c r="BV121" t="e">
        <f>AND(#REF!,"AAAAAFTP80k=")</f>
        <v>#REF!</v>
      </c>
      <c r="BW121" t="e">
        <f>AND(#REF!,"AAAAAFTP80o=")</f>
        <v>#REF!</v>
      </c>
      <c r="BX121" t="e">
        <f>AND(#REF!,"AAAAAFTP80s=")</f>
        <v>#REF!</v>
      </c>
      <c r="BY121" t="e">
        <f>AND(#REF!,"AAAAAFTP80w=")</f>
        <v>#REF!</v>
      </c>
      <c r="BZ121" t="e">
        <f>AND(#REF!,"AAAAAFTP800=")</f>
        <v>#REF!</v>
      </c>
      <c r="CA121" t="e">
        <f>IF(#REF!,"AAAAAFTP804=",0)</f>
        <v>#REF!</v>
      </c>
      <c r="CB121" t="e">
        <f>IF(#REF!,"AAAAAFTP808=",0)</f>
        <v>#REF!</v>
      </c>
      <c r="CC121" t="e">
        <f>IF(#REF!,"AAAAAFTP81A=",0)</f>
        <v>#REF!</v>
      </c>
      <c r="CD121" s="24" t="s">
        <v>411</v>
      </c>
      <c r="CE121" s="23" t="s">
        <v>412</v>
      </c>
      <c r="CF121" s="25" t="s">
        <v>413</v>
      </c>
    </row>
    <row r="122" spans="1:256">
      <c r="A122" t="e">
        <f>AND(#REF!,"AAAAAG/vzwA=")</f>
        <v>#REF!</v>
      </c>
      <c r="B122" t="e">
        <f>AND(#REF!,"AAAAAG/vzwE=")</f>
        <v>#REF!</v>
      </c>
      <c r="C122" t="e">
        <f>AND(#REF!,"AAAAAG/vzwI=")</f>
        <v>#REF!</v>
      </c>
      <c r="D122" t="e">
        <f>AND(#REF!,"AAAAAG/vzwM=")</f>
        <v>#REF!</v>
      </c>
      <c r="E122" t="e">
        <f>AND(#REF!,"AAAAAG/vzwQ=")</f>
        <v>#REF!</v>
      </c>
      <c r="F122" t="e">
        <f>AND(#REF!,"AAAAAG/vzwU=")</f>
        <v>#REF!</v>
      </c>
      <c r="G122" t="e">
        <f>AND(#REF!,"AAAAAG/vzwY=")</f>
        <v>#REF!</v>
      </c>
      <c r="H122" t="e">
        <f>AND(#REF!,"AAAAAG/vzwc=")</f>
        <v>#REF!</v>
      </c>
      <c r="I122" t="e">
        <f>AND(#REF!,"AAAAAG/vzwg=")</f>
        <v>#REF!</v>
      </c>
      <c r="J122" t="e">
        <f>AND(#REF!,"AAAAAG/vzwk=")</f>
        <v>#REF!</v>
      </c>
      <c r="K122" t="e">
        <f>AND(#REF!,"AAAAAG/vzwo=")</f>
        <v>#REF!</v>
      </c>
      <c r="L122" t="e">
        <f>AND(#REF!,"AAAAAG/vzws=")</f>
        <v>#REF!</v>
      </c>
    </row>
  </sheetData>
  <pageMargins left="0.7" right="0.7" top="0.75" bottom="0.75" header="0.3" footer="0.3"/>
  <customProperties>
    <customPr name="DVSECTION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7"/>
  <sheetViews>
    <sheetView tabSelected="1" topLeftCell="A7" workbookViewId="0">
      <selection activeCell="E27" sqref="E27"/>
    </sheetView>
  </sheetViews>
  <sheetFormatPr defaultRowHeight="15"/>
  <cols>
    <col min="1" max="1" width="20.140625" customWidth="1"/>
    <col min="2" max="2" width="26.140625" style="147" customWidth="1"/>
    <col min="3" max="3" width="15.42578125" customWidth="1"/>
    <col min="4" max="4" width="9.140625" style="151"/>
    <col min="5" max="25" width="9.140625" style="153"/>
  </cols>
  <sheetData>
    <row r="1" spans="1:25">
      <c r="A1" s="73" t="s">
        <v>205</v>
      </c>
      <c r="B1" s="73" t="s">
        <v>626</v>
      </c>
      <c r="C1" s="73" t="s">
        <v>326</v>
      </c>
      <c r="D1" s="149" t="s">
        <v>327</v>
      </c>
    </row>
    <row r="2" spans="1:25" s="152" customFormat="1">
      <c r="A2" s="159" t="s">
        <v>747</v>
      </c>
      <c r="B2" s="157"/>
      <c r="C2" s="157"/>
      <c r="D2" s="158"/>
      <c r="E2" s="153"/>
      <c r="F2" s="153"/>
      <c r="G2" s="153"/>
      <c r="H2" s="153"/>
      <c r="I2" s="153"/>
      <c r="J2" s="153"/>
      <c r="K2" s="153"/>
      <c r="L2" s="153"/>
      <c r="M2" s="153"/>
      <c r="N2" s="153"/>
      <c r="O2" s="153"/>
      <c r="P2" s="153"/>
      <c r="Q2" s="153"/>
      <c r="R2" s="153"/>
      <c r="S2" s="153"/>
      <c r="T2" s="153"/>
      <c r="U2" s="153"/>
      <c r="V2" s="153"/>
      <c r="W2" s="153"/>
      <c r="X2" s="153"/>
      <c r="Y2" s="153"/>
    </row>
    <row r="3" spans="1:25">
      <c r="A3" s="161" t="s">
        <v>721</v>
      </c>
      <c r="B3" s="162" t="s">
        <v>693</v>
      </c>
      <c r="C3" s="161"/>
      <c r="D3" s="156">
        <v>98.13</v>
      </c>
    </row>
    <row r="4" spans="1:25">
      <c r="A4" s="161" t="s">
        <v>722</v>
      </c>
      <c r="B4" s="162" t="s">
        <v>694</v>
      </c>
      <c r="C4" s="161"/>
      <c r="D4" s="156">
        <v>148.69999999999999</v>
      </c>
    </row>
    <row r="5" spans="1:25" s="152" customFormat="1">
      <c r="A5" s="148"/>
      <c r="B5" s="150"/>
      <c r="C5" s="148"/>
      <c r="D5" s="156"/>
      <c r="E5" s="153"/>
      <c r="F5" s="153"/>
      <c r="G5" s="153"/>
      <c r="H5" s="153"/>
      <c r="I5" s="153"/>
      <c r="J5" s="153"/>
      <c r="K5" s="153"/>
      <c r="L5" s="153"/>
      <c r="M5" s="153"/>
      <c r="N5" s="153"/>
      <c r="O5" s="153"/>
      <c r="P5" s="153"/>
      <c r="Q5" s="153"/>
      <c r="R5" s="153"/>
      <c r="S5" s="153"/>
      <c r="T5" s="153"/>
      <c r="U5" s="153"/>
      <c r="V5" s="153"/>
      <c r="W5" s="153"/>
      <c r="X5" s="153"/>
      <c r="Y5" s="153"/>
    </row>
    <row r="6" spans="1:25" s="152" customFormat="1">
      <c r="A6" s="160" t="s">
        <v>748</v>
      </c>
      <c r="B6" s="150"/>
      <c r="C6" s="148"/>
      <c r="D6" s="156"/>
      <c r="E6" s="153"/>
      <c r="F6" s="153"/>
      <c r="G6" s="153"/>
      <c r="H6" s="153"/>
      <c r="I6" s="153"/>
      <c r="J6" s="153"/>
      <c r="K6" s="153"/>
      <c r="L6" s="153"/>
      <c r="M6" s="153"/>
      <c r="N6" s="153"/>
      <c r="O6" s="153"/>
      <c r="P6" s="153"/>
      <c r="Q6" s="153"/>
      <c r="R6" s="153"/>
      <c r="S6" s="153"/>
      <c r="T6" s="153"/>
      <c r="U6" s="153"/>
      <c r="V6" s="153"/>
      <c r="W6" s="153"/>
      <c r="X6" s="153"/>
      <c r="Y6" s="153"/>
    </row>
    <row r="7" spans="1:25">
      <c r="A7" s="161" t="s">
        <v>723</v>
      </c>
      <c r="B7" s="162" t="s">
        <v>695</v>
      </c>
      <c r="C7" s="161"/>
      <c r="D7" s="156">
        <v>6.56</v>
      </c>
    </row>
    <row r="8" spans="1:25">
      <c r="A8" s="161" t="s">
        <v>724</v>
      </c>
      <c r="B8" s="162" t="s">
        <v>696</v>
      </c>
      <c r="C8" s="161"/>
      <c r="D8" s="156">
        <v>38.89</v>
      </c>
    </row>
    <row r="9" spans="1:25">
      <c r="A9" s="161" t="s">
        <v>725</v>
      </c>
      <c r="B9" s="162" t="s">
        <v>697</v>
      </c>
      <c r="C9" s="161"/>
      <c r="D9" s="156">
        <v>54.54</v>
      </c>
    </row>
    <row r="10" spans="1:25">
      <c r="A10" s="161" t="s">
        <v>726</v>
      </c>
      <c r="B10" s="162" t="s">
        <v>698</v>
      </c>
      <c r="C10" s="161"/>
      <c r="D10" s="156">
        <v>21.42</v>
      </c>
    </row>
    <row r="11" spans="1:25">
      <c r="A11" s="161" t="s">
        <v>727</v>
      </c>
      <c r="B11" s="162" t="s">
        <v>699</v>
      </c>
      <c r="C11" s="161"/>
      <c r="D11" s="156">
        <v>25.92</v>
      </c>
    </row>
    <row r="12" spans="1:25">
      <c r="A12" s="161" t="s">
        <v>728</v>
      </c>
      <c r="B12" s="162" t="s">
        <v>700</v>
      </c>
      <c r="C12" s="161"/>
      <c r="D12" s="156">
        <v>25.92</v>
      </c>
    </row>
    <row r="13" spans="1:25" s="152" customFormat="1">
      <c r="A13" s="148"/>
      <c r="B13" s="150"/>
      <c r="C13" s="148"/>
      <c r="D13" s="156"/>
      <c r="E13" s="153"/>
      <c r="F13" s="153"/>
      <c r="G13" s="153"/>
      <c r="H13" s="153"/>
      <c r="I13" s="153"/>
      <c r="J13" s="153"/>
      <c r="K13" s="153"/>
      <c r="L13" s="153"/>
      <c r="M13" s="153"/>
      <c r="N13" s="153"/>
      <c r="O13" s="153"/>
      <c r="P13" s="153"/>
      <c r="Q13" s="153"/>
      <c r="R13" s="153"/>
      <c r="S13" s="153"/>
      <c r="T13" s="153"/>
      <c r="U13" s="153"/>
      <c r="V13" s="153"/>
      <c r="W13" s="153"/>
      <c r="X13" s="153"/>
      <c r="Y13" s="153"/>
    </row>
    <row r="14" spans="1:25" s="152" customFormat="1">
      <c r="A14" s="160" t="s">
        <v>749</v>
      </c>
      <c r="B14" s="150"/>
      <c r="C14" s="148"/>
      <c r="D14" s="156"/>
      <c r="E14" s="153"/>
      <c r="F14" s="153"/>
      <c r="G14" s="153"/>
      <c r="H14" s="153"/>
      <c r="I14" s="153"/>
      <c r="J14" s="153"/>
      <c r="K14" s="153"/>
      <c r="L14" s="153"/>
      <c r="M14" s="153"/>
      <c r="N14" s="153"/>
      <c r="O14" s="153"/>
      <c r="P14" s="153"/>
      <c r="Q14" s="153"/>
      <c r="R14" s="153"/>
      <c r="S14" s="153"/>
      <c r="T14" s="153"/>
      <c r="U14" s="153"/>
      <c r="V14" s="153"/>
      <c r="W14" s="153"/>
      <c r="X14" s="153"/>
      <c r="Y14" s="153"/>
    </row>
    <row r="15" spans="1:25">
      <c r="A15" s="161" t="s">
        <v>706</v>
      </c>
      <c r="B15" s="162" t="s">
        <v>701</v>
      </c>
      <c r="C15" s="161"/>
      <c r="D15" s="156">
        <v>28.7</v>
      </c>
    </row>
    <row r="16" spans="1:25">
      <c r="A16" s="161" t="s">
        <v>729</v>
      </c>
      <c r="B16" s="162" t="s">
        <v>702</v>
      </c>
      <c r="C16" s="161"/>
      <c r="D16" s="156">
        <v>29.12</v>
      </c>
    </row>
    <row r="17" spans="1:25">
      <c r="A17" s="161" t="s">
        <v>730</v>
      </c>
      <c r="B17" s="162" t="s">
        <v>703</v>
      </c>
      <c r="C17" s="161"/>
      <c r="D17" s="156">
        <v>193.43</v>
      </c>
    </row>
    <row r="18" spans="1:25">
      <c r="A18" s="161" t="s">
        <v>731</v>
      </c>
      <c r="B18" s="162" t="s">
        <v>704</v>
      </c>
      <c r="C18" s="161"/>
      <c r="D18" s="156">
        <v>175.84</v>
      </c>
    </row>
    <row r="19" spans="1:25">
      <c r="A19" s="161" t="s">
        <v>732</v>
      </c>
      <c r="B19" s="162" t="s">
        <v>705</v>
      </c>
      <c r="C19" s="161"/>
      <c r="D19" s="156">
        <v>19.57</v>
      </c>
    </row>
    <row r="20" spans="1:25">
      <c r="A20" s="161" t="s">
        <v>744</v>
      </c>
      <c r="B20" s="162" t="s">
        <v>718</v>
      </c>
      <c r="C20" s="161"/>
      <c r="D20" s="156">
        <v>45.75</v>
      </c>
    </row>
    <row r="21" spans="1:25">
      <c r="A21" s="161" t="s">
        <v>733</v>
      </c>
      <c r="B21" s="162" t="s">
        <v>706</v>
      </c>
      <c r="C21" s="161"/>
      <c r="D21" s="156">
        <v>4.5199999999999996</v>
      </c>
    </row>
    <row r="22" spans="1:25" s="152" customFormat="1">
      <c r="A22" s="148"/>
      <c r="B22" s="150"/>
      <c r="C22" s="148"/>
      <c r="D22" s="156"/>
      <c r="E22" s="153"/>
      <c r="F22" s="153"/>
      <c r="G22" s="153"/>
      <c r="H22" s="153"/>
      <c r="I22" s="153"/>
      <c r="J22" s="153"/>
      <c r="K22" s="153"/>
      <c r="L22" s="153"/>
      <c r="M22" s="153"/>
      <c r="N22" s="153"/>
      <c r="O22" s="153"/>
      <c r="P22" s="153"/>
      <c r="Q22" s="153"/>
      <c r="R22" s="153"/>
      <c r="S22" s="153"/>
      <c r="T22" s="153"/>
      <c r="U22" s="153"/>
      <c r="V22" s="153"/>
      <c r="W22" s="153"/>
      <c r="X22" s="153"/>
      <c r="Y22" s="153"/>
    </row>
    <row r="23" spans="1:25" s="152" customFormat="1">
      <c r="A23" s="160" t="s">
        <v>671</v>
      </c>
      <c r="B23" s="150"/>
      <c r="C23" s="148"/>
      <c r="D23" s="156"/>
      <c r="E23" s="153"/>
      <c r="F23" s="153"/>
      <c r="G23" s="153"/>
      <c r="H23" s="153"/>
      <c r="I23" s="153"/>
      <c r="J23" s="153"/>
      <c r="K23" s="153"/>
      <c r="L23" s="153"/>
      <c r="M23" s="153"/>
      <c r="N23" s="153"/>
      <c r="O23" s="153"/>
      <c r="P23" s="153"/>
      <c r="Q23" s="153"/>
      <c r="R23" s="153"/>
      <c r="S23" s="153"/>
      <c r="T23" s="153"/>
      <c r="U23" s="153"/>
      <c r="V23" s="153"/>
      <c r="W23" s="153"/>
      <c r="X23" s="153"/>
      <c r="Y23" s="153"/>
    </row>
    <row r="24" spans="1:25">
      <c r="A24" s="161" t="s">
        <v>734</v>
      </c>
      <c r="B24" s="162" t="s">
        <v>707</v>
      </c>
      <c r="C24" s="161"/>
      <c r="D24" s="156">
        <v>24.23</v>
      </c>
    </row>
    <row r="25" spans="1:25">
      <c r="A25" s="161" t="s">
        <v>729</v>
      </c>
      <c r="B25" s="162" t="s">
        <v>708</v>
      </c>
      <c r="C25" s="161"/>
      <c r="D25" s="156">
        <v>11.17</v>
      </c>
    </row>
    <row r="26" spans="1:25">
      <c r="A26" s="161" t="s">
        <v>735</v>
      </c>
      <c r="B26" s="162" t="s">
        <v>709</v>
      </c>
      <c r="C26" s="161"/>
      <c r="D26" s="156">
        <v>29.12</v>
      </c>
    </row>
    <row r="27" spans="1:25">
      <c r="A27" s="161" t="s">
        <v>736</v>
      </c>
      <c r="B27" s="162" t="s">
        <v>710</v>
      </c>
      <c r="C27" s="161"/>
      <c r="D27" s="156">
        <v>44.39</v>
      </c>
    </row>
    <row r="28" spans="1:25">
      <c r="A28" s="161" t="s">
        <v>737</v>
      </c>
      <c r="B28" s="162" t="s">
        <v>711</v>
      </c>
      <c r="C28" s="161"/>
      <c r="D28" s="156">
        <v>46.73</v>
      </c>
    </row>
    <row r="29" spans="1:25">
      <c r="A29" s="161" t="s">
        <v>738</v>
      </c>
      <c r="B29" s="162" t="s">
        <v>712</v>
      </c>
      <c r="C29" s="161"/>
      <c r="D29" s="156">
        <v>14.04</v>
      </c>
    </row>
    <row r="30" spans="1:25">
      <c r="A30" s="161" t="s">
        <v>739</v>
      </c>
      <c r="B30" s="162" t="s">
        <v>713</v>
      </c>
      <c r="C30" s="161"/>
      <c r="D30" s="156">
        <v>74.760000000000005</v>
      </c>
    </row>
    <row r="31" spans="1:25">
      <c r="A31" s="161" t="s">
        <v>740</v>
      </c>
      <c r="B31" s="162" t="s">
        <v>714</v>
      </c>
      <c r="C31" s="161"/>
      <c r="D31" s="156">
        <v>31.77</v>
      </c>
    </row>
    <row r="32" spans="1:25" s="153" customFormat="1">
      <c r="B32" s="154"/>
      <c r="D32" s="155"/>
    </row>
    <row r="33" spans="2:4" s="153" customFormat="1">
      <c r="B33" s="154"/>
      <c r="D33" s="155"/>
    </row>
    <row r="34" spans="2:4" s="153" customFormat="1">
      <c r="B34" s="154"/>
      <c r="D34" s="155"/>
    </row>
    <row r="35" spans="2:4" s="153" customFormat="1">
      <c r="B35" s="154"/>
      <c r="D35" s="155"/>
    </row>
    <row r="36" spans="2:4" s="153" customFormat="1">
      <c r="B36" s="154"/>
      <c r="D36" s="155"/>
    </row>
    <row r="37" spans="2:4" s="153" customFormat="1">
      <c r="B37" s="154"/>
      <c r="D37" s="155"/>
    </row>
    <row r="38" spans="2:4" s="153" customFormat="1">
      <c r="B38" s="154"/>
      <c r="D38" s="155"/>
    </row>
    <row r="39" spans="2:4" s="153" customFormat="1">
      <c r="B39" s="154"/>
      <c r="D39" s="155"/>
    </row>
    <row r="40" spans="2:4" s="153" customFormat="1">
      <c r="B40" s="154"/>
      <c r="D40" s="155"/>
    </row>
    <row r="41" spans="2:4" s="153" customFormat="1">
      <c r="B41" s="154"/>
      <c r="D41" s="155"/>
    </row>
    <row r="42" spans="2:4" s="153" customFormat="1">
      <c r="B42" s="154"/>
      <c r="D42" s="155"/>
    </row>
    <row r="43" spans="2:4" s="153" customFormat="1">
      <c r="B43" s="154"/>
      <c r="D43" s="155"/>
    </row>
    <row r="44" spans="2:4" s="153" customFormat="1">
      <c r="B44" s="154"/>
      <c r="D44" s="155"/>
    </row>
    <row r="45" spans="2:4" s="153" customFormat="1">
      <c r="B45" s="154"/>
      <c r="D45" s="155"/>
    </row>
    <row r="46" spans="2:4" s="153" customFormat="1">
      <c r="B46" s="154"/>
      <c r="D46" s="155"/>
    </row>
    <row r="47" spans="2:4" s="153" customFormat="1">
      <c r="B47" s="154"/>
      <c r="D47" s="155"/>
    </row>
    <row r="48" spans="2:4" s="153" customFormat="1">
      <c r="B48" s="154"/>
      <c r="D48" s="155"/>
    </row>
    <row r="49" spans="2:4" s="153" customFormat="1">
      <c r="B49" s="154"/>
      <c r="D49" s="155"/>
    </row>
    <row r="50" spans="2:4" s="153" customFormat="1">
      <c r="B50" s="154"/>
      <c r="D50" s="155"/>
    </row>
    <row r="51" spans="2:4" s="153" customFormat="1">
      <c r="B51" s="154"/>
      <c r="D51" s="155"/>
    </row>
    <row r="52" spans="2:4" s="153" customFormat="1">
      <c r="B52" s="154"/>
      <c r="D52" s="155"/>
    </row>
    <row r="53" spans="2:4" s="153" customFormat="1">
      <c r="B53" s="154"/>
      <c r="D53" s="155"/>
    </row>
    <row r="54" spans="2:4" s="153" customFormat="1">
      <c r="B54" s="154"/>
      <c r="D54" s="155"/>
    </row>
    <row r="55" spans="2:4" s="153" customFormat="1">
      <c r="B55" s="154"/>
      <c r="D55" s="155"/>
    </row>
    <row r="56" spans="2:4" s="153" customFormat="1">
      <c r="B56" s="154"/>
      <c r="D56" s="155"/>
    </row>
    <row r="57" spans="2:4" s="153" customFormat="1">
      <c r="B57" s="154"/>
      <c r="D57" s="155"/>
    </row>
    <row r="58" spans="2:4" s="153" customFormat="1">
      <c r="B58" s="154"/>
      <c r="D58" s="155"/>
    </row>
    <row r="59" spans="2:4" s="153" customFormat="1">
      <c r="B59" s="154"/>
      <c r="D59" s="155"/>
    </row>
    <row r="60" spans="2:4" s="153" customFormat="1">
      <c r="B60" s="154"/>
      <c r="D60" s="155"/>
    </row>
    <row r="61" spans="2:4" s="153" customFormat="1">
      <c r="B61" s="154"/>
      <c r="D61" s="155"/>
    </row>
    <row r="62" spans="2:4" s="153" customFormat="1">
      <c r="B62" s="154"/>
      <c r="D62" s="155"/>
    </row>
    <row r="63" spans="2:4" s="153" customFormat="1">
      <c r="B63" s="154"/>
      <c r="D63" s="155"/>
    </row>
    <row r="64" spans="2:4" s="153" customFormat="1">
      <c r="B64" s="154"/>
      <c r="D64" s="155"/>
    </row>
    <row r="65" spans="2:4" s="153" customFormat="1">
      <c r="B65" s="154"/>
      <c r="D65" s="155"/>
    </row>
    <row r="66" spans="2:4" s="153" customFormat="1">
      <c r="B66" s="154"/>
      <c r="D66" s="155"/>
    </row>
    <row r="67" spans="2:4" s="153" customFormat="1">
      <c r="B67" s="154"/>
      <c r="D67" s="155"/>
    </row>
    <row r="68" spans="2:4" s="153" customFormat="1">
      <c r="B68" s="154"/>
      <c r="D68" s="155"/>
    </row>
    <row r="69" spans="2:4" s="153" customFormat="1">
      <c r="B69" s="154"/>
      <c r="D69" s="155"/>
    </row>
    <row r="70" spans="2:4" s="153" customFormat="1">
      <c r="B70" s="154"/>
      <c r="D70" s="155"/>
    </row>
    <row r="71" spans="2:4" s="153" customFormat="1">
      <c r="B71" s="154"/>
      <c r="D71" s="155"/>
    </row>
    <row r="72" spans="2:4" s="153" customFormat="1">
      <c r="B72" s="154"/>
      <c r="D72" s="155"/>
    </row>
    <row r="73" spans="2:4" s="153" customFormat="1">
      <c r="B73" s="154"/>
      <c r="D73" s="155"/>
    </row>
    <row r="74" spans="2:4" s="153" customFormat="1">
      <c r="B74" s="154"/>
      <c r="D74" s="155"/>
    </row>
    <row r="75" spans="2:4" s="153" customFormat="1">
      <c r="B75" s="154"/>
      <c r="D75" s="155"/>
    </row>
    <row r="76" spans="2:4" s="153" customFormat="1">
      <c r="B76" s="154"/>
      <c r="D76" s="155"/>
    </row>
    <row r="77" spans="2:4" s="153" customFormat="1">
      <c r="B77" s="154"/>
      <c r="D77" s="155"/>
    </row>
    <row r="78" spans="2:4" s="153" customFormat="1">
      <c r="B78" s="154"/>
      <c r="D78" s="155"/>
    </row>
    <row r="79" spans="2:4" s="153" customFormat="1">
      <c r="B79" s="154"/>
      <c r="D79" s="155"/>
    </row>
    <row r="80" spans="2:4" s="153" customFormat="1">
      <c r="B80" s="154"/>
      <c r="D80" s="155"/>
    </row>
    <row r="81" spans="2:4" s="153" customFormat="1">
      <c r="B81" s="154"/>
      <c r="D81" s="155"/>
    </row>
    <row r="82" spans="2:4" s="153" customFormat="1">
      <c r="B82" s="154"/>
      <c r="D82" s="155"/>
    </row>
    <row r="83" spans="2:4" s="153" customFormat="1">
      <c r="B83" s="154"/>
      <c r="D83" s="155"/>
    </row>
    <row r="84" spans="2:4" s="153" customFormat="1">
      <c r="B84" s="154"/>
      <c r="D84" s="155"/>
    </row>
    <row r="85" spans="2:4" s="153" customFormat="1">
      <c r="B85" s="154"/>
      <c r="D85" s="155"/>
    </row>
    <row r="86" spans="2:4" s="153" customFormat="1">
      <c r="B86" s="154"/>
      <c r="D86" s="155"/>
    </row>
    <row r="87" spans="2:4" s="153" customFormat="1">
      <c r="B87" s="154"/>
      <c r="D87" s="155"/>
    </row>
    <row r="88" spans="2:4" s="153" customFormat="1">
      <c r="B88" s="154"/>
      <c r="D88" s="155"/>
    </row>
    <row r="89" spans="2:4" s="153" customFormat="1">
      <c r="B89" s="154"/>
      <c r="D89" s="155"/>
    </row>
    <row r="90" spans="2:4" s="153" customFormat="1">
      <c r="B90" s="154"/>
      <c r="D90" s="155"/>
    </row>
    <row r="91" spans="2:4" s="153" customFormat="1">
      <c r="B91" s="154"/>
      <c r="D91" s="155"/>
    </row>
    <row r="92" spans="2:4" s="153" customFormat="1">
      <c r="B92" s="154"/>
      <c r="D92" s="155"/>
    </row>
    <row r="93" spans="2:4" s="153" customFormat="1">
      <c r="B93" s="154"/>
      <c r="D93" s="155"/>
    </row>
    <row r="94" spans="2:4" s="153" customFormat="1">
      <c r="B94" s="154"/>
      <c r="D94" s="155"/>
    </row>
    <row r="95" spans="2:4" s="153" customFormat="1">
      <c r="B95" s="154"/>
      <c r="D95" s="155"/>
    </row>
    <row r="96" spans="2:4" s="153" customFormat="1">
      <c r="B96" s="154"/>
      <c r="D96" s="155"/>
    </row>
    <row r="97" spans="2:4" s="153" customFormat="1">
      <c r="B97" s="154"/>
      <c r="D97" s="155"/>
    </row>
    <row r="98" spans="2:4" s="153" customFormat="1">
      <c r="B98" s="154"/>
      <c r="D98" s="155"/>
    </row>
    <row r="99" spans="2:4" s="153" customFormat="1">
      <c r="B99" s="154"/>
      <c r="D99" s="155"/>
    </row>
    <row r="100" spans="2:4" s="153" customFormat="1">
      <c r="B100" s="154"/>
      <c r="D100" s="155"/>
    </row>
    <row r="101" spans="2:4" s="153" customFormat="1">
      <c r="B101" s="154"/>
      <c r="D101" s="155"/>
    </row>
    <row r="102" spans="2:4" s="153" customFormat="1">
      <c r="B102" s="154"/>
      <c r="D102" s="155"/>
    </row>
    <row r="103" spans="2:4" s="153" customFormat="1">
      <c r="B103" s="154"/>
      <c r="D103" s="155"/>
    </row>
    <row r="104" spans="2:4" s="153" customFormat="1">
      <c r="B104" s="154"/>
      <c r="D104" s="155"/>
    </row>
    <row r="105" spans="2:4" s="153" customFormat="1">
      <c r="B105" s="154"/>
      <c r="D105" s="155"/>
    </row>
    <row r="106" spans="2:4" s="153" customFormat="1">
      <c r="B106" s="154"/>
      <c r="D106" s="155"/>
    </row>
    <row r="107" spans="2:4" s="153" customFormat="1">
      <c r="B107" s="154"/>
      <c r="D107" s="155"/>
    </row>
    <row r="108" spans="2:4" s="153" customFormat="1">
      <c r="B108" s="154"/>
      <c r="D108" s="155"/>
    </row>
    <row r="109" spans="2:4" s="153" customFormat="1">
      <c r="B109" s="154"/>
      <c r="D109" s="155"/>
    </row>
    <row r="110" spans="2:4" s="153" customFormat="1">
      <c r="B110" s="154"/>
      <c r="D110" s="155"/>
    </row>
    <row r="111" spans="2:4" s="153" customFormat="1">
      <c r="B111" s="154"/>
      <c r="D111" s="155"/>
    </row>
    <row r="112" spans="2:4" s="153" customFormat="1">
      <c r="B112" s="154"/>
      <c r="D112" s="155"/>
    </row>
    <row r="113" spans="2:4" s="153" customFormat="1">
      <c r="B113" s="154"/>
      <c r="D113" s="155"/>
    </row>
    <row r="114" spans="2:4" s="153" customFormat="1">
      <c r="B114" s="154"/>
      <c r="D114" s="155"/>
    </row>
    <row r="115" spans="2:4" s="153" customFormat="1">
      <c r="B115" s="154"/>
      <c r="D115" s="155"/>
    </row>
    <row r="116" spans="2:4" s="153" customFormat="1">
      <c r="B116" s="154"/>
      <c r="D116" s="155"/>
    </row>
    <row r="117" spans="2:4" s="153" customFormat="1">
      <c r="B117" s="154"/>
      <c r="D117" s="155"/>
    </row>
    <row r="118" spans="2:4" s="153" customFormat="1">
      <c r="B118" s="154"/>
      <c r="D118" s="155"/>
    </row>
    <row r="119" spans="2:4" s="153" customFormat="1">
      <c r="B119" s="154"/>
      <c r="D119" s="155"/>
    </row>
    <row r="120" spans="2:4" s="153" customFormat="1">
      <c r="B120" s="154"/>
      <c r="D120" s="155"/>
    </row>
    <row r="121" spans="2:4" s="153" customFormat="1">
      <c r="B121" s="154"/>
      <c r="D121" s="155"/>
    </row>
    <row r="122" spans="2:4" s="153" customFormat="1">
      <c r="B122" s="154"/>
      <c r="D122" s="155"/>
    </row>
    <row r="123" spans="2:4" s="153" customFormat="1">
      <c r="B123" s="154"/>
      <c r="D123" s="155"/>
    </row>
    <row r="124" spans="2:4" s="153" customFormat="1">
      <c r="B124" s="154"/>
      <c r="D124" s="155"/>
    </row>
    <row r="125" spans="2:4" s="153" customFormat="1">
      <c r="B125" s="154"/>
      <c r="D125" s="155"/>
    </row>
    <row r="126" spans="2:4" s="153" customFormat="1">
      <c r="B126" s="154"/>
      <c r="D126" s="155"/>
    </row>
    <row r="127" spans="2:4" s="153" customFormat="1">
      <c r="B127" s="154"/>
      <c r="D127" s="155"/>
    </row>
    <row r="128" spans="2:4" s="153" customFormat="1">
      <c r="B128" s="154"/>
      <c r="D128" s="155"/>
    </row>
    <row r="129" spans="2:4" s="153" customFormat="1">
      <c r="B129" s="154"/>
      <c r="D129" s="155"/>
    </row>
    <row r="130" spans="2:4" s="153" customFormat="1">
      <c r="B130" s="154"/>
      <c r="D130" s="155"/>
    </row>
    <row r="131" spans="2:4" s="153" customFormat="1">
      <c r="B131" s="154"/>
      <c r="D131" s="155"/>
    </row>
    <row r="132" spans="2:4" s="153" customFormat="1">
      <c r="B132" s="154"/>
      <c r="D132" s="155"/>
    </row>
    <row r="133" spans="2:4" s="153" customFormat="1">
      <c r="B133" s="154"/>
      <c r="D133" s="155"/>
    </row>
    <row r="134" spans="2:4" s="153" customFormat="1">
      <c r="B134" s="154"/>
      <c r="D134" s="155"/>
    </row>
    <row r="135" spans="2:4" s="153" customFormat="1">
      <c r="B135" s="154"/>
      <c r="D135" s="155"/>
    </row>
    <row r="136" spans="2:4" s="153" customFormat="1">
      <c r="B136" s="154"/>
      <c r="D136" s="155"/>
    </row>
    <row r="137" spans="2:4" s="153" customFormat="1">
      <c r="B137" s="154"/>
      <c r="D137" s="155"/>
    </row>
    <row r="138" spans="2:4" s="153" customFormat="1">
      <c r="B138" s="154"/>
      <c r="D138" s="155"/>
    </row>
    <row r="139" spans="2:4" s="153" customFormat="1">
      <c r="B139" s="154"/>
      <c r="D139" s="155"/>
    </row>
    <row r="140" spans="2:4" s="153" customFormat="1">
      <c r="B140" s="154"/>
      <c r="D140" s="155"/>
    </row>
    <row r="141" spans="2:4" s="153" customFormat="1">
      <c r="B141" s="154"/>
      <c r="D141" s="155"/>
    </row>
    <row r="142" spans="2:4" s="153" customFormat="1">
      <c r="B142" s="154"/>
      <c r="D142" s="155"/>
    </row>
    <row r="143" spans="2:4" s="153" customFormat="1">
      <c r="B143" s="154"/>
      <c r="D143" s="155"/>
    </row>
    <row r="144" spans="2:4" s="153" customFormat="1">
      <c r="B144" s="154"/>
      <c r="D144" s="155"/>
    </row>
    <row r="145" spans="2:4" s="153" customFormat="1">
      <c r="B145" s="154"/>
      <c r="D145" s="155"/>
    </row>
    <row r="146" spans="2:4" s="153" customFormat="1">
      <c r="B146" s="154"/>
      <c r="D146" s="155"/>
    </row>
    <row r="147" spans="2:4" s="153" customFormat="1">
      <c r="B147" s="154"/>
      <c r="D147" s="155"/>
    </row>
    <row r="148" spans="2:4" s="153" customFormat="1">
      <c r="B148" s="154"/>
      <c r="D148" s="155"/>
    </row>
    <row r="149" spans="2:4" s="153" customFormat="1">
      <c r="B149" s="154"/>
      <c r="D149" s="155"/>
    </row>
    <row r="150" spans="2:4" s="153" customFormat="1">
      <c r="B150" s="154"/>
      <c r="D150" s="155"/>
    </row>
    <row r="151" spans="2:4" s="153" customFormat="1">
      <c r="B151" s="154"/>
      <c r="D151" s="155"/>
    </row>
    <row r="152" spans="2:4" s="153" customFormat="1">
      <c r="B152" s="154"/>
      <c r="D152" s="155"/>
    </row>
    <row r="153" spans="2:4" s="153" customFormat="1">
      <c r="B153" s="154"/>
      <c r="D153" s="155"/>
    </row>
    <row r="154" spans="2:4" s="153" customFormat="1">
      <c r="B154" s="154"/>
      <c r="D154" s="155"/>
    </row>
    <row r="155" spans="2:4" s="153" customFormat="1">
      <c r="B155" s="154"/>
      <c r="D155" s="155"/>
    </row>
    <row r="156" spans="2:4" s="153" customFormat="1">
      <c r="B156" s="154"/>
      <c r="D156" s="155"/>
    </row>
    <row r="157" spans="2:4" s="153" customFormat="1">
      <c r="B157" s="154"/>
      <c r="D157" s="155"/>
    </row>
    <row r="158" spans="2:4" s="153" customFormat="1">
      <c r="B158" s="154"/>
      <c r="D158" s="155"/>
    </row>
    <row r="159" spans="2:4" s="153" customFormat="1">
      <c r="B159" s="154"/>
      <c r="D159" s="155"/>
    </row>
    <row r="160" spans="2:4" s="153" customFormat="1">
      <c r="B160" s="154"/>
      <c r="D160" s="155"/>
    </row>
    <row r="161" spans="2:4" s="153" customFormat="1">
      <c r="B161" s="154"/>
      <c r="D161" s="155"/>
    </row>
    <row r="162" spans="2:4" s="153" customFormat="1">
      <c r="B162" s="154"/>
      <c r="D162" s="155"/>
    </row>
    <row r="163" spans="2:4" s="153" customFormat="1">
      <c r="B163" s="154"/>
      <c r="D163" s="155"/>
    </row>
    <row r="164" spans="2:4" s="153" customFormat="1">
      <c r="B164" s="154"/>
      <c r="D164" s="155"/>
    </row>
    <row r="165" spans="2:4" s="153" customFormat="1">
      <c r="B165" s="154"/>
      <c r="D165" s="155"/>
    </row>
    <row r="166" spans="2:4" s="153" customFormat="1">
      <c r="B166" s="154"/>
      <c r="D166" s="155"/>
    </row>
    <row r="167" spans="2:4" s="153" customFormat="1">
      <c r="B167" s="154"/>
      <c r="D167" s="155"/>
    </row>
    <row r="168" spans="2:4" s="153" customFormat="1">
      <c r="B168" s="154"/>
      <c r="D168" s="155"/>
    </row>
    <row r="169" spans="2:4" s="153" customFormat="1">
      <c r="B169" s="154"/>
      <c r="D169" s="155"/>
    </row>
    <row r="170" spans="2:4" s="153" customFormat="1">
      <c r="B170" s="154"/>
      <c r="D170" s="155"/>
    </row>
    <row r="171" spans="2:4" s="153" customFormat="1">
      <c r="B171" s="154"/>
      <c r="D171" s="155"/>
    </row>
    <row r="172" spans="2:4" s="153" customFormat="1">
      <c r="B172" s="154"/>
      <c r="D172" s="155"/>
    </row>
    <row r="173" spans="2:4" s="153" customFormat="1">
      <c r="B173" s="154"/>
      <c r="D173" s="155"/>
    </row>
    <row r="174" spans="2:4" s="153" customFormat="1">
      <c r="B174" s="154"/>
      <c r="D174" s="155"/>
    </row>
    <row r="175" spans="2:4" s="153" customFormat="1">
      <c r="B175" s="154"/>
      <c r="D175" s="155"/>
    </row>
    <row r="176" spans="2:4" s="153" customFormat="1">
      <c r="B176" s="154"/>
      <c r="D176" s="155"/>
    </row>
    <row r="177" spans="2:4" s="153" customFormat="1">
      <c r="B177" s="154"/>
      <c r="D177" s="15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Home</vt:lpstr>
      <vt:lpstr>Computer Products</vt:lpstr>
      <vt:lpstr>Car Sound and Accessories</vt:lpstr>
      <vt:lpstr>Plugs, Leads and Adaptors</vt:lpstr>
      <vt:lpstr>Electronics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DIGICOMP</dc:creator>
  <cp:lastModifiedBy>Yaaseen</cp:lastModifiedBy>
  <dcterms:created xsi:type="dcterms:W3CDTF">2012-08-20T08:28:19Z</dcterms:created>
  <dcterms:modified xsi:type="dcterms:W3CDTF">2012-08-30T12:09:05Z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DocumentId">
    <vt:lpwstr>14sFt718SbtB17rPXvO7sQlz9B_4ciJWFRAUK4-4KC-I</vt:lpwstr>
  </property>
  <property fmtid="{D5CDD505-2E9C-101B-9397-08002B2CF9AE}" pid="3" name="Google.Documents.RevisionId">
    <vt:lpwstr>05104435706606548411</vt:lpwstr>
  </property>
  <property fmtid="{D5CDD505-2E9C-101B-9397-08002B2CF9AE}" pid="4" name="Google.Documents.PreviousRevisionId">
    <vt:lpwstr>09064502590398648290</vt:lpwstr>
  </property>
  <property fmtid="{D5CDD505-2E9C-101B-9397-08002B2CF9AE}" pid="5" name="Google.Documents.PluginVersion">
    <vt:lpwstr>2.0.2662.553</vt:lpwstr>
  </property>
  <property fmtid="{D5CDD505-2E9C-101B-9397-08002B2CF9AE}" pid="6" name="Google.Documents.MergeIncapabilityFlags">
    <vt:i4>0</vt:i4>
  </property>
  <property fmtid="{D5CDD505-2E9C-101B-9397-08002B2CF9AE}" pid="7" name="Google.Documents.Tracking">
    <vt:lpwstr>false</vt:lpwstr>
  </property>
</Properties>
</file>